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opflytestairs.sharepoint.com/sites/TFSShared/Shared Documents/PRICING/TFS Pricing Master Sheets/"/>
    </mc:Choice>
  </mc:AlternateContent>
  <xr:revisionPtr revIDLastSave="26693" documentId="8_{D5C6B126-9B5C-4807-8AC3-8E360DB91CDF}" xr6:coauthVersionLast="47" xr6:coauthVersionMax="47" xr10:uidLastSave="{86BC0FF5-750B-4C9F-AA06-7921479F0508}"/>
  <bookViews>
    <workbookView xWindow="-120" yWindow="-120" windowWidth="29040" windowHeight="15840" tabRatio="787" activeTab="2" xr2:uid="{B524365F-905E-4F20-A5EA-FBBE1EAF9664}"/>
  </bookViews>
  <sheets>
    <sheet name="CALCULATOR (Hudson)" sheetId="40" r:id="rId1"/>
    <sheet name="CALCULATOR (Jude)" sheetId="39" r:id="rId2"/>
    <sheet name="CALCULATOR (Courtney)" sheetId="27" r:id="rId3"/>
    <sheet name="MASTER" sheetId="17" r:id="rId4"/>
    <sheet name="NDL FREIGHT CALCULATOR" sheetId="25" r:id="rId5"/>
    <sheet name="REGIONS" sheetId="28" r:id="rId6"/>
    <sheet name="MEASURE UP'S" sheetId="37" r:id="rId7"/>
    <sheet name="(TYPES)" sheetId="22" r:id="rId8"/>
    <sheet name="Labour Rate" sheetId="31" state="hidden" r:id="rId9"/>
    <sheet name="BPSC (+ Ply)" sheetId="1" state="hidden" r:id="rId10"/>
    <sheet name="KO Spec" sheetId="16" state="hidden" r:id="rId11"/>
    <sheet name="Solid Pine" sheetId="9" state="hidden" r:id="rId12"/>
    <sheet name="Landings &amp; Winders" sheetId="7" state="hidden" r:id="rId13"/>
    <sheet name="Kitset" sheetId="6" state="hidden" r:id="rId14"/>
    <sheet name="External" sheetId="10" state="hidden" r:id="rId15"/>
    <sheet name="Attic Ladders" sheetId="12" state="hidden" r:id="rId16"/>
    <sheet name="BPSC. (+ Ply)" sheetId="2" r:id="rId17"/>
    <sheet name="KO Spec." sheetId="15" r:id="rId18"/>
    <sheet name="Solid Pine." sheetId="8" r:id="rId19"/>
    <sheet name="External." sheetId="11" r:id="rId20"/>
    <sheet name="Landings &amp; Winders." sheetId="4" r:id="rId21"/>
    <sheet name="Kitset." sheetId="5" r:id="rId22"/>
    <sheet name="Attic Ladders. (2025)" sheetId="30" r:id="rId23"/>
    <sheet name="LED Handrail" sheetId="26" r:id="rId24"/>
    <sheet name="Pine H3.2 Education Handrail" sheetId="41" r:id="rId25"/>
    <sheet name="Brackets (Handrail &amp; Tread)" sheetId="38" r:id="rId26"/>
    <sheet name="Timber Costs" sheetId="33" r:id="rId27"/>
    <sheet name="1.2x2.4 Board-Treads Per Sheet" sheetId="44" r:id="rId28"/>
    <sheet name="Timber Calculator" sheetId="35" r:id="rId29"/>
    <sheet name="Stair Time Breakdown" sheetId="36" r:id="rId30"/>
    <sheet name="KITSET FREIGHT COSTINGS" sheetId="14" r:id="rId31"/>
    <sheet name="American White Oak" sheetId="42" r:id="rId32"/>
    <sheet name="American White Ash" sheetId="43" r:id="rId33"/>
  </sheets>
  <definedNames>
    <definedName name="_xlnm._FilterDatabase" localSheetId="2" hidden="1">'CALCULATOR (Courtney)'!#REF!</definedName>
    <definedName name="_xlnm._FilterDatabase" localSheetId="0" hidden="1">'CALCULATOR (Hudson)'!#REF!</definedName>
    <definedName name="_xlnm._FilterDatabase" localSheetId="1" hidden="1">'CALCULATOR (Jude)'!#REF!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7" l="1"/>
  <c r="H10" i="27" s="1"/>
  <c r="G9" i="27"/>
  <c r="H9" i="27" s="1"/>
  <c r="G8" i="27"/>
  <c r="H8" i="27" s="1"/>
  <c r="G6" i="27"/>
  <c r="H6" i="27" s="1"/>
  <c r="G5" i="27"/>
  <c r="H5" i="27" s="1"/>
  <c r="G4" i="27"/>
  <c r="H4" i="27" s="1"/>
  <c r="H7" i="27"/>
  <c r="H11" i="27"/>
  <c r="D71" i="44"/>
  <c r="G71" i="44"/>
  <c r="I71" i="44"/>
  <c r="D72" i="44"/>
  <c r="G72" i="44"/>
  <c r="I72" i="44"/>
  <c r="D73" i="44"/>
  <c r="G73" i="44"/>
  <c r="I73" i="44"/>
  <c r="D74" i="44"/>
  <c r="G99" i="44" s="1"/>
  <c r="G74" i="44"/>
  <c r="I74" i="44"/>
  <c r="G76" i="44"/>
  <c r="I76" i="44"/>
  <c r="G77" i="44"/>
  <c r="I77" i="44"/>
  <c r="G78" i="44"/>
  <c r="I78" i="44"/>
  <c r="G79" i="44"/>
  <c r="I79" i="44"/>
  <c r="G81" i="44"/>
  <c r="I81" i="44"/>
  <c r="G82" i="44"/>
  <c r="I82" i="44"/>
  <c r="G83" i="44"/>
  <c r="I83" i="44"/>
  <c r="G84" i="44"/>
  <c r="I84" i="44"/>
  <c r="G86" i="44"/>
  <c r="I86" i="44"/>
  <c r="G87" i="44"/>
  <c r="I87" i="44"/>
  <c r="G88" i="44"/>
  <c r="I88" i="44"/>
  <c r="G89" i="44"/>
  <c r="I89" i="44"/>
  <c r="G91" i="44"/>
  <c r="I91" i="44"/>
  <c r="G92" i="44"/>
  <c r="I92" i="44"/>
  <c r="G93" i="44"/>
  <c r="I93" i="44"/>
  <c r="G96" i="44"/>
  <c r="I96" i="44"/>
  <c r="G97" i="44"/>
  <c r="I97" i="44"/>
  <c r="G98" i="44"/>
  <c r="I98" i="44"/>
  <c r="G101" i="44"/>
  <c r="I101" i="44"/>
  <c r="G102" i="44"/>
  <c r="I102" i="44"/>
  <c r="G103" i="44"/>
  <c r="I103" i="44"/>
  <c r="G104" i="44"/>
  <c r="I104" i="44"/>
  <c r="G106" i="44"/>
  <c r="I106" i="44"/>
  <c r="G107" i="44"/>
  <c r="I107" i="44"/>
  <c r="G108" i="44"/>
  <c r="I108" i="44"/>
  <c r="D28" i="44"/>
  <c r="G58" i="44" s="1"/>
  <c r="G28" i="44"/>
  <c r="I28" i="44"/>
  <c r="D29" i="44"/>
  <c r="G59" i="44" s="1"/>
  <c r="G29" i="44"/>
  <c r="I29" i="44"/>
  <c r="D30" i="44"/>
  <c r="G50" i="44" s="1"/>
  <c r="G30" i="44"/>
  <c r="I30" i="44"/>
  <c r="D31" i="44"/>
  <c r="G31" i="44"/>
  <c r="I31" i="44"/>
  <c r="G33" i="44"/>
  <c r="I33" i="44"/>
  <c r="G34" i="44"/>
  <c r="I34" i="44"/>
  <c r="G35" i="44"/>
  <c r="I35" i="44"/>
  <c r="G36" i="44"/>
  <c r="I36" i="44"/>
  <c r="G38" i="44"/>
  <c r="I38" i="44"/>
  <c r="G39" i="44"/>
  <c r="I39" i="44"/>
  <c r="G40" i="44"/>
  <c r="I40" i="44"/>
  <c r="G41" i="44"/>
  <c r="I41" i="44"/>
  <c r="G43" i="44"/>
  <c r="I43" i="44"/>
  <c r="G44" i="44"/>
  <c r="I44" i="44"/>
  <c r="G45" i="44"/>
  <c r="I45" i="44"/>
  <c r="G46" i="44"/>
  <c r="I46" i="44"/>
  <c r="G48" i="44"/>
  <c r="I48" i="44"/>
  <c r="I49" i="44"/>
  <c r="I50" i="44"/>
  <c r="G51" i="44"/>
  <c r="I51" i="44"/>
  <c r="G55" i="44"/>
  <c r="I55" i="44"/>
  <c r="G56" i="44"/>
  <c r="I56" i="44"/>
  <c r="I58" i="44"/>
  <c r="G60" i="44"/>
  <c r="I60" i="44"/>
  <c r="G61" i="44"/>
  <c r="I61" i="44"/>
  <c r="G63" i="44"/>
  <c r="I63" i="44"/>
  <c r="I64" i="44"/>
  <c r="G65" i="44"/>
  <c r="I65" i="44"/>
  <c r="G66" i="44"/>
  <c r="I66" i="44"/>
  <c r="F42" i="33"/>
  <c r="F43" i="33"/>
  <c r="F44" i="33"/>
  <c r="F45" i="33"/>
  <c r="I109" i="44" l="1"/>
  <c r="G54" i="44"/>
  <c r="G109" i="44"/>
  <c r="G94" i="44"/>
  <c r="G49" i="44"/>
  <c r="I54" i="44"/>
  <c r="I53" i="44"/>
  <c r="G53" i="44"/>
  <c r="I94" i="44"/>
  <c r="I59" i="44"/>
  <c r="I99" i="44"/>
  <c r="G64" i="44"/>
  <c r="A1" i="27" a="1"/>
  <c r="A1" i="27" s="1"/>
  <c r="C24" i="27" l="1"/>
  <c r="H17" i="27"/>
  <c r="H15" i="27"/>
  <c r="C14" i="27"/>
  <c r="D14" i="27" s="1"/>
  <c r="E14" i="27" s="1"/>
  <c r="G13" i="27" s="1"/>
  <c r="H12" i="27"/>
  <c r="H13" i="27" l="1"/>
  <c r="H20" i="27" s="1"/>
  <c r="C24" i="40"/>
  <c r="C29" i="27" l="1"/>
  <c r="C25" i="27"/>
  <c r="W105" i="4"/>
  <c r="W104" i="4"/>
  <c r="W97" i="4"/>
  <c r="W98" i="4"/>
  <c r="W99" i="4"/>
  <c r="W96" i="4"/>
  <c r="O105" i="4"/>
  <c r="O104" i="4"/>
  <c r="O97" i="4"/>
  <c r="O98" i="4"/>
  <c r="O99" i="4"/>
  <c r="O96" i="4"/>
  <c r="V103" i="4"/>
  <c r="N103" i="4"/>
  <c r="V95" i="4"/>
  <c r="N95" i="4"/>
  <c r="C84" i="36"/>
  <c r="C85" i="36"/>
  <c r="H85" i="36" s="1"/>
  <c r="K85" i="36" s="1"/>
  <c r="C86" i="36"/>
  <c r="H86" i="36" s="1"/>
  <c r="K86" i="36" s="1"/>
  <c r="C83" i="36"/>
  <c r="N38" i="43"/>
  <c r="O45" i="43" s="1"/>
  <c r="N27" i="43"/>
  <c r="O34" i="43" s="1"/>
  <c r="O23" i="43"/>
  <c r="G23" i="43"/>
  <c r="O22" i="43"/>
  <c r="G22" i="43"/>
  <c r="O21" i="43"/>
  <c r="G21" i="43"/>
  <c r="N16" i="43"/>
  <c r="O20" i="43" s="1"/>
  <c r="F16" i="43"/>
  <c r="G20" i="43" s="1"/>
  <c r="O12" i="43"/>
  <c r="G12" i="43"/>
  <c r="O11" i="43"/>
  <c r="G11" i="43"/>
  <c r="O10" i="43"/>
  <c r="G10" i="43"/>
  <c r="O9" i="43"/>
  <c r="G9" i="43"/>
  <c r="O8" i="43"/>
  <c r="G8" i="43"/>
  <c r="O7" i="43"/>
  <c r="G7" i="43"/>
  <c r="O6" i="43"/>
  <c r="N5" i="43"/>
  <c r="F5" i="43"/>
  <c r="G6" i="43" s="1"/>
  <c r="E84" i="36"/>
  <c r="E85" i="36"/>
  <c r="E86" i="36"/>
  <c r="E83" i="36"/>
  <c r="E79" i="36"/>
  <c r="E80" i="36"/>
  <c r="H80" i="36" s="1"/>
  <c r="K80" i="36" s="1"/>
  <c r="E81" i="36"/>
  <c r="H81" i="36" s="1"/>
  <c r="K81" i="36" s="1"/>
  <c r="E78" i="36"/>
  <c r="C79" i="36"/>
  <c r="C80" i="36"/>
  <c r="C81" i="36"/>
  <c r="C78" i="36"/>
  <c r="H78" i="36" s="1"/>
  <c r="K78" i="36" s="1"/>
  <c r="W90" i="4"/>
  <c r="W89" i="4"/>
  <c r="W82" i="4"/>
  <c r="W83" i="4"/>
  <c r="W84" i="4"/>
  <c r="W81" i="4"/>
  <c r="O90" i="4"/>
  <c r="O89" i="4"/>
  <c r="O82" i="4"/>
  <c r="V88" i="4"/>
  <c r="N88" i="4"/>
  <c r="V80" i="4"/>
  <c r="N80" i="4"/>
  <c r="O83" i="4" s="1"/>
  <c r="G86" i="36"/>
  <c r="H84" i="36"/>
  <c r="K84" i="36" s="1"/>
  <c r="G84" i="36"/>
  <c r="H79" i="36"/>
  <c r="K79" i="36" s="1"/>
  <c r="G79" i="36"/>
  <c r="G78" i="36"/>
  <c r="H76" i="36"/>
  <c r="K76" i="36" s="1"/>
  <c r="G76" i="36"/>
  <c r="H75" i="36"/>
  <c r="K75" i="36" s="1"/>
  <c r="G75" i="36"/>
  <c r="H74" i="36"/>
  <c r="K74" i="36" s="1"/>
  <c r="G74" i="36"/>
  <c r="H73" i="36"/>
  <c r="K73" i="36" s="1"/>
  <c r="G73" i="36"/>
  <c r="O81" i="4" l="1"/>
  <c r="O84" i="4"/>
  <c r="G85" i="36"/>
  <c r="H83" i="36"/>
  <c r="K83" i="36" s="1"/>
  <c r="O28" i="43"/>
  <c r="O29" i="43"/>
  <c r="O31" i="43"/>
  <c r="O32" i="43"/>
  <c r="O33" i="43"/>
  <c r="O17" i="43"/>
  <c r="G18" i="43"/>
  <c r="O40" i="43"/>
  <c r="O18" i="43"/>
  <c r="O41" i="43"/>
  <c r="O19" i="43"/>
  <c r="O43" i="43"/>
  <c r="O30" i="43"/>
  <c r="G17" i="43"/>
  <c r="O39" i="43"/>
  <c r="G19" i="43"/>
  <c r="O42" i="43"/>
  <c r="O44" i="43"/>
  <c r="G83" i="36"/>
  <c r="G80" i="36"/>
  <c r="G81" i="36"/>
  <c r="N38" i="42"/>
  <c r="O40" i="42" s="1"/>
  <c r="O39" i="42"/>
  <c r="O42" i="42"/>
  <c r="N27" i="42"/>
  <c r="O31" i="42" s="1"/>
  <c r="O28" i="42"/>
  <c r="O29" i="42"/>
  <c r="O30" i="42"/>
  <c r="O33" i="42"/>
  <c r="O34" i="42"/>
  <c r="F16" i="42"/>
  <c r="N16" i="42"/>
  <c r="O18" i="42" s="1"/>
  <c r="G17" i="42"/>
  <c r="O17" i="42"/>
  <c r="G18" i="42"/>
  <c r="G19" i="42"/>
  <c r="O19" i="42"/>
  <c r="G20" i="42"/>
  <c r="O20" i="42"/>
  <c r="G21" i="42"/>
  <c r="O21" i="42"/>
  <c r="G22" i="42"/>
  <c r="O22" i="42"/>
  <c r="G23" i="42"/>
  <c r="O23" i="42"/>
  <c r="F5" i="42"/>
  <c r="G9" i="42" s="1"/>
  <c r="N5" i="42"/>
  <c r="O9" i="42" s="1"/>
  <c r="G6" i="42"/>
  <c r="O6" i="42"/>
  <c r="G7" i="42"/>
  <c r="O7" i="42"/>
  <c r="G8" i="42"/>
  <c r="O8" i="42"/>
  <c r="G10" i="42"/>
  <c r="G11" i="42"/>
  <c r="O11" i="42"/>
  <c r="G12" i="42"/>
  <c r="O12" i="42"/>
  <c r="F69" i="33"/>
  <c r="F70" i="33"/>
  <c r="F71" i="33"/>
  <c r="F72" i="33"/>
  <c r="F73" i="33"/>
  <c r="F74" i="33"/>
  <c r="B121" i="36"/>
  <c r="C121" i="36" s="1"/>
  <c r="O45" i="42" l="1"/>
  <c r="O44" i="42"/>
  <c r="O43" i="42"/>
  <c r="O10" i="42"/>
  <c r="O41" i="42"/>
  <c r="O32" i="42"/>
  <c r="M8" i="27" l="1"/>
  <c r="M10" i="27" s="1"/>
  <c r="L8" i="27"/>
  <c r="L10" i="27" s="1"/>
  <c r="G18" i="25" l="1"/>
  <c r="F17" i="25"/>
  <c r="F14" i="25"/>
  <c r="F15" i="25"/>
  <c r="F16" i="25"/>
  <c r="F13" i="25"/>
  <c r="F18" i="25" l="1"/>
  <c r="B57" i="41" l="1"/>
  <c r="D53" i="41"/>
  <c r="D54" i="41" s="1"/>
  <c r="D47" i="41"/>
  <c r="D48" i="41" s="1"/>
  <c r="D41" i="41"/>
  <c r="D40" i="41"/>
  <c r="D39" i="41"/>
  <c r="B24" i="41"/>
  <c r="D20" i="41"/>
  <c r="D21" i="41" s="1"/>
  <c r="D14" i="41"/>
  <c r="D15" i="41" s="1"/>
  <c r="D8" i="41"/>
  <c r="D7" i="41"/>
  <c r="D6" i="41"/>
  <c r="E27" i="38"/>
  <c r="E26" i="38"/>
  <c r="D9" i="41" l="1"/>
  <c r="D42" i="41"/>
  <c r="B56" i="41"/>
  <c r="B58" i="41" s="1"/>
  <c r="B60" i="41" s="1"/>
  <c r="B23" i="41"/>
  <c r="B25" i="41" s="1"/>
  <c r="B27" i="41" s="1"/>
  <c r="D17" i="38"/>
  <c r="E17" i="38" s="1"/>
  <c r="D8" i="38"/>
  <c r="D9" i="38"/>
  <c r="D16" i="38"/>
  <c r="E16" i="38" s="1"/>
  <c r="B31" i="28"/>
  <c r="B29" i="28"/>
  <c r="B27" i="28"/>
  <c r="B25" i="28"/>
  <c r="B23" i="28"/>
  <c r="B21" i="28"/>
  <c r="B19" i="28"/>
  <c r="B17" i="28"/>
  <c r="B15" i="28"/>
  <c r="B13" i="28"/>
  <c r="B11" i="28"/>
  <c r="B9" i="28"/>
  <c r="B7" i="28"/>
  <c r="B5" i="28"/>
  <c r="B3" i="28"/>
  <c r="H17" i="40" l="1"/>
  <c r="H15" i="40"/>
  <c r="C14" i="40"/>
  <c r="D14" i="40" s="1"/>
  <c r="E14" i="40" s="1"/>
  <c r="H12" i="40"/>
  <c r="H11" i="40"/>
  <c r="G10" i="40"/>
  <c r="H10" i="40" s="1"/>
  <c r="G9" i="40"/>
  <c r="H9" i="40" s="1"/>
  <c r="Q8" i="40"/>
  <c r="Q10" i="40" s="1"/>
  <c r="P8" i="40"/>
  <c r="P10" i="40" s="1"/>
  <c r="M8" i="40"/>
  <c r="M10" i="40" s="1"/>
  <c r="L8" i="40"/>
  <c r="L10" i="40" s="1"/>
  <c r="G8" i="40"/>
  <c r="H8" i="40" s="1"/>
  <c r="H7" i="40"/>
  <c r="G6" i="40"/>
  <c r="H6" i="40" s="1"/>
  <c r="C24" i="39"/>
  <c r="H17" i="39"/>
  <c r="H15" i="39"/>
  <c r="C14" i="39"/>
  <c r="H12" i="39"/>
  <c r="H11" i="39"/>
  <c r="G10" i="39"/>
  <c r="H10" i="39" s="1"/>
  <c r="G9" i="39"/>
  <c r="H9" i="39" s="1"/>
  <c r="Q8" i="39"/>
  <c r="Q10" i="39" s="1"/>
  <c r="P8" i="39"/>
  <c r="P10" i="39" s="1"/>
  <c r="M8" i="39"/>
  <c r="M10" i="39" s="1"/>
  <c r="L8" i="39"/>
  <c r="L10" i="39" s="1"/>
  <c r="G8" i="39"/>
  <c r="H8" i="39" s="1"/>
  <c r="H7" i="39"/>
  <c r="G6" i="39"/>
  <c r="H6" i="39" s="1"/>
  <c r="G4" i="39"/>
  <c r="H4" i="39" s="1"/>
  <c r="C21" i="12"/>
  <c r="C20" i="12"/>
  <c r="C19" i="12"/>
  <c r="C14" i="12"/>
  <c r="C13" i="12"/>
  <c r="C7" i="12"/>
  <c r="C8" i="12"/>
  <c r="D7" i="38"/>
  <c r="D15" i="38"/>
  <c r="E15" i="38" s="1"/>
  <c r="D14" i="39" l="1"/>
  <c r="E14" i="39" s="1"/>
  <c r="G13" i="39" s="1"/>
  <c r="H13" i="39" s="1"/>
  <c r="E6" i="38"/>
  <c r="G13" i="40" l="1"/>
  <c r="H13" i="40" s="1"/>
  <c r="E9" i="38"/>
  <c r="F9" i="38" s="1"/>
  <c r="G9" i="38" s="1"/>
  <c r="F17" i="38" s="1"/>
  <c r="G17" i="38" s="1"/>
  <c r="E8" i="38"/>
  <c r="F8" i="38" s="1"/>
  <c r="G8" i="38" s="1"/>
  <c r="F16" i="38" s="1"/>
  <c r="G16" i="38" s="1"/>
  <c r="E7" i="38"/>
  <c r="F7" i="38" s="1"/>
  <c r="G7" i="38" s="1"/>
  <c r="F15" i="38" s="1"/>
  <c r="G15" i="38" s="1"/>
  <c r="K15" i="38" s="1"/>
  <c r="K16" i="38" l="1"/>
  <c r="G42" i="15" l="1"/>
  <c r="G43" i="15"/>
  <c r="G44" i="15"/>
  <c r="G45" i="15"/>
  <c r="G46" i="15"/>
  <c r="G47" i="15"/>
  <c r="G41" i="15"/>
  <c r="G31" i="15"/>
  <c r="G32" i="15"/>
  <c r="G33" i="15"/>
  <c r="G34" i="15"/>
  <c r="G35" i="15"/>
  <c r="G36" i="15"/>
  <c r="G30" i="15"/>
  <c r="G18" i="15"/>
  <c r="G19" i="15"/>
  <c r="G20" i="15"/>
  <c r="G21" i="15"/>
  <c r="G22" i="15"/>
  <c r="G23" i="15"/>
  <c r="G17" i="15"/>
  <c r="G6" i="15"/>
  <c r="G7" i="15"/>
  <c r="G8" i="15"/>
  <c r="G9" i="15"/>
  <c r="G10" i="15"/>
  <c r="G11" i="15"/>
  <c r="G12" i="15"/>
  <c r="O40" i="8"/>
  <c r="O41" i="8"/>
  <c r="O42" i="8"/>
  <c r="O43" i="8"/>
  <c r="O44" i="8"/>
  <c r="O45" i="8"/>
  <c r="O39" i="8"/>
  <c r="O29" i="8"/>
  <c r="O30" i="8"/>
  <c r="O31" i="8"/>
  <c r="O32" i="8"/>
  <c r="O33" i="8"/>
  <c r="O34" i="8"/>
  <c r="O28" i="8"/>
  <c r="O18" i="8"/>
  <c r="O19" i="8"/>
  <c r="O20" i="8"/>
  <c r="O21" i="8"/>
  <c r="O22" i="8"/>
  <c r="O23" i="8"/>
  <c r="O17" i="8"/>
  <c r="O6" i="8"/>
  <c r="O7" i="8"/>
  <c r="O8" i="8"/>
  <c r="O9" i="8"/>
  <c r="O10" i="8"/>
  <c r="O11" i="8"/>
  <c r="O12" i="8"/>
  <c r="G6" i="8"/>
  <c r="G18" i="8"/>
  <c r="G19" i="8"/>
  <c r="G20" i="8"/>
  <c r="G21" i="8"/>
  <c r="G22" i="8"/>
  <c r="G23" i="8"/>
  <c r="G17" i="8"/>
  <c r="G7" i="8"/>
  <c r="G8" i="8"/>
  <c r="G9" i="8"/>
  <c r="G10" i="8"/>
  <c r="G11" i="8"/>
  <c r="G12" i="8"/>
  <c r="O31" i="2"/>
  <c r="O107" i="2"/>
  <c r="O108" i="2"/>
  <c r="O109" i="2"/>
  <c r="O110" i="2"/>
  <c r="O111" i="2"/>
  <c r="O112" i="2"/>
  <c r="O106" i="2"/>
  <c r="O118" i="2"/>
  <c r="O119" i="2"/>
  <c r="O120" i="2"/>
  <c r="O121" i="2"/>
  <c r="O122" i="2"/>
  <c r="O123" i="2"/>
  <c r="O117" i="2"/>
  <c r="G118" i="2"/>
  <c r="G119" i="2"/>
  <c r="G120" i="2"/>
  <c r="G121" i="2"/>
  <c r="G122" i="2"/>
  <c r="G123" i="2"/>
  <c r="G117" i="2"/>
  <c r="G106" i="2"/>
  <c r="G107" i="2"/>
  <c r="G108" i="2"/>
  <c r="G109" i="2"/>
  <c r="G110" i="2"/>
  <c r="G111" i="2"/>
  <c r="G112" i="2"/>
  <c r="O93" i="2"/>
  <c r="O94" i="2"/>
  <c r="O95" i="2"/>
  <c r="O96" i="2"/>
  <c r="O97" i="2"/>
  <c r="O98" i="2"/>
  <c r="O92" i="2"/>
  <c r="O82" i="2"/>
  <c r="O83" i="2"/>
  <c r="O84" i="2"/>
  <c r="O85" i="2"/>
  <c r="O86" i="2"/>
  <c r="O87" i="2"/>
  <c r="O81" i="2"/>
  <c r="G93" i="2"/>
  <c r="G94" i="2"/>
  <c r="G95" i="2"/>
  <c r="G96" i="2"/>
  <c r="G97" i="2"/>
  <c r="G98" i="2"/>
  <c r="G92" i="2"/>
  <c r="G81" i="2"/>
  <c r="G82" i="2"/>
  <c r="G83" i="2"/>
  <c r="G84" i="2"/>
  <c r="G85" i="2"/>
  <c r="G86" i="2"/>
  <c r="G87" i="2"/>
  <c r="O68" i="2"/>
  <c r="O69" i="2"/>
  <c r="O70" i="2"/>
  <c r="O71" i="2"/>
  <c r="O72" i="2"/>
  <c r="O73" i="2"/>
  <c r="O67" i="2"/>
  <c r="O57" i="2"/>
  <c r="O58" i="2"/>
  <c r="O59" i="2"/>
  <c r="O60" i="2"/>
  <c r="O61" i="2"/>
  <c r="O62" i="2"/>
  <c r="O56" i="2"/>
  <c r="G68" i="2"/>
  <c r="G69" i="2"/>
  <c r="G70" i="2"/>
  <c r="G71" i="2"/>
  <c r="G72" i="2"/>
  <c r="G73" i="2"/>
  <c r="G67" i="2"/>
  <c r="G56" i="2"/>
  <c r="G57" i="2"/>
  <c r="G58" i="2"/>
  <c r="G59" i="2"/>
  <c r="G60" i="2"/>
  <c r="G61" i="2"/>
  <c r="G62" i="2"/>
  <c r="O43" i="2"/>
  <c r="O44" i="2"/>
  <c r="O45" i="2"/>
  <c r="O46" i="2"/>
  <c r="O47" i="2"/>
  <c r="O48" i="2"/>
  <c r="O42" i="2"/>
  <c r="G43" i="2"/>
  <c r="G44" i="2"/>
  <c r="G45" i="2"/>
  <c r="G46" i="2"/>
  <c r="G47" i="2"/>
  <c r="G48" i="2"/>
  <c r="G42" i="2"/>
  <c r="O32" i="2"/>
  <c r="O33" i="2"/>
  <c r="O34" i="2"/>
  <c r="O35" i="2"/>
  <c r="O36" i="2"/>
  <c r="O37" i="2"/>
  <c r="O18" i="2"/>
  <c r="O19" i="2"/>
  <c r="O20" i="2"/>
  <c r="O21" i="2"/>
  <c r="O22" i="2"/>
  <c r="O23" i="2"/>
  <c r="O17" i="2"/>
  <c r="O7" i="2"/>
  <c r="O8" i="2"/>
  <c r="O9" i="2"/>
  <c r="O10" i="2"/>
  <c r="O11" i="2"/>
  <c r="O12" i="2"/>
  <c r="O6" i="2"/>
  <c r="G18" i="2"/>
  <c r="G19" i="2"/>
  <c r="G20" i="2"/>
  <c r="G21" i="2"/>
  <c r="G22" i="2"/>
  <c r="G23" i="2"/>
  <c r="G17" i="2"/>
  <c r="G32" i="2"/>
  <c r="G33" i="2"/>
  <c r="G34" i="2"/>
  <c r="G35" i="2"/>
  <c r="G36" i="2"/>
  <c r="G37" i="2"/>
  <c r="G31" i="2"/>
  <c r="G6" i="2"/>
  <c r="H67" i="36" l="1"/>
  <c r="K67" i="36" s="1"/>
  <c r="G67" i="36"/>
  <c r="H66" i="36"/>
  <c r="K66" i="36" s="1"/>
  <c r="G66" i="36"/>
  <c r="H65" i="36"/>
  <c r="K65" i="36" s="1"/>
  <c r="G65" i="36"/>
  <c r="H64" i="36"/>
  <c r="K64" i="36" s="1"/>
  <c r="G64" i="36"/>
  <c r="H63" i="36"/>
  <c r="K63" i="36" s="1"/>
  <c r="G63" i="36"/>
  <c r="H61" i="36"/>
  <c r="K61" i="36" s="1"/>
  <c r="G61" i="36"/>
  <c r="H60" i="36"/>
  <c r="K60" i="36" s="1"/>
  <c r="G60" i="36"/>
  <c r="H59" i="36"/>
  <c r="K59" i="36" s="1"/>
  <c r="G59" i="36"/>
  <c r="H58" i="36"/>
  <c r="K58" i="36" s="1"/>
  <c r="G58" i="36"/>
  <c r="H57" i="36"/>
  <c r="K57" i="36" s="1"/>
  <c r="G57" i="36"/>
  <c r="H55" i="36"/>
  <c r="K55" i="36" s="1"/>
  <c r="G55" i="36"/>
  <c r="H54" i="36"/>
  <c r="K54" i="36" s="1"/>
  <c r="G54" i="36"/>
  <c r="H53" i="36"/>
  <c r="K53" i="36" s="1"/>
  <c r="G53" i="36"/>
  <c r="H52" i="36"/>
  <c r="K52" i="36" s="1"/>
  <c r="G52" i="36"/>
  <c r="H51" i="36"/>
  <c r="K51" i="36" s="1"/>
  <c r="G51" i="36"/>
  <c r="G32" i="36"/>
  <c r="H32" i="36"/>
  <c r="K32" i="36" s="1"/>
  <c r="G33" i="36"/>
  <c r="H33" i="36"/>
  <c r="K33" i="36" s="1"/>
  <c r="G34" i="36"/>
  <c r="H34" i="36"/>
  <c r="K34" i="36" s="1"/>
  <c r="G35" i="36"/>
  <c r="H35" i="36"/>
  <c r="K35" i="36" s="1"/>
  <c r="G37" i="36"/>
  <c r="H37" i="36"/>
  <c r="K37" i="36" s="1"/>
  <c r="G38" i="36"/>
  <c r="H38" i="36"/>
  <c r="K38" i="36" s="1"/>
  <c r="G39" i="36"/>
  <c r="H39" i="36"/>
  <c r="K39" i="36" s="1"/>
  <c r="G40" i="36"/>
  <c r="H40" i="36"/>
  <c r="K40" i="36" s="1"/>
  <c r="G42" i="36"/>
  <c r="H42" i="36"/>
  <c r="K42" i="36" s="1"/>
  <c r="G43" i="36"/>
  <c r="H43" i="36"/>
  <c r="K43" i="36" s="1"/>
  <c r="G44" i="36"/>
  <c r="H44" i="36"/>
  <c r="K44" i="36" s="1"/>
  <c r="G45" i="36"/>
  <c r="H45" i="36"/>
  <c r="K45" i="36" s="1"/>
  <c r="F5" i="15"/>
  <c r="F16" i="15"/>
  <c r="F29" i="15"/>
  <c r="F105" i="2"/>
  <c r="F116" i="2"/>
  <c r="N116" i="2"/>
  <c r="N105" i="2"/>
  <c r="N91" i="2"/>
  <c r="F91" i="2"/>
  <c r="N80" i="2"/>
  <c r="F80" i="2"/>
  <c r="F66" i="2"/>
  <c r="N66" i="2"/>
  <c r="N55" i="2"/>
  <c r="F55" i="2"/>
  <c r="N41" i="2"/>
  <c r="F41" i="2"/>
  <c r="N30" i="2"/>
  <c r="F30" i="2"/>
  <c r="N16" i="2"/>
  <c r="N5" i="2"/>
  <c r="F16" i="2"/>
  <c r="F25" i="33"/>
  <c r="P8" i="27" l="1"/>
  <c r="P10" i="27" s="1"/>
  <c r="Q8" i="27"/>
  <c r="Q10" i="27" s="1"/>
  <c r="F61" i="33" l="1"/>
  <c r="F62" i="33"/>
  <c r="F63" i="33"/>
  <c r="F60" i="33"/>
  <c r="F58" i="33"/>
  <c r="F59" i="33"/>
  <c r="H23" i="36" l="1"/>
  <c r="K23" i="36" s="1"/>
  <c r="H24" i="36"/>
  <c r="K24" i="36" s="1"/>
  <c r="H25" i="36"/>
  <c r="K25" i="36" s="1"/>
  <c r="H26" i="36"/>
  <c r="K26" i="36" s="1"/>
  <c r="G23" i="36"/>
  <c r="G24" i="36"/>
  <c r="G25" i="36"/>
  <c r="G26" i="36"/>
  <c r="H19" i="36"/>
  <c r="K19" i="36" s="1"/>
  <c r="G19" i="36"/>
  <c r="G17" i="36" l="1"/>
  <c r="H17" i="36"/>
  <c r="K17" i="36" s="1"/>
  <c r="H13" i="36"/>
  <c r="K13" i="36" s="1"/>
  <c r="G13" i="36"/>
  <c r="H11" i="36"/>
  <c r="K11" i="36" s="1"/>
  <c r="G11" i="36"/>
  <c r="B16" i="30"/>
  <c r="B110" i="36" l="1"/>
  <c r="C110" i="36" s="1"/>
  <c r="B99" i="36"/>
  <c r="C99" i="36" s="1"/>
  <c r="H4" i="36"/>
  <c r="F33" i="33" l="1"/>
  <c r="F52" i="33"/>
  <c r="F51" i="33"/>
  <c r="F36" i="33"/>
  <c r="F35" i="33"/>
  <c r="F34" i="33"/>
  <c r="F9" i="33" l="1"/>
  <c r="F21" i="33"/>
  <c r="F12" i="33"/>
  <c r="G4" i="36" l="1"/>
  <c r="H12" i="36"/>
  <c r="K12" i="36" s="1"/>
  <c r="H14" i="36"/>
  <c r="K14" i="36" s="1"/>
  <c r="H16" i="36"/>
  <c r="K16" i="36" s="1"/>
  <c r="H18" i="36"/>
  <c r="K18" i="36" s="1"/>
  <c r="H20" i="36"/>
  <c r="K20" i="36" s="1"/>
  <c r="H22" i="36"/>
  <c r="K22" i="36" s="1"/>
  <c r="H10" i="36"/>
  <c r="K10" i="36" s="1"/>
  <c r="G12" i="36"/>
  <c r="G14" i="36"/>
  <c r="G16" i="36"/>
  <c r="G18" i="36"/>
  <c r="G20" i="36"/>
  <c r="G22" i="36"/>
  <c r="G10" i="36"/>
  <c r="Q3" i="35" l="1"/>
  <c r="Q4" i="35" s="1"/>
  <c r="Q5" i="35" s="1"/>
  <c r="F22" i="33"/>
  <c r="F23" i="33"/>
  <c r="F26" i="33"/>
  <c r="F24" i="33"/>
  <c r="F20" i="33"/>
  <c r="F5" i="33"/>
  <c r="F6" i="33"/>
  <c r="F7" i="33"/>
  <c r="F13" i="33"/>
  <c r="F10" i="33"/>
  <c r="F11" i="33"/>
  <c r="F8" i="33"/>
  <c r="F4" i="33"/>
  <c r="Q6" i="35" l="1"/>
  <c r="M7" i="7" l="1"/>
  <c r="B15" i="31" l="1"/>
  <c r="C2" i="31" s="1"/>
  <c r="C6" i="31" l="1"/>
  <c r="C5" i="31"/>
  <c r="C4" i="31"/>
  <c r="C3" i="31"/>
  <c r="F338" i="17"/>
  <c r="F337" i="17"/>
  <c r="F336" i="17"/>
  <c r="F335" i="17"/>
  <c r="F334" i="17"/>
  <c r="F333" i="17"/>
  <c r="E337" i="17"/>
  <c r="E335" i="17"/>
  <c r="E338" i="17"/>
  <c r="E336" i="17"/>
  <c r="E334" i="17"/>
  <c r="E333" i="17"/>
  <c r="C7" i="31" l="1"/>
  <c r="V35" i="4" l="1"/>
  <c r="N58" i="4"/>
  <c r="F25" i="4"/>
  <c r="G26" i="4" s="1"/>
  <c r="C27" i="7" s="1"/>
  <c r="N38" i="8"/>
  <c r="V43" i="4"/>
  <c r="N50" i="4"/>
  <c r="F20" i="4"/>
  <c r="G21" i="4" s="1"/>
  <c r="C22" i="7" s="1"/>
  <c r="N27" i="8"/>
  <c r="F27" i="11"/>
  <c r="F5" i="2"/>
  <c r="N13" i="4"/>
  <c r="V50" i="4"/>
  <c r="N43" i="4"/>
  <c r="F15" i="4"/>
  <c r="G16" i="4" s="1"/>
  <c r="C17" i="7" s="1"/>
  <c r="N16" i="8"/>
  <c r="V58" i="4"/>
  <c r="N35" i="4"/>
  <c r="F10" i="4"/>
  <c r="G11" i="4" s="1"/>
  <c r="C12" i="7" s="1"/>
  <c r="N5" i="8"/>
  <c r="V73" i="4"/>
  <c r="V20" i="4"/>
  <c r="F16" i="11"/>
  <c r="N65" i="4"/>
  <c r="V5" i="4"/>
  <c r="V65" i="4"/>
  <c r="N28" i="4"/>
  <c r="O29" i="4" s="1"/>
  <c r="F5" i="4"/>
  <c r="G6" i="4" s="1"/>
  <c r="C7" i="7" s="1"/>
  <c r="F16" i="8"/>
  <c r="V13" i="4"/>
  <c r="N20" i="4"/>
  <c r="F5" i="8"/>
  <c r="N73" i="4"/>
  <c r="F40" i="15"/>
  <c r="V28" i="4"/>
  <c r="N5" i="4"/>
  <c r="F5" i="11"/>
  <c r="O59" i="4" l="1"/>
  <c r="D321" i="17" s="1"/>
  <c r="G7" i="2"/>
  <c r="G8" i="2"/>
  <c r="G9" i="2"/>
  <c r="G10" i="2"/>
  <c r="G11" i="2"/>
  <c r="G12" i="2"/>
  <c r="W22" i="4"/>
  <c r="W23" i="4"/>
  <c r="W24" i="4"/>
  <c r="W21" i="4"/>
  <c r="O37" i="4"/>
  <c r="D327" i="17" s="1"/>
  <c r="O38" i="4"/>
  <c r="D328" i="17" s="1"/>
  <c r="O39" i="4"/>
  <c r="D329" i="17" s="1"/>
  <c r="O36" i="4"/>
  <c r="D326" i="17" s="1"/>
  <c r="O44" i="4"/>
  <c r="D330" i="17" s="1"/>
  <c r="O45" i="4"/>
  <c r="D331" i="17" s="1"/>
  <c r="O24" i="4"/>
  <c r="O21" i="4"/>
  <c r="O22" i="4"/>
  <c r="O23" i="4"/>
  <c r="W67" i="4"/>
  <c r="W68" i="4"/>
  <c r="W69" i="4"/>
  <c r="W66" i="4"/>
  <c r="W60" i="4"/>
  <c r="W59" i="4"/>
  <c r="W54" i="4"/>
  <c r="W51" i="4"/>
  <c r="W52" i="4"/>
  <c r="W53" i="4"/>
  <c r="O9" i="4"/>
  <c r="L10" i="7" s="1"/>
  <c r="Q10" i="7" s="1"/>
  <c r="O6" i="4"/>
  <c r="L7" i="7" s="1"/>
  <c r="O8" i="4"/>
  <c r="L9" i="7" s="1"/>
  <c r="O7" i="4"/>
  <c r="L8" i="7" s="1"/>
  <c r="W75" i="4"/>
  <c r="W74" i="4"/>
  <c r="O15" i="4"/>
  <c r="O14" i="4"/>
  <c r="O52" i="4"/>
  <c r="D320" i="17" s="1"/>
  <c r="O54" i="4"/>
  <c r="D324" i="17" s="1"/>
  <c r="O53" i="4"/>
  <c r="D322" i="17" s="1"/>
  <c r="O51" i="4"/>
  <c r="D319" i="17" s="1"/>
  <c r="O75" i="4"/>
  <c r="D337" i="17" s="1"/>
  <c r="O74" i="4"/>
  <c r="D335" i="17" s="1"/>
  <c r="W14" i="4"/>
  <c r="W15" i="4"/>
  <c r="W7" i="4"/>
  <c r="W8" i="4"/>
  <c r="W9" i="4"/>
  <c r="W6" i="4"/>
  <c r="W30" i="4"/>
  <c r="W29" i="4"/>
  <c r="W45" i="4"/>
  <c r="W44" i="4"/>
  <c r="W38" i="4"/>
  <c r="W39" i="4"/>
  <c r="W37" i="4"/>
  <c r="W36" i="4"/>
  <c r="O69" i="4"/>
  <c r="D338" i="17" s="1"/>
  <c r="O66" i="4"/>
  <c r="D333" i="17" s="1"/>
  <c r="O67" i="4"/>
  <c r="D334" i="17" s="1"/>
  <c r="O68" i="4"/>
  <c r="D336" i="17" s="1"/>
  <c r="E235" i="17" l="1"/>
  <c r="F235" i="17"/>
  <c r="E236" i="17"/>
  <c r="F236" i="17"/>
  <c r="E237" i="17"/>
  <c r="F237" i="17"/>
  <c r="E227" i="17"/>
  <c r="F227" i="17"/>
  <c r="E228" i="17"/>
  <c r="F228" i="17"/>
  <c r="E229" i="17"/>
  <c r="F229" i="17"/>
  <c r="E219" i="17"/>
  <c r="F219" i="17"/>
  <c r="E220" i="17"/>
  <c r="F220" i="17"/>
  <c r="E221" i="17"/>
  <c r="F221" i="17"/>
  <c r="E211" i="17"/>
  <c r="F211" i="17"/>
  <c r="D212" i="17"/>
  <c r="E212" i="17"/>
  <c r="F212" i="17"/>
  <c r="E213" i="17"/>
  <c r="F213" i="17"/>
  <c r="E207" i="17"/>
  <c r="F207" i="17"/>
  <c r="E208" i="17"/>
  <c r="F208" i="17"/>
  <c r="E209" i="17"/>
  <c r="F209" i="17"/>
  <c r="E199" i="17"/>
  <c r="F199" i="17"/>
  <c r="E200" i="17"/>
  <c r="F200" i="17"/>
  <c r="E201" i="17"/>
  <c r="F201" i="17"/>
  <c r="E203" i="17"/>
  <c r="F203" i="17"/>
  <c r="E204" i="17"/>
  <c r="F204" i="17"/>
  <c r="E205" i="17"/>
  <c r="F205" i="17"/>
  <c r="E206" i="17"/>
  <c r="F206" i="17"/>
  <c r="E214" i="17"/>
  <c r="F214" i="17"/>
  <c r="D22" i="9"/>
  <c r="J22" i="9" s="1"/>
  <c r="K22" i="9"/>
  <c r="D23" i="9"/>
  <c r="J23" i="9"/>
  <c r="K23" i="9"/>
  <c r="D24" i="9"/>
  <c r="J24" i="9" s="1"/>
  <c r="K24" i="9"/>
  <c r="D11" i="9"/>
  <c r="J11" i="9" s="1"/>
  <c r="K11" i="9"/>
  <c r="D12" i="9"/>
  <c r="J12" i="9" s="1"/>
  <c r="K12" i="9"/>
  <c r="D13" i="9"/>
  <c r="J13" i="9"/>
  <c r="K13" i="9"/>
  <c r="P41" i="9"/>
  <c r="V41" i="9"/>
  <c r="W41" i="9"/>
  <c r="P42" i="9"/>
  <c r="W42" i="9"/>
  <c r="P43" i="9"/>
  <c r="V43" i="9"/>
  <c r="W43" i="9"/>
  <c r="P30" i="9"/>
  <c r="V30" i="9"/>
  <c r="W30" i="9"/>
  <c r="P31" i="9"/>
  <c r="V31" i="9"/>
  <c r="W31" i="9"/>
  <c r="P32" i="9"/>
  <c r="V32" i="9"/>
  <c r="W32" i="9"/>
  <c r="P18" i="9"/>
  <c r="V18" i="9" s="1"/>
  <c r="W18" i="9"/>
  <c r="P19" i="9"/>
  <c r="V19" i="9"/>
  <c r="W19" i="9"/>
  <c r="P20" i="9"/>
  <c r="V20" i="9"/>
  <c r="W20" i="9"/>
  <c r="P7" i="9"/>
  <c r="V7" i="9"/>
  <c r="W7" i="9"/>
  <c r="P8" i="9"/>
  <c r="V8" i="9"/>
  <c r="W8" i="9"/>
  <c r="P9" i="9"/>
  <c r="V9" i="9"/>
  <c r="W9" i="9"/>
  <c r="D207" i="17"/>
  <c r="D208" i="17"/>
  <c r="D209" i="17"/>
  <c r="C11" i="9"/>
  <c r="G11" i="9" s="1"/>
  <c r="C12" i="9"/>
  <c r="D201" i="17"/>
  <c r="O42" i="9"/>
  <c r="O43" i="9"/>
  <c r="D235" i="17"/>
  <c r="D227" i="17"/>
  <c r="O31" i="9"/>
  <c r="D229" i="17"/>
  <c r="D219" i="17"/>
  <c r="O19" i="9"/>
  <c r="D221" i="17"/>
  <c r="O7" i="9"/>
  <c r="S7" i="9" s="1"/>
  <c r="O8" i="9"/>
  <c r="D213" i="17"/>
  <c r="D214" i="17"/>
  <c r="V76" i="7"/>
  <c r="M76" i="7"/>
  <c r="V75" i="7"/>
  <c r="M75" i="7"/>
  <c r="U76" i="7"/>
  <c r="L76" i="7"/>
  <c r="Q76" i="7" s="1"/>
  <c r="U75" i="7"/>
  <c r="Z75" i="7" s="1"/>
  <c r="L75" i="7"/>
  <c r="Q75" i="7" s="1"/>
  <c r="U70" i="7"/>
  <c r="Z70" i="7" s="1"/>
  <c r="L70" i="7"/>
  <c r="Q70" i="7" s="1"/>
  <c r="U69" i="7"/>
  <c r="Z69" i="7" s="1"/>
  <c r="L69" i="7"/>
  <c r="Q69" i="7" s="1"/>
  <c r="U68" i="7"/>
  <c r="Z68" i="7" s="1"/>
  <c r="L68" i="7"/>
  <c r="Q68" i="7" s="1"/>
  <c r="U67" i="7"/>
  <c r="Z67" i="7" s="1"/>
  <c r="L67" i="7"/>
  <c r="Q67" i="7" s="1"/>
  <c r="C13" i="9" l="1"/>
  <c r="E13" i="9" s="1"/>
  <c r="D237" i="17"/>
  <c r="C24" i="9"/>
  <c r="E24" i="9" s="1"/>
  <c r="O32" i="9"/>
  <c r="Q32" i="9" s="1"/>
  <c r="D228" i="17"/>
  <c r="S43" i="9"/>
  <c r="Q43" i="9"/>
  <c r="T43" i="9"/>
  <c r="S42" i="9"/>
  <c r="T42" i="9"/>
  <c r="O41" i="9"/>
  <c r="D236" i="17"/>
  <c r="Q42" i="9"/>
  <c r="S31" i="9"/>
  <c r="T31" i="9"/>
  <c r="O30" i="9"/>
  <c r="S19" i="9"/>
  <c r="T19" i="9"/>
  <c r="D220" i="17"/>
  <c r="O20" i="9"/>
  <c r="T20" i="9" s="1"/>
  <c r="O18" i="9"/>
  <c r="Q18" i="9" s="1"/>
  <c r="Q19" i="9"/>
  <c r="S8" i="9"/>
  <c r="T8" i="9"/>
  <c r="Q8" i="9"/>
  <c r="D211" i="17"/>
  <c r="O9" i="9"/>
  <c r="C23" i="9"/>
  <c r="H23" i="9" s="1"/>
  <c r="C22" i="9"/>
  <c r="E22" i="9" s="1"/>
  <c r="E12" i="9"/>
  <c r="H12" i="9"/>
  <c r="D199" i="17"/>
  <c r="D200" i="17"/>
  <c r="O68" i="7"/>
  <c r="P68" i="7" s="1"/>
  <c r="V42" i="9"/>
  <c r="G24" i="9"/>
  <c r="E11" i="9"/>
  <c r="H11" i="9"/>
  <c r="H13" i="9"/>
  <c r="G13" i="9"/>
  <c r="G12" i="9"/>
  <c r="Q31" i="9"/>
  <c r="T7" i="9"/>
  <c r="Q7" i="9"/>
  <c r="Y76" i="7"/>
  <c r="Z76" i="7"/>
  <c r="W76" i="7"/>
  <c r="W75" i="7"/>
  <c r="X69" i="7"/>
  <c r="V69" i="7" s="1"/>
  <c r="W69" i="7" s="1"/>
  <c r="X70" i="7"/>
  <c r="V70" i="7" s="1"/>
  <c r="W70" i="7" s="1"/>
  <c r="X68" i="7"/>
  <c r="V68" i="7" s="1"/>
  <c r="W68" i="7" s="1"/>
  <c r="V67" i="7"/>
  <c r="W67" i="7" s="1"/>
  <c r="N76" i="7"/>
  <c r="N75" i="7"/>
  <c r="M67" i="7"/>
  <c r="P75" i="7"/>
  <c r="P67" i="7"/>
  <c r="Y75" i="7"/>
  <c r="Y67" i="7"/>
  <c r="P76" i="7"/>
  <c r="D23" i="30"/>
  <c r="E23" i="30" s="1"/>
  <c r="F23" i="30" s="1"/>
  <c r="G23" i="30" s="1"/>
  <c r="F5" i="30" s="1"/>
  <c r="G5" i="30" s="1"/>
  <c r="D24" i="30"/>
  <c r="E24" i="30" s="1"/>
  <c r="F24" i="30" s="1"/>
  <c r="G24" i="30" s="1"/>
  <c r="F6" i="30" s="1"/>
  <c r="D25" i="30"/>
  <c r="E25" i="30"/>
  <c r="F25" i="30" s="1"/>
  <c r="G25" i="30" s="1"/>
  <c r="F7" i="30" s="1"/>
  <c r="D26" i="30"/>
  <c r="E26" i="30" s="1"/>
  <c r="F26" i="30" s="1"/>
  <c r="G26" i="30" s="1"/>
  <c r="F8" i="30" s="1"/>
  <c r="G8" i="30" s="1"/>
  <c r="D27" i="30"/>
  <c r="E27" i="30"/>
  <c r="F27" i="30" s="1"/>
  <c r="G27" i="30" s="1"/>
  <c r="F9" i="30" s="1"/>
  <c r="D28" i="30"/>
  <c r="E28" i="30" s="1"/>
  <c r="F28" i="30" s="1"/>
  <c r="G28" i="30" s="1"/>
  <c r="F10" i="30" s="1"/>
  <c r="G10" i="30" s="1"/>
  <c r="D29" i="30"/>
  <c r="E29" i="30" s="1"/>
  <c r="F29" i="30" s="1"/>
  <c r="G29" i="30" s="1"/>
  <c r="F11" i="30" s="1"/>
  <c r="G11" i="30" s="1"/>
  <c r="D30" i="30"/>
  <c r="E30" i="30"/>
  <c r="F30" i="30"/>
  <c r="G30" i="30" s="1"/>
  <c r="F12" i="30" s="1"/>
  <c r="G12" i="30" s="1"/>
  <c r="D5" i="30"/>
  <c r="E5" i="30"/>
  <c r="D6" i="30"/>
  <c r="E6" i="30" s="1"/>
  <c r="D7" i="30"/>
  <c r="E7" i="30"/>
  <c r="D8" i="30"/>
  <c r="E8" i="30"/>
  <c r="D9" i="30"/>
  <c r="E9" i="30"/>
  <c r="D10" i="30"/>
  <c r="E10" i="30"/>
  <c r="D11" i="30"/>
  <c r="E11" i="30"/>
  <c r="D12" i="30"/>
  <c r="E12" i="30"/>
  <c r="E23" i="9" l="1"/>
  <c r="Q20" i="9"/>
  <c r="H24" i="9"/>
  <c r="G23" i="9"/>
  <c r="T32" i="9"/>
  <c r="S32" i="9"/>
  <c r="S41" i="9"/>
  <c r="Q41" i="9"/>
  <c r="T41" i="9"/>
  <c r="S30" i="9"/>
  <c r="Q30" i="9"/>
  <c r="T30" i="9"/>
  <c r="S18" i="9"/>
  <c r="T18" i="9"/>
  <c r="S20" i="9"/>
  <c r="T9" i="9"/>
  <c r="S9" i="9"/>
  <c r="Q9" i="9"/>
  <c r="G22" i="9"/>
  <c r="H22" i="9"/>
  <c r="Y70" i="7"/>
  <c r="Y68" i="7"/>
  <c r="Y69" i="7"/>
  <c r="N67" i="7"/>
  <c r="M68" i="7"/>
  <c r="G9" i="30"/>
  <c r="G6" i="30"/>
  <c r="G7" i="30"/>
  <c r="N68" i="7" l="1"/>
  <c r="B14" i="30"/>
  <c r="E243" i="17" l="1"/>
  <c r="F243" i="17"/>
  <c r="E251" i="17"/>
  <c r="F251" i="17"/>
  <c r="E259" i="17"/>
  <c r="F259" i="17"/>
  <c r="D29" i="10"/>
  <c r="K29" i="10"/>
  <c r="D18" i="10"/>
  <c r="J18" i="10"/>
  <c r="K18" i="10"/>
  <c r="D7" i="10"/>
  <c r="J7" i="10"/>
  <c r="K7" i="10"/>
  <c r="G6" i="11"/>
  <c r="C7" i="10" s="1"/>
  <c r="G17" i="11"/>
  <c r="D251" i="17" s="1"/>
  <c r="G28" i="11"/>
  <c r="D259" i="17" s="1"/>
  <c r="D8" i="10"/>
  <c r="J8" i="10" s="1"/>
  <c r="K8" i="10"/>
  <c r="C29" i="10" l="1"/>
  <c r="G29" i="10" s="1"/>
  <c r="C18" i="10"/>
  <c r="D243" i="17"/>
  <c r="G7" i="10"/>
  <c r="H7" i="10"/>
  <c r="E7" i="10"/>
  <c r="J29" i="10"/>
  <c r="E239" i="17"/>
  <c r="E240" i="17"/>
  <c r="E241" i="17"/>
  <c r="F239" i="17"/>
  <c r="F240" i="17"/>
  <c r="F241" i="17"/>
  <c r="F238" i="17"/>
  <c r="E232" i="17"/>
  <c r="F231" i="17"/>
  <c r="F232" i="17"/>
  <c r="F233" i="17"/>
  <c r="F230" i="17"/>
  <c r="W47" i="9"/>
  <c r="P47" i="9"/>
  <c r="W46" i="9"/>
  <c r="P46" i="9"/>
  <c r="V46" i="9" s="1"/>
  <c r="W45" i="9"/>
  <c r="P45" i="9"/>
  <c r="W44" i="9"/>
  <c r="P44" i="9"/>
  <c r="V44" i="9" s="1"/>
  <c r="W36" i="9"/>
  <c r="P36" i="9"/>
  <c r="E233" i="17" s="1"/>
  <c r="W35" i="9"/>
  <c r="P35" i="9"/>
  <c r="W34" i="9"/>
  <c r="P34" i="9"/>
  <c r="V34" i="9" s="1"/>
  <c r="W33" i="9"/>
  <c r="P33" i="9"/>
  <c r="E230" i="17" s="1"/>
  <c r="H29" i="10" l="1"/>
  <c r="E29" i="10"/>
  <c r="G18" i="10"/>
  <c r="H18" i="10"/>
  <c r="E18" i="10"/>
  <c r="E231" i="17"/>
  <c r="E238" i="17"/>
  <c r="V45" i="9"/>
  <c r="V35" i="9"/>
  <c r="V36" i="9"/>
  <c r="V33" i="9"/>
  <c r="V47" i="9"/>
  <c r="M9" i="5"/>
  <c r="P10" i="6" s="1"/>
  <c r="U10" i="6" s="1"/>
  <c r="S10" i="6" s="1"/>
  <c r="Q10" i="6" s="1"/>
  <c r="W10" i="6" s="1"/>
  <c r="X10" i="6" l="1"/>
  <c r="R10" i="6"/>
  <c r="T10" i="6"/>
  <c r="F188" i="17"/>
  <c r="F189" i="17"/>
  <c r="F190" i="17"/>
  <c r="F191" i="17"/>
  <c r="F192" i="17"/>
  <c r="F193" i="17"/>
  <c r="E188" i="17"/>
  <c r="E189" i="17"/>
  <c r="E190" i="17"/>
  <c r="E191" i="17"/>
  <c r="E192" i="17"/>
  <c r="E193" i="17"/>
  <c r="F180" i="17"/>
  <c r="F181" i="17"/>
  <c r="F182" i="17"/>
  <c r="F183" i="17"/>
  <c r="F184" i="17"/>
  <c r="F185" i="17"/>
  <c r="E180" i="17"/>
  <c r="E181" i="17"/>
  <c r="E182" i="17"/>
  <c r="E183" i="17"/>
  <c r="E184" i="17"/>
  <c r="E185" i="17"/>
  <c r="E187" i="17"/>
  <c r="F187" i="17"/>
  <c r="E179" i="17"/>
  <c r="F179" i="17"/>
  <c r="K50" i="16"/>
  <c r="D50" i="16"/>
  <c r="J50" i="16" s="1"/>
  <c r="K49" i="16"/>
  <c r="D49" i="16"/>
  <c r="J49" i="16" s="1"/>
  <c r="K48" i="16"/>
  <c r="D48" i="16"/>
  <c r="K47" i="16"/>
  <c r="D47" i="16"/>
  <c r="K46" i="16"/>
  <c r="D46" i="16"/>
  <c r="K45" i="16"/>
  <c r="D45" i="16"/>
  <c r="K44" i="16"/>
  <c r="D44" i="16"/>
  <c r="K39" i="16"/>
  <c r="D39" i="16"/>
  <c r="J39" i="16" s="1"/>
  <c r="K38" i="16"/>
  <c r="D38" i="16"/>
  <c r="J38" i="16" s="1"/>
  <c r="K37" i="16"/>
  <c r="D37" i="16"/>
  <c r="J37" i="16" s="1"/>
  <c r="K36" i="16"/>
  <c r="D36" i="16"/>
  <c r="K35" i="16"/>
  <c r="D35" i="16"/>
  <c r="K34" i="16"/>
  <c r="D34" i="16"/>
  <c r="K33" i="16"/>
  <c r="D33" i="16"/>
  <c r="J33" i="16" s="1"/>
  <c r="C45" i="16"/>
  <c r="C46" i="16"/>
  <c r="C47" i="16"/>
  <c r="G47" i="16" s="1"/>
  <c r="C48" i="16"/>
  <c r="C49" i="16"/>
  <c r="C50" i="16"/>
  <c r="H50" i="16" s="1"/>
  <c r="C44" i="16"/>
  <c r="G44" i="16" s="1"/>
  <c r="C34" i="16"/>
  <c r="C35" i="16"/>
  <c r="C36" i="16"/>
  <c r="C37" i="16"/>
  <c r="H37" i="16" s="1"/>
  <c r="C38" i="16"/>
  <c r="H38" i="16" s="1"/>
  <c r="C39" i="16"/>
  <c r="C33" i="16"/>
  <c r="E27" i="26"/>
  <c r="D27" i="26"/>
  <c r="C27" i="26"/>
  <c r="E25" i="26"/>
  <c r="D25" i="26"/>
  <c r="C25" i="26"/>
  <c r="E17" i="26"/>
  <c r="D17" i="26"/>
  <c r="C17" i="26"/>
  <c r="E7" i="26"/>
  <c r="D7" i="26"/>
  <c r="C7" i="26"/>
  <c r="E6" i="26"/>
  <c r="D6" i="26"/>
  <c r="C6" i="26"/>
  <c r="D180" i="17" l="1"/>
  <c r="G34" i="16"/>
  <c r="E34" i="16"/>
  <c r="H36" i="16"/>
  <c r="D182" i="17"/>
  <c r="H35" i="16"/>
  <c r="D181" i="17"/>
  <c r="H34" i="16"/>
  <c r="E35" i="16"/>
  <c r="H39" i="16"/>
  <c r="D185" i="17"/>
  <c r="G33" i="16"/>
  <c r="D179" i="17"/>
  <c r="D183" i="17"/>
  <c r="E36" i="16"/>
  <c r="D184" i="17"/>
  <c r="H48" i="16"/>
  <c r="D191" i="17"/>
  <c r="H46" i="16"/>
  <c r="D189" i="17"/>
  <c r="H45" i="16"/>
  <c r="D188" i="17"/>
  <c r="H49" i="16"/>
  <c r="D192" i="17"/>
  <c r="D190" i="17"/>
  <c r="D187" i="17"/>
  <c r="E47" i="16"/>
  <c r="D193" i="17"/>
  <c r="E44" i="16"/>
  <c r="G35" i="16"/>
  <c r="J35" i="16"/>
  <c r="E46" i="16"/>
  <c r="E45" i="16"/>
  <c r="H44" i="16"/>
  <c r="G45" i="16"/>
  <c r="E48" i="16"/>
  <c r="H47" i="16"/>
  <c r="G46" i="16"/>
  <c r="J48" i="16"/>
  <c r="J46" i="16"/>
  <c r="J47" i="16"/>
  <c r="J45" i="16"/>
  <c r="J34" i="16"/>
  <c r="J36" i="16"/>
  <c r="H33" i="16"/>
  <c r="E33" i="16"/>
  <c r="E39" i="16"/>
  <c r="E38" i="16"/>
  <c r="G39" i="16"/>
  <c r="E50" i="16"/>
  <c r="E37" i="16"/>
  <c r="G38" i="16"/>
  <c r="J44" i="16"/>
  <c r="E49" i="16"/>
  <c r="G50" i="16"/>
  <c r="G37" i="16"/>
  <c r="G49" i="16"/>
  <c r="G36" i="16"/>
  <c r="G48" i="16"/>
  <c r="C28" i="26"/>
  <c r="C32" i="26" s="1"/>
  <c r="E28" i="26"/>
  <c r="D28" i="26"/>
  <c r="D32" i="26" s="1"/>
  <c r="E32" i="26"/>
  <c r="F275" i="17" l="1"/>
  <c r="D27" i="7" l="1"/>
  <c r="E275" i="17" s="1"/>
  <c r="D275" i="17"/>
  <c r="D12" i="1"/>
  <c r="D11" i="1"/>
  <c r="D10" i="1"/>
  <c r="D9" i="1"/>
  <c r="D8" i="1"/>
  <c r="D7" i="1"/>
  <c r="D6" i="1"/>
  <c r="P12" i="1"/>
  <c r="P11" i="1"/>
  <c r="P10" i="1"/>
  <c r="P9" i="1"/>
  <c r="P8" i="1"/>
  <c r="P7" i="1"/>
  <c r="P6" i="1"/>
  <c r="P23" i="1"/>
  <c r="P22" i="1"/>
  <c r="P21" i="1"/>
  <c r="P20" i="1"/>
  <c r="P19" i="1"/>
  <c r="P18" i="1"/>
  <c r="P17" i="1"/>
  <c r="D23" i="1"/>
  <c r="D22" i="1"/>
  <c r="D21" i="1"/>
  <c r="D20" i="1"/>
  <c r="D19" i="1"/>
  <c r="D18" i="1"/>
  <c r="D17" i="1"/>
  <c r="D37" i="1"/>
  <c r="D36" i="1"/>
  <c r="D35" i="1"/>
  <c r="D34" i="1"/>
  <c r="D33" i="1"/>
  <c r="D32" i="1"/>
  <c r="D31" i="1"/>
  <c r="P37" i="1"/>
  <c r="P36" i="1"/>
  <c r="P35" i="1"/>
  <c r="P34" i="1"/>
  <c r="P33" i="1"/>
  <c r="P32" i="1"/>
  <c r="P31" i="1"/>
  <c r="P48" i="1"/>
  <c r="P47" i="1"/>
  <c r="P46" i="1"/>
  <c r="P45" i="1"/>
  <c r="P44" i="1"/>
  <c r="P43" i="1"/>
  <c r="P42" i="1"/>
  <c r="D48" i="1"/>
  <c r="D47" i="1"/>
  <c r="D46" i="1"/>
  <c r="D45" i="1"/>
  <c r="D44" i="1"/>
  <c r="D43" i="1"/>
  <c r="D42" i="1"/>
  <c r="D73" i="1"/>
  <c r="D72" i="1"/>
  <c r="D71" i="1"/>
  <c r="D70" i="1"/>
  <c r="D69" i="1"/>
  <c r="D68" i="1"/>
  <c r="D67" i="1"/>
  <c r="D62" i="1"/>
  <c r="D61" i="1"/>
  <c r="D60" i="1"/>
  <c r="D59" i="1"/>
  <c r="D58" i="1"/>
  <c r="D57" i="1"/>
  <c r="D56" i="1"/>
  <c r="P62" i="1"/>
  <c r="P61" i="1"/>
  <c r="P60" i="1"/>
  <c r="P59" i="1"/>
  <c r="P58" i="1"/>
  <c r="P57" i="1"/>
  <c r="P56" i="1"/>
  <c r="P73" i="1"/>
  <c r="P72" i="1"/>
  <c r="P71" i="1"/>
  <c r="P70" i="1"/>
  <c r="P69" i="1"/>
  <c r="P68" i="1"/>
  <c r="P67" i="1"/>
  <c r="P87" i="1"/>
  <c r="P86" i="1"/>
  <c r="P85" i="1"/>
  <c r="P84" i="1"/>
  <c r="P83" i="1"/>
  <c r="P82" i="1"/>
  <c r="P81" i="1"/>
  <c r="D87" i="1"/>
  <c r="D86" i="1"/>
  <c r="D85" i="1"/>
  <c r="D84" i="1"/>
  <c r="D83" i="1"/>
  <c r="D82" i="1"/>
  <c r="D81" i="1"/>
  <c r="P98" i="1"/>
  <c r="P97" i="1"/>
  <c r="P96" i="1"/>
  <c r="P95" i="1"/>
  <c r="P94" i="1"/>
  <c r="P93" i="1"/>
  <c r="P92" i="1"/>
  <c r="D98" i="1"/>
  <c r="D97" i="1"/>
  <c r="D96" i="1"/>
  <c r="D95" i="1"/>
  <c r="D94" i="1"/>
  <c r="D93" i="1"/>
  <c r="D92" i="1"/>
  <c r="D123" i="1"/>
  <c r="D122" i="1"/>
  <c r="D121" i="1"/>
  <c r="D120" i="1"/>
  <c r="D119" i="1"/>
  <c r="D118" i="1"/>
  <c r="D117" i="1"/>
  <c r="D112" i="1"/>
  <c r="D111" i="1"/>
  <c r="D110" i="1"/>
  <c r="D109" i="1"/>
  <c r="D108" i="1"/>
  <c r="D107" i="1"/>
  <c r="D106" i="1"/>
  <c r="P112" i="1"/>
  <c r="P111" i="1"/>
  <c r="P110" i="1"/>
  <c r="P109" i="1"/>
  <c r="P108" i="1"/>
  <c r="P107" i="1"/>
  <c r="P106" i="1"/>
  <c r="P123" i="1"/>
  <c r="P122" i="1"/>
  <c r="P121" i="1"/>
  <c r="P120" i="1"/>
  <c r="P119" i="1"/>
  <c r="P118" i="1"/>
  <c r="P117" i="1"/>
  <c r="D24" i="16"/>
  <c r="D23" i="16"/>
  <c r="D22" i="16"/>
  <c r="D21" i="16"/>
  <c r="D20" i="16"/>
  <c r="D19" i="16"/>
  <c r="D18" i="16"/>
  <c r="D13" i="16"/>
  <c r="D12" i="16"/>
  <c r="D11" i="16"/>
  <c r="D10" i="16"/>
  <c r="D9" i="16"/>
  <c r="D8" i="16"/>
  <c r="D7" i="16"/>
  <c r="D10" i="9"/>
  <c r="D9" i="9"/>
  <c r="D8" i="9"/>
  <c r="D7" i="9"/>
  <c r="D21" i="9"/>
  <c r="D20" i="9"/>
  <c r="D19" i="9"/>
  <c r="D18" i="9"/>
  <c r="P24" i="9"/>
  <c r="P23" i="9"/>
  <c r="P22" i="9"/>
  <c r="P21" i="9"/>
  <c r="P13" i="9"/>
  <c r="P12" i="9"/>
  <c r="P11" i="9"/>
  <c r="P10" i="9"/>
  <c r="D7" i="7"/>
  <c r="D12" i="7"/>
  <c r="D17" i="7"/>
  <c r="D22" i="7"/>
  <c r="M61" i="7"/>
  <c r="M60" i="7"/>
  <c r="M46" i="7"/>
  <c r="M45" i="7"/>
  <c r="M31" i="7"/>
  <c r="M30" i="7"/>
  <c r="M16" i="7"/>
  <c r="M15" i="7"/>
  <c r="D13" i="10"/>
  <c r="D12" i="10"/>
  <c r="D11" i="10"/>
  <c r="D10" i="10"/>
  <c r="D9" i="10"/>
  <c r="D24" i="10"/>
  <c r="D23" i="10"/>
  <c r="D22" i="10"/>
  <c r="D21" i="10"/>
  <c r="D20" i="10"/>
  <c r="D19" i="10"/>
  <c r="D30" i="10"/>
  <c r="D31" i="10"/>
  <c r="D32" i="10"/>
  <c r="D33" i="10"/>
  <c r="D34" i="10"/>
  <c r="D35" i="10"/>
  <c r="D8" i="25" l="1"/>
  <c r="E8" i="25" s="1"/>
  <c r="G8" i="25" s="1"/>
  <c r="D6" i="25"/>
  <c r="E6" i="25" s="1"/>
  <c r="G6" i="25" s="1"/>
  <c r="D4" i="25"/>
  <c r="E4" i="25" s="1"/>
  <c r="G4" i="25" s="1"/>
  <c r="D230" i="17"/>
  <c r="O33" i="9"/>
  <c r="T33" i="9" s="1"/>
  <c r="D231" i="17"/>
  <c r="O34" i="9"/>
  <c r="T34" i="9" s="1"/>
  <c r="D232" i="17"/>
  <c r="O35" i="9"/>
  <c r="T35" i="9" s="1"/>
  <c r="D233" i="17"/>
  <c r="O36" i="9"/>
  <c r="T36" i="9" s="1"/>
  <c r="E222" i="17"/>
  <c r="F222" i="17"/>
  <c r="Q35" i="9" l="1"/>
  <c r="S35" i="9"/>
  <c r="Q33" i="9"/>
  <c r="S33" i="9"/>
  <c r="S36" i="9"/>
  <c r="Q36" i="9"/>
  <c r="S34" i="9"/>
  <c r="Q34" i="9"/>
  <c r="G27" i="7"/>
  <c r="E27" i="7"/>
  <c r="H27" i="7"/>
  <c r="F323" i="17" l="1"/>
  <c r="E323" i="17"/>
  <c r="F321" i="17"/>
  <c r="E321" i="17"/>
  <c r="F295" i="17"/>
  <c r="E295" i="17"/>
  <c r="F293" i="17"/>
  <c r="E293" i="17"/>
  <c r="E300" i="17"/>
  <c r="F300" i="17"/>
  <c r="F273" i="17"/>
  <c r="E273" i="17"/>
  <c r="D303" i="17"/>
  <c r="U37" i="7"/>
  <c r="Z37" i="7" s="1"/>
  <c r="L38" i="7"/>
  <c r="L39" i="7"/>
  <c r="L40" i="7"/>
  <c r="V61" i="7"/>
  <c r="V60" i="7"/>
  <c r="D299" i="17"/>
  <c r="D300" i="17"/>
  <c r="D301" i="17"/>
  <c r="D298" i="17"/>
  <c r="D302" i="17"/>
  <c r="D295" i="17"/>
  <c r="D293" i="17"/>
  <c r="U53" i="7"/>
  <c r="D294" i="17"/>
  <c r="U55" i="7"/>
  <c r="Z55" i="7" s="1"/>
  <c r="D291" i="17"/>
  <c r="U61" i="7" l="1"/>
  <c r="Z61" i="7" s="1"/>
  <c r="U45" i="7"/>
  <c r="Z45" i="7" s="1"/>
  <c r="U52" i="7"/>
  <c r="Z52" i="7" s="1"/>
  <c r="Y52" i="7" s="1"/>
  <c r="U60" i="7"/>
  <c r="Z60" i="7" s="1"/>
  <c r="X39" i="7"/>
  <c r="X40" i="7"/>
  <c r="X38" i="7"/>
  <c r="L37" i="7"/>
  <c r="Q37" i="7" s="1"/>
  <c r="M37" i="7" s="1"/>
  <c r="L45" i="7"/>
  <c r="L46" i="7"/>
  <c r="U40" i="7"/>
  <c r="Z40" i="7" s="1"/>
  <c r="U39" i="7"/>
  <c r="Z39" i="7" s="1"/>
  <c r="U38" i="7"/>
  <c r="Z38" i="7" s="1"/>
  <c r="U46" i="7"/>
  <c r="Z46" i="7" s="1"/>
  <c r="D292" i="17"/>
  <c r="U54" i="7"/>
  <c r="Z54" i="7" s="1"/>
  <c r="D296" i="17"/>
  <c r="Z53" i="7"/>
  <c r="Y60" i="7" l="1"/>
  <c r="Y61" i="7"/>
  <c r="W61" i="7"/>
  <c r="W60" i="7"/>
  <c r="F291" i="17"/>
  <c r="V52" i="7"/>
  <c r="X53" i="7"/>
  <c r="F292" i="17" s="1"/>
  <c r="X55" i="7"/>
  <c r="Y55" i="7" s="1"/>
  <c r="X54" i="7"/>
  <c r="F294" i="17" s="1"/>
  <c r="Y54" i="7"/>
  <c r="V54" i="7"/>
  <c r="D273" i="17"/>
  <c r="E156" i="17"/>
  <c r="F156" i="17"/>
  <c r="E157" i="17"/>
  <c r="F157" i="17"/>
  <c r="E158" i="17"/>
  <c r="F158" i="17"/>
  <c r="E159" i="17"/>
  <c r="F159" i="17"/>
  <c r="E160" i="17"/>
  <c r="F160" i="17"/>
  <c r="E161" i="17"/>
  <c r="F161" i="17"/>
  <c r="F155" i="17"/>
  <c r="E155" i="17"/>
  <c r="E148" i="17"/>
  <c r="F148" i="17"/>
  <c r="E149" i="17"/>
  <c r="F149" i="17"/>
  <c r="E150" i="17"/>
  <c r="F150" i="17"/>
  <c r="E151" i="17"/>
  <c r="F151" i="17"/>
  <c r="E152" i="17"/>
  <c r="F152" i="17"/>
  <c r="E153" i="17"/>
  <c r="F153" i="17"/>
  <c r="F147" i="17"/>
  <c r="E147" i="17"/>
  <c r="E140" i="17"/>
  <c r="F140" i="17"/>
  <c r="E141" i="17"/>
  <c r="F141" i="17"/>
  <c r="E142" i="17"/>
  <c r="F142" i="17"/>
  <c r="E143" i="17"/>
  <c r="F143" i="17"/>
  <c r="E144" i="17"/>
  <c r="F144" i="17"/>
  <c r="E145" i="17"/>
  <c r="F145" i="17"/>
  <c r="F139" i="17"/>
  <c r="E139" i="17"/>
  <c r="E132" i="17"/>
  <c r="E133" i="17"/>
  <c r="E134" i="17"/>
  <c r="E135" i="17"/>
  <c r="E136" i="17"/>
  <c r="E137" i="17"/>
  <c r="E131" i="17"/>
  <c r="F132" i="17"/>
  <c r="F133" i="17"/>
  <c r="F134" i="17"/>
  <c r="F135" i="17"/>
  <c r="F136" i="17"/>
  <c r="F137" i="17"/>
  <c r="F131" i="17"/>
  <c r="W123" i="1"/>
  <c r="V123" i="1"/>
  <c r="K123" i="1"/>
  <c r="J123" i="1"/>
  <c r="W122" i="1"/>
  <c r="V122" i="1"/>
  <c r="K122" i="1"/>
  <c r="J122" i="1"/>
  <c r="W121" i="1"/>
  <c r="V121" i="1"/>
  <c r="K121" i="1"/>
  <c r="J121" i="1"/>
  <c r="W120" i="1"/>
  <c r="V120" i="1"/>
  <c r="K120" i="1"/>
  <c r="J120" i="1"/>
  <c r="W119" i="1"/>
  <c r="V119" i="1"/>
  <c r="K119" i="1"/>
  <c r="J119" i="1"/>
  <c r="W118" i="1"/>
  <c r="V118" i="1"/>
  <c r="K118" i="1"/>
  <c r="J118" i="1"/>
  <c r="W117" i="1"/>
  <c r="V117" i="1"/>
  <c r="K117" i="1"/>
  <c r="J117" i="1"/>
  <c r="W112" i="1"/>
  <c r="V112" i="1"/>
  <c r="K112" i="1"/>
  <c r="J112" i="1"/>
  <c r="W111" i="1"/>
  <c r="V111" i="1"/>
  <c r="K111" i="1"/>
  <c r="W110" i="1"/>
  <c r="V110" i="1"/>
  <c r="K110" i="1"/>
  <c r="W109" i="1"/>
  <c r="V109" i="1"/>
  <c r="K109" i="1"/>
  <c r="J109" i="1"/>
  <c r="W108" i="1"/>
  <c r="V108" i="1"/>
  <c r="K108" i="1"/>
  <c r="J108" i="1"/>
  <c r="W107" i="1"/>
  <c r="V107" i="1"/>
  <c r="K107" i="1"/>
  <c r="J107" i="1"/>
  <c r="W106" i="1"/>
  <c r="V106" i="1"/>
  <c r="K106" i="1"/>
  <c r="J106" i="1"/>
  <c r="O118" i="1"/>
  <c r="T118" i="1" s="1"/>
  <c r="O119" i="1"/>
  <c r="O120" i="1"/>
  <c r="T120" i="1" s="1"/>
  <c r="O121" i="1"/>
  <c r="T121" i="1" s="1"/>
  <c r="D160" i="17"/>
  <c r="O123" i="1"/>
  <c r="D155" i="17"/>
  <c r="O107" i="1"/>
  <c r="O108" i="1"/>
  <c r="T108" i="1" s="1"/>
  <c r="O109" i="1"/>
  <c r="T109" i="1" s="1"/>
  <c r="O110" i="1"/>
  <c r="O111" i="1"/>
  <c r="T111" i="1" s="1"/>
  <c r="D153" i="17"/>
  <c r="O106" i="1"/>
  <c r="T106" i="1" s="1"/>
  <c r="C107" i="1"/>
  <c r="H107" i="1" s="1"/>
  <c r="D133" i="17"/>
  <c r="C109" i="1"/>
  <c r="H109" i="1" s="1"/>
  <c r="D135" i="17"/>
  <c r="D136" i="17"/>
  <c r="C112" i="1"/>
  <c r="H112" i="1" s="1"/>
  <c r="C118" i="1"/>
  <c r="H118" i="1" s="1"/>
  <c r="D141" i="17"/>
  <c r="D142" i="17"/>
  <c r="D143" i="17"/>
  <c r="C122" i="1"/>
  <c r="H122" i="1" s="1"/>
  <c r="C123" i="1"/>
  <c r="C117" i="1"/>
  <c r="D131" i="17"/>
  <c r="D151" i="17" l="1"/>
  <c r="C111" i="1"/>
  <c r="H111" i="1" s="1"/>
  <c r="D150" i="17"/>
  <c r="C106" i="1"/>
  <c r="H106" i="1" s="1"/>
  <c r="C119" i="1"/>
  <c r="H119" i="1" s="1"/>
  <c r="D149" i="17"/>
  <c r="O122" i="1"/>
  <c r="S122" i="1" s="1"/>
  <c r="D137" i="17"/>
  <c r="D159" i="17"/>
  <c r="C110" i="1"/>
  <c r="H110" i="1" s="1"/>
  <c r="C121" i="1"/>
  <c r="H121" i="1" s="1"/>
  <c r="D140" i="17"/>
  <c r="C120" i="1"/>
  <c r="G120" i="1" s="1"/>
  <c r="D152" i="17"/>
  <c r="T123" i="1"/>
  <c r="S123" i="1"/>
  <c r="Q123" i="1"/>
  <c r="Q119" i="1"/>
  <c r="T119" i="1"/>
  <c r="S119" i="1"/>
  <c r="D158" i="17"/>
  <c r="D157" i="17"/>
  <c r="D156" i="17"/>
  <c r="O117" i="1"/>
  <c r="T117" i="1" s="1"/>
  <c r="D161" i="17"/>
  <c r="H117" i="1"/>
  <c r="G117" i="1"/>
  <c r="E117" i="1"/>
  <c r="H123" i="1"/>
  <c r="G123" i="1"/>
  <c r="E123" i="1"/>
  <c r="D139" i="17"/>
  <c r="G119" i="1"/>
  <c r="D145" i="17"/>
  <c r="D144" i="17"/>
  <c r="Q107" i="1"/>
  <c r="T107" i="1"/>
  <c r="S107" i="1"/>
  <c r="D148" i="17"/>
  <c r="S110" i="1"/>
  <c r="T110" i="1"/>
  <c r="O112" i="1"/>
  <c r="D147" i="17"/>
  <c r="C108" i="1"/>
  <c r="D132" i="17"/>
  <c r="V55" i="7"/>
  <c r="F296" i="17"/>
  <c r="E291" i="17"/>
  <c r="W52" i="7"/>
  <c r="Y53" i="7"/>
  <c r="V53" i="7"/>
  <c r="W53" i="7" s="1"/>
  <c r="D134" i="17"/>
  <c r="E292" i="17"/>
  <c r="E294" i="17"/>
  <c r="W54" i="7"/>
  <c r="W55" i="7"/>
  <c r="E296" i="17"/>
  <c r="E22" i="7"/>
  <c r="G22" i="7"/>
  <c r="H22" i="7"/>
  <c r="G107" i="1"/>
  <c r="J110" i="1"/>
  <c r="J111" i="1"/>
  <c r="E122" i="1"/>
  <c r="G122" i="1"/>
  <c r="G121" i="1"/>
  <c r="E107" i="1"/>
  <c r="Q109" i="1"/>
  <c r="Q121" i="1"/>
  <c r="Q106" i="1"/>
  <c r="S109" i="1"/>
  <c r="E112" i="1"/>
  <c r="Q118" i="1"/>
  <c r="S121" i="1"/>
  <c r="S106" i="1"/>
  <c r="E109" i="1"/>
  <c r="Q111" i="1"/>
  <c r="G112" i="1"/>
  <c r="S118" i="1"/>
  <c r="E121" i="1"/>
  <c r="E106" i="1"/>
  <c r="Q108" i="1"/>
  <c r="G109" i="1"/>
  <c r="S111" i="1"/>
  <c r="E118" i="1"/>
  <c r="Q120" i="1"/>
  <c r="S108" i="1"/>
  <c r="G118" i="1"/>
  <c r="S120" i="1"/>
  <c r="Q110" i="1"/>
  <c r="C98" i="1"/>
  <c r="H98" i="1" s="1"/>
  <c r="D76" i="17"/>
  <c r="D77" i="17"/>
  <c r="D78" i="17"/>
  <c r="D79" i="17"/>
  <c r="D80" i="17"/>
  <c r="D81" i="17"/>
  <c r="D68" i="17"/>
  <c r="D69" i="17"/>
  <c r="D70" i="17"/>
  <c r="D71" i="17"/>
  <c r="D72" i="17"/>
  <c r="D73" i="17"/>
  <c r="D67" i="17"/>
  <c r="D75" i="17"/>
  <c r="E119" i="1" l="1"/>
  <c r="G111" i="1"/>
  <c r="E111" i="1"/>
  <c r="G106" i="1"/>
  <c r="Q117" i="1"/>
  <c r="Q122" i="1"/>
  <c r="T122" i="1"/>
  <c r="E110" i="1"/>
  <c r="G110" i="1"/>
  <c r="E120" i="1"/>
  <c r="H120" i="1"/>
  <c r="S117" i="1"/>
  <c r="T112" i="1"/>
  <c r="Q112" i="1"/>
  <c r="S112" i="1"/>
  <c r="G108" i="1"/>
  <c r="H108" i="1"/>
  <c r="E108" i="1"/>
  <c r="F302" i="17"/>
  <c r="F299" i="17"/>
  <c r="F301" i="17"/>
  <c r="F303" i="17"/>
  <c r="F298" i="17"/>
  <c r="F288" i="17"/>
  <c r="F286" i="17"/>
  <c r="F281" i="17"/>
  <c r="F279" i="17"/>
  <c r="V38" i="7"/>
  <c r="E299" i="17" s="1"/>
  <c r="V39" i="7"/>
  <c r="E301" i="17" s="1"/>
  <c r="V45" i="7"/>
  <c r="V15" i="7"/>
  <c r="E279" i="17" s="1"/>
  <c r="D288" i="17"/>
  <c r="D286" i="17"/>
  <c r="D280" i="17"/>
  <c r="Y45" i="7"/>
  <c r="U31" i="7"/>
  <c r="V46" i="7"/>
  <c r="E302" i="17" s="1"/>
  <c r="V37" i="7"/>
  <c r="E298" i="17" s="1"/>
  <c r="V31" i="7"/>
  <c r="E288" i="17" s="1"/>
  <c r="V30" i="7"/>
  <c r="E286" i="17" s="1"/>
  <c r="V16" i="7"/>
  <c r="E281" i="17" s="1"/>
  <c r="U30" i="7"/>
  <c r="Z30" i="7" s="1"/>
  <c r="D284" i="17"/>
  <c r="D281" i="17"/>
  <c r="D289" i="17"/>
  <c r="D287" i="17"/>
  <c r="D285" i="17"/>
  <c r="U15" i="7"/>
  <c r="Z15" i="7" s="1"/>
  <c r="U10" i="7"/>
  <c r="Z10" i="7" s="1"/>
  <c r="U9" i="7"/>
  <c r="Z9" i="7" s="1"/>
  <c r="D278" i="17"/>
  <c r="D277" i="17"/>
  <c r="Y31" i="7" l="1"/>
  <c r="Z31" i="7"/>
  <c r="D279" i="17"/>
  <c r="U8" i="7"/>
  <c r="Z8" i="7" s="1"/>
  <c r="U7" i="7"/>
  <c r="Z7" i="7" s="1"/>
  <c r="W45" i="7"/>
  <c r="Y30" i="7"/>
  <c r="W30" i="7"/>
  <c r="W31" i="7"/>
  <c r="W37" i="7"/>
  <c r="W39" i="7"/>
  <c r="U22" i="7"/>
  <c r="U25" i="7"/>
  <c r="Z25" i="7" s="1"/>
  <c r="U23" i="7"/>
  <c r="U24" i="7"/>
  <c r="Z24" i="7" s="1"/>
  <c r="U16" i="7"/>
  <c r="Z16" i="7" s="1"/>
  <c r="Y15" i="7"/>
  <c r="W15" i="7"/>
  <c r="D282" i="17"/>
  <c r="Y40" i="7"/>
  <c r="Y39" i="7"/>
  <c r="V40" i="7"/>
  <c r="E124" i="17"/>
  <c r="F124" i="17"/>
  <c r="E125" i="17"/>
  <c r="F125" i="17"/>
  <c r="E126" i="17"/>
  <c r="F126" i="17"/>
  <c r="E127" i="17"/>
  <c r="F127" i="17"/>
  <c r="E128" i="17"/>
  <c r="F128" i="17"/>
  <c r="E129" i="17"/>
  <c r="F129" i="17"/>
  <c r="F123" i="17"/>
  <c r="E123" i="17"/>
  <c r="E116" i="17"/>
  <c r="F116" i="17"/>
  <c r="E117" i="17"/>
  <c r="F117" i="17"/>
  <c r="E118" i="17"/>
  <c r="F118" i="17"/>
  <c r="E119" i="17"/>
  <c r="F119" i="17"/>
  <c r="E120" i="17"/>
  <c r="F120" i="17"/>
  <c r="E121" i="17"/>
  <c r="F121" i="17"/>
  <c r="F115" i="17"/>
  <c r="E115" i="17"/>
  <c r="E108" i="17"/>
  <c r="F108" i="17"/>
  <c r="E109" i="17"/>
  <c r="F109" i="17"/>
  <c r="F110" i="17"/>
  <c r="F111" i="17"/>
  <c r="F112" i="17"/>
  <c r="E113" i="17"/>
  <c r="F113" i="17"/>
  <c r="F107" i="17"/>
  <c r="F100" i="17"/>
  <c r="F101" i="17"/>
  <c r="E102" i="17"/>
  <c r="F102" i="17"/>
  <c r="F103" i="17"/>
  <c r="F104" i="17"/>
  <c r="F105" i="17"/>
  <c r="F99" i="17"/>
  <c r="E92" i="17"/>
  <c r="F92" i="17"/>
  <c r="E93" i="17"/>
  <c r="F93" i="17"/>
  <c r="E94" i="17"/>
  <c r="F94" i="17"/>
  <c r="E95" i="17"/>
  <c r="F95" i="17"/>
  <c r="E96" i="17"/>
  <c r="F96" i="17"/>
  <c r="E97" i="17"/>
  <c r="F97" i="17"/>
  <c r="E84" i="17"/>
  <c r="F84" i="17"/>
  <c r="E85" i="17"/>
  <c r="F85" i="17"/>
  <c r="E86" i="17"/>
  <c r="F86" i="17"/>
  <c r="E87" i="17"/>
  <c r="F87" i="17"/>
  <c r="E88" i="17"/>
  <c r="F88" i="17"/>
  <c r="E89" i="17"/>
  <c r="F89" i="17"/>
  <c r="F91" i="17"/>
  <c r="E91" i="17"/>
  <c r="F83" i="17"/>
  <c r="E83" i="17"/>
  <c r="E76" i="17"/>
  <c r="F76" i="17"/>
  <c r="F77" i="17"/>
  <c r="F78" i="17"/>
  <c r="F79" i="17"/>
  <c r="E80" i="17"/>
  <c r="F80" i="17"/>
  <c r="F81" i="17"/>
  <c r="F75" i="17"/>
  <c r="E75" i="17"/>
  <c r="F68" i="17"/>
  <c r="F69" i="17"/>
  <c r="E70" i="17"/>
  <c r="F70" i="17"/>
  <c r="E71" i="17"/>
  <c r="F71" i="17"/>
  <c r="F72" i="17"/>
  <c r="F73" i="17"/>
  <c r="F67" i="17"/>
  <c r="E60" i="17"/>
  <c r="F60" i="17"/>
  <c r="E61" i="17"/>
  <c r="F61" i="17"/>
  <c r="E62" i="17"/>
  <c r="F62" i="17"/>
  <c r="E63" i="17"/>
  <c r="F63" i="17"/>
  <c r="E64" i="17"/>
  <c r="F64" i="17"/>
  <c r="E65" i="17"/>
  <c r="F65" i="17"/>
  <c r="F59" i="17"/>
  <c r="E59" i="17"/>
  <c r="E52" i="17"/>
  <c r="F52" i="17"/>
  <c r="E53" i="17"/>
  <c r="F53" i="17"/>
  <c r="E54" i="17"/>
  <c r="F54" i="17"/>
  <c r="E55" i="17"/>
  <c r="F55" i="17"/>
  <c r="E56" i="17"/>
  <c r="F56" i="17"/>
  <c r="E57" i="17"/>
  <c r="F57" i="17"/>
  <c r="F51" i="17"/>
  <c r="E51" i="17"/>
  <c r="F44" i="17"/>
  <c r="E45" i="17"/>
  <c r="F45" i="17"/>
  <c r="E46" i="17"/>
  <c r="F46" i="17"/>
  <c r="F47" i="17"/>
  <c r="F48" i="17"/>
  <c r="F49" i="17"/>
  <c r="F43" i="17"/>
  <c r="E43" i="17"/>
  <c r="F36" i="17"/>
  <c r="F37" i="17"/>
  <c r="F38" i="17"/>
  <c r="E39" i="17"/>
  <c r="F39" i="17"/>
  <c r="F40" i="17"/>
  <c r="F41" i="17"/>
  <c r="F35" i="17"/>
  <c r="D126" i="17"/>
  <c r="D128" i="17"/>
  <c r="D92" i="17"/>
  <c r="D93" i="17"/>
  <c r="D94" i="17"/>
  <c r="D95" i="17"/>
  <c r="D96" i="17"/>
  <c r="D97" i="17"/>
  <c r="D91" i="17"/>
  <c r="D84" i="17"/>
  <c r="D85" i="17"/>
  <c r="D86" i="17"/>
  <c r="D87" i="17"/>
  <c r="D88" i="17"/>
  <c r="D89" i="17"/>
  <c r="D83" i="17"/>
  <c r="D60" i="17"/>
  <c r="D61" i="17"/>
  <c r="D62" i="17"/>
  <c r="D63" i="17"/>
  <c r="D64" i="17"/>
  <c r="D65" i="17"/>
  <c r="D59" i="17"/>
  <c r="D52" i="17"/>
  <c r="D53" i="17"/>
  <c r="D54" i="17"/>
  <c r="D55" i="17"/>
  <c r="D56" i="17"/>
  <c r="D57" i="17"/>
  <c r="D51" i="17"/>
  <c r="D37" i="17"/>
  <c r="O93" i="1"/>
  <c r="T93" i="1" s="1"/>
  <c r="O87" i="1"/>
  <c r="O68" i="1"/>
  <c r="T68" i="1" s="1"/>
  <c r="O69" i="1"/>
  <c r="O70" i="1"/>
  <c r="T70" i="1" s="1"/>
  <c r="O71" i="1"/>
  <c r="T71" i="1" s="1"/>
  <c r="O72" i="1"/>
  <c r="O73" i="1"/>
  <c r="O67" i="1"/>
  <c r="T67" i="1" s="1"/>
  <c r="O57" i="1"/>
  <c r="T57" i="1" s="1"/>
  <c r="O58" i="1"/>
  <c r="T58" i="1" s="1"/>
  <c r="O59" i="1"/>
  <c r="T59" i="1" s="1"/>
  <c r="O60" i="1"/>
  <c r="O61" i="1"/>
  <c r="T61" i="1" s="1"/>
  <c r="O62" i="1"/>
  <c r="O56" i="1"/>
  <c r="T56" i="1" s="1"/>
  <c r="O43" i="1"/>
  <c r="T43" i="1" s="1"/>
  <c r="O44" i="1"/>
  <c r="O45" i="1"/>
  <c r="T45" i="1" s="1"/>
  <c r="O46" i="1"/>
  <c r="T46" i="1" s="1"/>
  <c r="O47" i="1"/>
  <c r="T47" i="1" s="1"/>
  <c r="O48" i="1"/>
  <c r="O42" i="1"/>
  <c r="T42" i="1" s="1"/>
  <c r="O32" i="1"/>
  <c r="O33" i="1"/>
  <c r="O34" i="1"/>
  <c r="T34" i="1" s="1"/>
  <c r="O35" i="1"/>
  <c r="O36" i="1"/>
  <c r="T36" i="1" s="1"/>
  <c r="O37" i="1"/>
  <c r="O31" i="1"/>
  <c r="T31" i="1" s="1"/>
  <c r="C60" i="1"/>
  <c r="C37" i="1"/>
  <c r="H37" i="1" s="1"/>
  <c r="W98" i="1"/>
  <c r="V98" i="1"/>
  <c r="K98" i="1"/>
  <c r="W97" i="1"/>
  <c r="V97" i="1"/>
  <c r="K97" i="1"/>
  <c r="E112" i="17"/>
  <c r="W96" i="1"/>
  <c r="V96" i="1"/>
  <c r="K96" i="1"/>
  <c r="J96" i="1"/>
  <c r="W95" i="1"/>
  <c r="V95" i="1"/>
  <c r="K95" i="1"/>
  <c r="J95" i="1"/>
  <c r="W94" i="1"/>
  <c r="V94" i="1"/>
  <c r="K94" i="1"/>
  <c r="J94" i="1"/>
  <c r="W93" i="1"/>
  <c r="V93" i="1"/>
  <c r="K93" i="1"/>
  <c r="J93" i="1"/>
  <c r="W92" i="1"/>
  <c r="V92" i="1"/>
  <c r="K92" i="1"/>
  <c r="J92" i="1"/>
  <c r="W87" i="1"/>
  <c r="V87" i="1"/>
  <c r="K87" i="1"/>
  <c r="E105" i="17"/>
  <c r="W86" i="1"/>
  <c r="V86" i="1"/>
  <c r="K86" i="1"/>
  <c r="J86" i="1"/>
  <c r="W85" i="1"/>
  <c r="V85" i="1"/>
  <c r="K85" i="1"/>
  <c r="J85" i="1"/>
  <c r="W84" i="1"/>
  <c r="V84" i="1"/>
  <c r="K84" i="1"/>
  <c r="J84" i="1"/>
  <c r="W83" i="1"/>
  <c r="V83" i="1"/>
  <c r="K83" i="1"/>
  <c r="J83" i="1"/>
  <c r="W82" i="1"/>
  <c r="V82" i="1"/>
  <c r="K82" i="1"/>
  <c r="E100" i="17"/>
  <c r="W81" i="1"/>
  <c r="V81" i="1"/>
  <c r="K81" i="1"/>
  <c r="J81" i="1"/>
  <c r="W73" i="1"/>
  <c r="V73" i="1"/>
  <c r="K73" i="1"/>
  <c r="E81" i="17"/>
  <c r="W72" i="1"/>
  <c r="V72" i="1"/>
  <c r="K72" i="1"/>
  <c r="W71" i="1"/>
  <c r="V71" i="1"/>
  <c r="K71" i="1"/>
  <c r="J71" i="1"/>
  <c r="W70" i="1"/>
  <c r="V70" i="1"/>
  <c r="K70" i="1"/>
  <c r="E78" i="17"/>
  <c r="W69" i="1"/>
  <c r="V69" i="1"/>
  <c r="K69" i="1"/>
  <c r="J69" i="1"/>
  <c r="W68" i="1"/>
  <c r="V68" i="1"/>
  <c r="K68" i="1"/>
  <c r="J68" i="1"/>
  <c r="W67" i="1"/>
  <c r="V67" i="1"/>
  <c r="K67" i="1"/>
  <c r="J67" i="1"/>
  <c r="W62" i="1"/>
  <c r="V62" i="1"/>
  <c r="K62" i="1"/>
  <c r="J62" i="1"/>
  <c r="W61" i="1"/>
  <c r="V61" i="1"/>
  <c r="K61" i="1"/>
  <c r="E72" i="17"/>
  <c r="W60" i="1"/>
  <c r="V60" i="1"/>
  <c r="K60" i="1"/>
  <c r="J60" i="1"/>
  <c r="W59" i="1"/>
  <c r="V59" i="1"/>
  <c r="K59" i="1"/>
  <c r="J59" i="1"/>
  <c r="W58" i="1"/>
  <c r="V58" i="1"/>
  <c r="K58" i="1"/>
  <c r="E69" i="17"/>
  <c r="W57" i="1"/>
  <c r="V57" i="1"/>
  <c r="Q57" i="1"/>
  <c r="K57" i="1"/>
  <c r="J57" i="1"/>
  <c r="W56" i="1"/>
  <c r="V56" i="1"/>
  <c r="K56" i="1"/>
  <c r="J56" i="1"/>
  <c r="W48" i="1"/>
  <c r="V48" i="1"/>
  <c r="K48" i="1"/>
  <c r="E49" i="17"/>
  <c r="W47" i="1"/>
  <c r="V47" i="1"/>
  <c r="K47" i="1"/>
  <c r="E48" i="17"/>
  <c r="W46" i="1"/>
  <c r="V46" i="1"/>
  <c r="K46" i="1"/>
  <c r="J46" i="1"/>
  <c r="W45" i="1"/>
  <c r="V45" i="1"/>
  <c r="S45" i="1"/>
  <c r="K45" i="1"/>
  <c r="W44" i="1"/>
  <c r="V44" i="1"/>
  <c r="K44" i="1"/>
  <c r="J44" i="1"/>
  <c r="W43" i="1"/>
  <c r="V43" i="1"/>
  <c r="K43" i="1"/>
  <c r="J43" i="1"/>
  <c r="W42" i="1"/>
  <c r="V42" i="1"/>
  <c r="K42" i="1"/>
  <c r="J42" i="1"/>
  <c r="W37" i="1"/>
  <c r="V37" i="1"/>
  <c r="K37" i="1"/>
  <c r="J37" i="1"/>
  <c r="W36" i="1"/>
  <c r="V36" i="1"/>
  <c r="K36" i="1"/>
  <c r="E40" i="17"/>
  <c r="W35" i="1"/>
  <c r="V35" i="1"/>
  <c r="K35" i="1"/>
  <c r="W34" i="1"/>
  <c r="V34" i="1"/>
  <c r="K34" i="1"/>
  <c r="J34" i="1"/>
  <c r="W33" i="1"/>
  <c r="V33" i="1"/>
  <c r="K33" i="1"/>
  <c r="E37" i="17"/>
  <c r="W32" i="1"/>
  <c r="V32" i="1"/>
  <c r="K32" i="1"/>
  <c r="E36" i="17"/>
  <c r="W31" i="1"/>
  <c r="V31" i="1"/>
  <c r="K31" i="1"/>
  <c r="J31" i="1"/>
  <c r="D129" i="17"/>
  <c r="O97" i="1"/>
  <c r="D112" i="17"/>
  <c r="D127" i="17"/>
  <c r="C96" i="1"/>
  <c r="H96" i="1" s="1"/>
  <c r="O95" i="1"/>
  <c r="T95" i="1" s="1"/>
  <c r="C95" i="1"/>
  <c r="D125" i="17"/>
  <c r="D109" i="17"/>
  <c r="D124" i="17"/>
  <c r="D108" i="17"/>
  <c r="D123" i="17"/>
  <c r="D107" i="17"/>
  <c r="D121" i="17"/>
  <c r="D105" i="17"/>
  <c r="O86" i="1"/>
  <c r="T86" i="1" s="1"/>
  <c r="O85" i="1"/>
  <c r="D103" i="17"/>
  <c r="O84" i="1"/>
  <c r="C84" i="1"/>
  <c r="H84" i="1" s="1"/>
  <c r="O83" i="1"/>
  <c r="T83" i="1" s="1"/>
  <c r="D116" i="17"/>
  <c r="D115" i="17"/>
  <c r="C73" i="1"/>
  <c r="H73" i="1" s="1"/>
  <c r="C72" i="1"/>
  <c r="C71" i="1"/>
  <c r="H71" i="1" s="1"/>
  <c r="C70" i="1"/>
  <c r="C69" i="1"/>
  <c r="H69" i="1" s="1"/>
  <c r="C68" i="1"/>
  <c r="C67" i="1"/>
  <c r="C62" i="1"/>
  <c r="H62" i="1" s="1"/>
  <c r="C61" i="1"/>
  <c r="H61" i="1" s="1"/>
  <c r="C48" i="1"/>
  <c r="H48" i="1" s="1"/>
  <c r="C47" i="1"/>
  <c r="C46" i="1"/>
  <c r="H46" i="1" s="1"/>
  <c r="C45" i="1"/>
  <c r="D45" i="17"/>
  <c r="C43" i="1"/>
  <c r="H43" i="1" s="1"/>
  <c r="C42" i="1"/>
  <c r="D41" i="17"/>
  <c r="D40" i="17"/>
  <c r="D39" i="17"/>
  <c r="C34" i="1"/>
  <c r="H34" i="1" s="1"/>
  <c r="C33" i="1"/>
  <c r="D36" i="17"/>
  <c r="D35" i="17"/>
  <c r="Q31" i="1" l="1"/>
  <c r="S47" i="1"/>
  <c r="S97" i="1"/>
  <c r="T97" i="1"/>
  <c r="G95" i="1"/>
  <c r="H95" i="1"/>
  <c r="Q84" i="1"/>
  <c r="T84" i="1"/>
  <c r="S87" i="1"/>
  <c r="T87" i="1"/>
  <c r="S85" i="1"/>
  <c r="T85" i="1"/>
  <c r="S72" i="1"/>
  <c r="T72" i="1"/>
  <c r="Q73" i="1"/>
  <c r="T73" i="1"/>
  <c r="Q69" i="1"/>
  <c r="T69" i="1"/>
  <c r="S60" i="1"/>
  <c r="T60" i="1"/>
  <c r="S62" i="1"/>
  <c r="T62" i="1"/>
  <c r="S61" i="1"/>
  <c r="Q37" i="1"/>
  <c r="T37" i="1"/>
  <c r="Q32" i="1"/>
  <c r="T32" i="1"/>
  <c r="S35" i="1"/>
  <c r="T35" i="1"/>
  <c r="S33" i="1"/>
  <c r="T33" i="1"/>
  <c r="Q44" i="1"/>
  <c r="T44" i="1"/>
  <c r="S48" i="1"/>
  <c r="T48" i="1"/>
  <c r="G42" i="1"/>
  <c r="H42" i="1"/>
  <c r="G45" i="1"/>
  <c r="H45" i="1"/>
  <c r="G47" i="1"/>
  <c r="H47" i="1"/>
  <c r="G33" i="1"/>
  <c r="H33" i="1"/>
  <c r="X10" i="7"/>
  <c r="X9" i="7"/>
  <c r="X8" i="7"/>
  <c r="V7" i="7"/>
  <c r="E277" i="17" s="1"/>
  <c r="F277" i="17"/>
  <c r="Z23" i="7"/>
  <c r="Z22" i="7"/>
  <c r="G70" i="1"/>
  <c r="H70" i="1"/>
  <c r="G72" i="1"/>
  <c r="H72" i="1"/>
  <c r="G67" i="1"/>
  <c r="H67" i="1"/>
  <c r="G68" i="1"/>
  <c r="H68" i="1"/>
  <c r="G60" i="1"/>
  <c r="H60" i="1"/>
  <c r="Y7" i="7"/>
  <c r="W38" i="7"/>
  <c r="W46" i="7"/>
  <c r="D44" i="17"/>
  <c r="C44" i="1"/>
  <c r="H44" i="1" s="1"/>
  <c r="C97" i="1"/>
  <c r="H97" i="1" s="1"/>
  <c r="D43" i="17"/>
  <c r="D49" i="17"/>
  <c r="D48" i="17"/>
  <c r="E72" i="1"/>
  <c r="D47" i="17"/>
  <c r="D46" i="17"/>
  <c r="C32" i="1"/>
  <c r="C56" i="1"/>
  <c r="H56" i="1" s="1"/>
  <c r="D38" i="17"/>
  <c r="C31" i="1"/>
  <c r="C36" i="1"/>
  <c r="H36" i="1" s="1"/>
  <c r="C59" i="1"/>
  <c r="H59" i="1" s="1"/>
  <c r="C35" i="1"/>
  <c r="C58" i="1"/>
  <c r="C57" i="1"/>
  <c r="H57" i="1" s="1"/>
  <c r="Y46" i="7"/>
  <c r="W40" i="7"/>
  <c r="E303" i="17"/>
  <c r="Y38" i="7"/>
  <c r="Y37" i="7"/>
  <c r="W16" i="7"/>
  <c r="Y16" i="7"/>
  <c r="O96" i="1"/>
  <c r="T96" i="1" s="1"/>
  <c r="O94" i="1"/>
  <c r="D120" i="17"/>
  <c r="D118" i="17"/>
  <c r="D117" i="17"/>
  <c r="D110" i="17"/>
  <c r="D113" i="17"/>
  <c r="C92" i="1"/>
  <c r="D102" i="17"/>
  <c r="D101" i="17"/>
  <c r="C83" i="1"/>
  <c r="C87" i="1"/>
  <c r="H87" i="1" s="1"/>
  <c r="O92" i="1"/>
  <c r="T92" i="1" s="1"/>
  <c r="O98" i="1"/>
  <c r="T98" i="1" s="1"/>
  <c r="O81" i="1"/>
  <c r="D119" i="17"/>
  <c r="O82" i="1"/>
  <c r="C93" i="1"/>
  <c r="H93" i="1" s="1"/>
  <c r="C94" i="1"/>
  <c r="H94" i="1" s="1"/>
  <c r="D111" i="17"/>
  <c r="C82" i="1"/>
  <c r="D100" i="17"/>
  <c r="C86" i="1"/>
  <c r="H86" i="1" s="1"/>
  <c r="C85" i="1"/>
  <c r="H85" i="1" s="1"/>
  <c r="D104" i="17"/>
  <c r="E77" i="17"/>
  <c r="E79" i="17"/>
  <c r="E67" i="17"/>
  <c r="E73" i="17"/>
  <c r="E68" i="17"/>
  <c r="E44" i="17"/>
  <c r="E47" i="17"/>
  <c r="E38" i="17"/>
  <c r="E41" i="17"/>
  <c r="C81" i="1"/>
  <c r="H81" i="1" s="1"/>
  <c r="D99" i="17"/>
  <c r="E111" i="17"/>
  <c r="E107" i="17"/>
  <c r="E110" i="17"/>
  <c r="E101" i="17"/>
  <c r="E104" i="17"/>
  <c r="E103" i="17"/>
  <c r="E99" i="17"/>
  <c r="E35" i="17"/>
  <c r="Q36" i="1"/>
  <c r="E45" i="1"/>
  <c r="E47" i="1"/>
  <c r="Q62" i="1"/>
  <c r="Q87" i="1"/>
  <c r="S37" i="1"/>
  <c r="G69" i="1"/>
  <c r="J45" i="1"/>
  <c r="J47" i="1"/>
  <c r="J32" i="1"/>
  <c r="S58" i="1"/>
  <c r="E70" i="1"/>
  <c r="J97" i="1"/>
  <c r="E69" i="1"/>
  <c r="E48" i="1"/>
  <c r="S46" i="1"/>
  <c r="Q34" i="1"/>
  <c r="E73" i="1"/>
  <c r="S32" i="1"/>
  <c r="S34" i="1"/>
  <c r="G37" i="1"/>
  <c r="Q48" i="1"/>
  <c r="E61" i="1"/>
  <c r="Q70" i="1"/>
  <c r="J35" i="1"/>
  <c r="G61" i="1"/>
  <c r="S70" i="1"/>
  <c r="S71" i="1"/>
  <c r="J72" i="1"/>
  <c r="Q97" i="1"/>
  <c r="E33" i="1"/>
  <c r="Q46" i="1"/>
  <c r="J70" i="1"/>
  <c r="E60" i="1"/>
  <c r="S57" i="1"/>
  <c r="Q71" i="1"/>
  <c r="E42" i="1"/>
  <c r="Q58" i="1"/>
  <c r="Q59" i="1"/>
  <c r="E67" i="1"/>
  <c r="S73" i="1"/>
  <c r="Q85" i="1"/>
  <c r="J33" i="1"/>
  <c r="S44" i="1"/>
  <c r="E98" i="1"/>
  <c r="J58" i="1"/>
  <c r="S69" i="1"/>
  <c r="J98" i="1"/>
  <c r="J61" i="1"/>
  <c r="Q93" i="1"/>
  <c r="Q86" i="1"/>
  <c r="S93" i="1"/>
  <c r="J82" i="1"/>
  <c r="G84" i="1"/>
  <c r="G96" i="1"/>
  <c r="S84" i="1"/>
  <c r="E84" i="1"/>
  <c r="E96" i="1"/>
  <c r="Q83" i="1"/>
  <c r="S86" i="1"/>
  <c r="Q95" i="1"/>
  <c r="S83" i="1"/>
  <c r="J87" i="1"/>
  <c r="Q92" i="1"/>
  <c r="S95" i="1"/>
  <c r="E95" i="1"/>
  <c r="G98" i="1"/>
  <c r="J73" i="1"/>
  <c r="Q56" i="1"/>
  <c r="S59" i="1"/>
  <c r="E62" i="1"/>
  <c r="Q68" i="1"/>
  <c r="S56" i="1"/>
  <c r="Q61" i="1"/>
  <c r="G62" i="1"/>
  <c r="S68" i="1"/>
  <c r="E71" i="1"/>
  <c r="E68" i="1"/>
  <c r="G71" i="1"/>
  <c r="Q67" i="1"/>
  <c r="Q60" i="1"/>
  <c r="S67" i="1"/>
  <c r="Q72" i="1"/>
  <c r="G73" i="1"/>
  <c r="S31" i="1"/>
  <c r="E34" i="1"/>
  <c r="S43" i="1"/>
  <c r="E46" i="1"/>
  <c r="Q33" i="1"/>
  <c r="G34" i="1"/>
  <c r="S36" i="1"/>
  <c r="J36" i="1"/>
  <c r="J48" i="1"/>
  <c r="E37" i="1"/>
  <c r="Q43" i="1"/>
  <c r="G43" i="1"/>
  <c r="Q35" i="1"/>
  <c r="S42" i="1"/>
  <c r="Q47" i="1"/>
  <c r="G48" i="1"/>
  <c r="E43" i="1"/>
  <c r="Q45" i="1"/>
  <c r="G46" i="1"/>
  <c r="Q42" i="1"/>
  <c r="G44" i="1" l="1"/>
  <c r="Q94" i="1"/>
  <c r="T94" i="1"/>
  <c r="G92" i="1"/>
  <c r="H92" i="1"/>
  <c r="G97" i="1"/>
  <c r="E97" i="1"/>
  <c r="G82" i="1"/>
  <c r="H82" i="1"/>
  <c r="G83" i="1"/>
  <c r="H83" i="1"/>
  <c r="Q82" i="1"/>
  <c r="T82" i="1"/>
  <c r="S81" i="1"/>
  <c r="T81" i="1"/>
  <c r="G32" i="1"/>
  <c r="H32" i="1"/>
  <c r="G35" i="1"/>
  <c r="H35" i="1"/>
  <c r="G31" i="1"/>
  <c r="H31" i="1"/>
  <c r="X23" i="7"/>
  <c r="X24" i="7"/>
  <c r="X25" i="7"/>
  <c r="F284" i="17"/>
  <c r="V22" i="7"/>
  <c r="Y22" i="7"/>
  <c r="V8" i="7"/>
  <c r="F278" i="17"/>
  <c r="Y8" i="7"/>
  <c r="F280" i="17"/>
  <c r="Y9" i="7"/>
  <c r="V9" i="7"/>
  <c r="V10" i="7"/>
  <c r="F282" i="17"/>
  <c r="Y10" i="7"/>
  <c r="W7" i="7"/>
  <c r="G58" i="1"/>
  <c r="H58" i="1"/>
  <c r="E44" i="1"/>
  <c r="E31" i="1"/>
  <c r="E58" i="1"/>
  <c r="G56" i="1"/>
  <c r="E57" i="1"/>
  <c r="G36" i="1"/>
  <c r="E36" i="1"/>
  <c r="Q81" i="1"/>
  <c r="S94" i="1"/>
  <c r="S96" i="1"/>
  <c r="S92" i="1"/>
  <c r="E94" i="1"/>
  <c r="G57" i="1"/>
  <c r="E56" i="1"/>
  <c r="E35" i="1"/>
  <c r="G59" i="1"/>
  <c r="E59" i="1"/>
  <c r="E32" i="1"/>
  <c r="E87" i="1"/>
  <c r="G87" i="1"/>
  <c r="G85" i="1"/>
  <c r="Q98" i="1"/>
  <c r="S98" i="1"/>
  <c r="Q96" i="1"/>
  <c r="G93" i="1"/>
  <c r="G94" i="1"/>
  <c r="E93" i="1"/>
  <c r="E92" i="1"/>
  <c r="E86" i="1"/>
  <c r="G86" i="1"/>
  <c r="G81" i="1"/>
  <c r="E82" i="1"/>
  <c r="E81" i="1"/>
  <c r="E83" i="1"/>
  <c r="S82" i="1"/>
  <c r="E85" i="1"/>
  <c r="F330" i="17"/>
  <c r="F328" i="17"/>
  <c r="F326" i="17"/>
  <c r="F316" i="17"/>
  <c r="F314" i="17"/>
  <c r="F309" i="17"/>
  <c r="F307" i="17"/>
  <c r="F271" i="17"/>
  <c r="F269" i="17"/>
  <c r="F267" i="17"/>
  <c r="E261" i="17"/>
  <c r="F261" i="17"/>
  <c r="E262" i="17"/>
  <c r="F262" i="17"/>
  <c r="E263" i="17"/>
  <c r="F263" i="17"/>
  <c r="E264" i="17"/>
  <c r="F264" i="17"/>
  <c r="E265" i="17"/>
  <c r="F265" i="17"/>
  <c r="F260" i="17"/>
  <c r="E260" i="17"/>
  <c r="E253" i="17"/>
  <c r="F253" i="17"/>
  <c r="E254" i="17"/>
  <c r="F254" i="17"/>
  <c r="E255" i="17"/>
  <c r="F255" i="17"/>
  <c r="E256" i="17"/>
  <c r="F256" i="17"/>
  <c r="E257" i="17"/>
  <c r="F257" i="17"/>
  <c r="F252" i="17"/>
  <c r="E252" i="17"/>
  <c r="E245" i="17"/>
  <c r="F245" i="17"/>
  <c r="E246" i="17"/>
  <c r="F246" i="17"/>
  <c r="E247" i="17"/>
  <c r="F247" i="17"/>
  <c r="E248" i="17"/>
  <c r="F248" i="17"/>
  <c r="E249" i="17"/>
  <c r="F249" i="17"/>
  <c r="F244" i="17"/>
  <c r="E244" i="17"/>
  <c r="E223" i="17"/>
  <c r="F223" i="17"/>
  <c r="E224" i="17"/>
  <c r="F224" i="17"/>
  <c r="E225" i="17"/>
  <c r="F225" i="17"/>
  <c r="E215" i="17"/>
  <c r="F215" i="17"/>
  <c r="E216" i="17"/>
  <c r="F216" i="17"/>
  <c r="E217" i="17"/>
  <c r="F217" i="17"/>
  <c r="E196" i="17"/>
  <c r="F196" i="17"/>
  <c r="E197" i="17"/>
  <c r="F197" i="17"/>
  <c r="E198" i="17"/>
  <c r="F198" i="17"/>
  <c r="F195" i="17"/>
  <c r="E195" i="17"/>
  <c r="E172" i="17"/>
  <c r="F172" i="17"/>
  <c r="E173" i="17"/>
  <c r="F173" i="17"/>
  <c r="E174" i="17"/>
  <c r="F174" i="17"/>
  <c r="E175" i="17"/>
  <c r="F175" i="17"/>
  <c r="E176" i="17"/>
  <c r="F176" i="17"/>
  <c r="E177" i="17"/>
  <c r="F177" i="17"/>
  <c r="F171" i="17"/>
  <c r="E171" i="17"/>
  <c r="E164" i="17"/>
  <c r="F164" i="17"/>
  <c r="E165" i="17"/>
  <c r="F165" i="17"/>
  <c r="E166" i="17"/>
  <c r="F166" i="17"/>
  <c r="E167" i="17"/>
  <c r="F167" i="17"/>
  <c r="E168" i="17"/>
  <c r="F168" i="17"/>
  <c r="E169" i="17"/>
  <c r="F169" i="17"/>
  <c r="F163" i="17"/>
  <c r="E163" i="17"/>
  <c r="E28" i="17"/>
  <c r="F28" i="17"/>
  <c r="E29" i="17"/>
  <c r="F29" i="17"/>
  <c r="E30" i="17"/>
  <c r="F30" i="17"/>
  <c r="E31" i="17"/>
  <c r="F31" i="17"/>
  <c r="E32" i="17"/>
  <c r="F32" i="17"/>
  <c r="E33" i="17"/>
  <c r="F33" i="17"/>
  <c r="F27" i="17"/>
  <c r="E27" i="17"/>
  <c r="E20" i="17"/>
  <c r="F20" i="17"/>
  <c r="E21" i="17"/>
  <c r="F21" i="17"/>
  <c r="E22" i="17"/>
  <c r="F22" i="17"/>
  <c r="E23" i="17"/>
  <c r="F23" i="17"/>
  <c r="E24" i="17"/>
  <c r="F24" i="17"/>
  <c r="E25" i="17"/>
  <c r="F25" i="17"/>
  <c r="F19" i="17"/>
  <c r="E19" i="17"/>
  <c r="F12" i="17"/>
  <c r="F13" i="17"/>
  <c r="F14" i="17"/>
  <c r="F15" i="17"/>
  <c r="F16" i="17"/>
  <c r="F17" i="17"/>
  <c r="F11" i="17"/>
  <c r="F4" i="17"/>
  <c r="F5" i="17"/>
  <c r="F6" i="17"/>
  <c r="F7" i="17"/>
  <c r="F8" i="17"/>
  <c r="F9" i="17"/>
  <c r="F3" i="17"/>
  <c r="E278" i="17" l="1"/>
  <c r="W8" i="7"/>
  <c r="E284" i="17"/>
  <c r="W22" i="7"/>
  <c r="V25" i="7"/>
  <c r="F289" i="17"/>
  <c r="Y25" i="7"/>
  <c r="F287" i="17"/>
  <c r="V24" i="7"/>
  <c r="Y24" i="7"/>
  <c r="F285" i="17"/>
  <c r="V23" i="7"/>
  <c r="Y23" i="7"/>
  <c r="E282" i="17"/>
  <c r="W10" i="7"/>
  <c r="W9" i="7"/>
  <c r="E280" i="17"/>
  <c r="E287" i="17" l="1"/>
  <c r="W24" i="7"/>
  <c r="E285" i="17"/>
  <c r="W23" i="7"/>
  <c r="E289" i="17"/>
  <c r="W25" i="7"/>
  <c r="O18" i="1"/>
  <c r="T18" i="1" s="1"/>
  <c r="O19" i="1"/>
  <c r="T19" i="1" s="1"/>
  <c r="D30" i="17"/>
  <c r="D31" i="17"/>
  <c r="D32" i="17"/>
  <c r="D33" i="17"/>
  <c r="O17" i="1"/>
  <c r="T17" i="1" s="1"/>
  <c r="O7" i="1"/>
  <c r="D21" i="17"/>
  <c r="O9" i="1"/>
  <c r="T9" i="1" s="1"/>
  <c r="O10" i="1"/>
  <c r="O11" i="1"/>
  <c r="T11" i="1" s="1"/>
  <c r="O12" i="1"/>
  <c r="O6" i="1"/>
  <c r="T6" i="1" s="1"/>
  <c r="W23" i="1"/>
  <c r="V23" i="1"/>
  <c r="W22" i="1"/>
  <c r="V22" i="1"/>
  <c r="W21" i="1"/>
  <c r="V21" i="1"/>
  <c r="W20" i="1"/>
  <c r="V20" i="1"/>
  <c r="W19" i="1"/>
  <c r="V19" i="1"/>
  <c r="W18" i="1"/>
  <c r="V18" i="1"/>
  <c r="W17" i="1"/>
  <c r="V17" i="1"/>
  <c r="W12" i="1"/>
  <c r="V12" i="1"/>
  <c r="W11" i="1"/>
  <c r="V11" i="1"/>
  <c r="W10" i="1"/>
  <c r="V10" i="1"/>
  <c r="W9" i="1"/>
  <c r="V9" i="1"/>
  <c r="W8" i="1"/>
  <c r="V8" i="1"/>
  <c r="W7" i="1"/>
  <c r="W6" i="1"/>
  <c r="V6" i="1"/>
  <c r="D28" i="17" l="1"/>
  <c r="O20" i="1"/>
  <c r="S20" i="1" s="1"/>
  <c r="O22" i="1"/>
  <c r="T22" i="1" s="1"/>
  <c r="D19" i="17"/>
  <c r="O23" i="1"/>
  <c r="T23" i="1" s="1"/>
  <c r="O21" i="1"/>
  <c r="T21" i="1" s="1"/>
  <c r="D27" i="17"/>
  <c r="D29" i="17"/>
  <c r="D23" i="17"/>
  <c r="D20" i="17"/>
  <c r="D24" i="17"/>
  <c r="O8" i="1"/>
  <c r="Q8" i="1" s="1"/>
  <c r="D25" i="17"/>
  <c r="D22" i="17"/>
  <c r="T10" i="1"/>
  <c r="S10" i="1"/>
  <c r="S12" i="1"/>
  <c r="T12" i="1"/>
  <c r="S7" i="1"/>
  <c r="Q7" i="1"/>
  <c r="T7" i="1"/>
  <c r="Q19" i="1"/>
  <c r="Q17" i="1"/>
  <c r="S17" i="1"/>
  <c r="S6" i="1"/>
  <c r="Q6" i="1"/>
  <c r="Q18" i="1"/>
  <c r="S19" i="1"/>
  <c r="S18" i="1"/>
  <c r="V7" i="1"/>
  <c r="Q12" i="1"/>
  <c r="Q11" i="1"/>
  <c r="Q10" i="1"/>
  <c r="S11" i="1"/>
  <c r="Q9" i="1"/>
  <c r="S9" i="1"/>
  <c r="Q20" i="1" l="1"/>
  <c r="Q22" i="1"/>
  <c r="S22" i="1"/>
  <c r="T20" i="1"/>
  <c r="Q23" i="1"/>
  <c r="S21" i="1"/>
  <c r="S23" i="1"/>
  <c r="Q21" i="1"/>
  <c r="S8" i="1"/>
  <c r="T8" i="1"/>
  <c r="K24" i="16"/>
  <c r="J24" i="16"/>
  <c r="K23" i="16"/>
  <c r="J23" i="16"/>
  <c r="K22" i="16"/>
  <c r="J22" i="16"/>
  <c r="K21" i="16"/>
  <c r="K20" i="16"/>
  <c r="J20" i="16"/>
  <c r="K19" i="16"/>
  <c r="J19" i="16"/>
  <c r="K18" i="16"/>
  <c r="J18" i="16"/>
  <c r="K13" i="16"/>
  <c r="J13" i="16"/>
  <c r="K12" i="16"/>
  <c r="J12" i="16"/>
  <c r="K11" i="16"/>
  <c r="J11" i="16"/>
  <c r="K10" i="16"/>
  <c r="J10" i="16"/>
  <c r="K9" i="16"/>
  <c r="K8" i="16"/>
  <c r="J8" i="16"/>
  <c r="K7" i="16"/>
  <c r="J7" i="16"/>
  <c r="D3" i="17" l="1"/>
  <c r="C6" i="1"/>
  <c r="J9" i="16"/>
  <c r="J21" i="16"/>
  <c r="O39" i="7" l="1"/>
  <c r="M39" i="7" s="1"/>
  <c r="O40" i="7"/>
  <c r="M40" i="7" s="1"/>
  <c r="O38" i="7"/>
  <c r="M38" i="7" s="1"/>
  <c r="D271" i="17"/>
  <c r="O60" i="4"/>
  <c r="D323" i="17" s="1"/>
  <c r="C69" i="6"/>
  <c r="H69" i="6" s="1"/>
  <c r="C76" i="6"/>
  <c r="H76" i="6" s="1"/>
  <c r="C78" i="6"/>
  <c r="H78" i="6" s="1"/>
  <c r="C79" i="6"/>
  <c r="H79" i="6" s="1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C82" i="5"/>
  <c r="E82" i="5" s="1"/>
  <c r="C81" i="6" s="1"/>
  <c r="H81" i="6" s="1"/>
  <c r="C81" i="5"/>
  <c r="E81" i="5" s="1"/>
  <c r="C80" i="6" s="1"/>
  <c r="H80" i="6" s="1"/>
  <c r="C80" i="5"/>
  <c r="E80" i="5" s="1"/>
  <c r="C79" i="5"/>
  <c r="E79" i="5" s="1"/>
  <c r="C78" i="5"/>
  <c r="E78" i="5" s="1"/>
  <c r="C77" i="6" s="1"/>
  <c r="H77" i="6" s="1"/>
  <c r="C77" i="5"/>
  <c r="E77" i="5" s="1"/>
  <c r="C76" i="5"/>
  <c r="E76" i="5" s="1"/>
  <c r="C75" i="6" s="1"/>
  <c r="C75" i="5"/>
  <c r="E75" i="5" s="1"/>
  <c r="C74" i="6" s="1"/>
  <c r="C74" i="5"/>
  <c r="E74" i="5" s="1"/>
  <c r="C73" i="6" s="1"/>
  <c r="H73" i="6" s="1"/>
  <c r="C73" i="5"/>
  <c r="E73" i="5" s="1"/>
  <c r="C72" i="6" s="1"/>
  <c r="H72" i="6" s="1"/>
  <c r="C72" i="5"/>
  <c r="E72" i="5" s="1"/>
  <c r="C71" i="6" s="1"/>
  <c r="C71" i="5"/>
  <c r="E71" i="5" s="1"/>
  <c r="C70" i="6" s="1"/>
  <c r="H70" i="6" s="1"/>
  <c r="C70" i="5"/>
  <c r="E70" i="5" s="1"/>
  <c r="C69" i="5"/>
  <c r="E69" i="5" s="1"/>
  <c r="C68" i="6" s="1"/>
  <c r="H68" i="6" s="1"/>
  <c r="C68" i="5"/>
  <c r="E68" i="5" s="1"/>
  <c r="C67" i="6" s="1"/>
  <c r="H67" i="6" s="1"/>
  <c r="H74" i="6" l="1"/>
  <c r="E74" i="6"/>
  <c r="E70" i="6"/>
  <c r="E79" i="6"/>
  <c r="C18" i="16"/>
  <c r="H18" i="16" s="1"/>
  <c r="D171" i="17"/>
  <c r="C21" i="16"/>
  <c r="G21" i="16" s="1"/>
  <c r="D174" i="17"/>
  <c r="C22" i="16"/>
  <c r="E22" i="16" s="1"/>
  <c r="D175" i="17"/>
  <c r="C20" i="16"/>
  <c r="H20" i="16" s="1"/>
  <c r="D173" i="17"/>
  <c r="C23" i="16"/>
  <c r="E23" i="16" s="1"/>
  <c r="D176" i="17"/>
  <c r="C19" i="16"/>
  <c r="H19" i="16" s="1"/>
  <c r="D172" i="17"/>
  <c r="C24" i="16"/>
  <c r="E24" i="16" s="1"/>
  <c r="D177" i="17"/>
  <c r="L61" i="7"/>
  <c r="L60" i="7"/>
  <c r="L52" i="7"/>
  <c r="L55" i="7"/>
  <c r="L54" i="7"/>
  <c r="L53" i="7"/>
  <c r="Q39" i="7"/>
  <c r="Q40" i="7"/>
  <c r="Q38" i="7"/>
  <c r="P46" i="7"/>
  <c r="Q45" i="7"/>
  <c r="E78" i="6"/>
  <c r="E75" i="6"/>
  <c r="H75" i="6"/>
  <c r="E71" i="6"/>
  <c r="H71" i="6"/>
  <c r="F331" i="17"/>
  <c r="F327" i="17"/>
  <c r="F329" i="17"/>
  <c r="E330" i="17"/>
  <c r="E326" i="17"/>
  <c r="E328" i="17"/>
  <c r="E271" i="17"/>
  <c r="H17" i="7"/>
  <c r="D169" i="17"/>
  <c r="C13" i="16"/>
  <c r="D163" i="17"/>
  <c r="C7" i="16"/>
  <c r="D164" i="17"/>
  <c r="G4" i="40" s="1"/>
  <c r="H4" i="40" s="1"/>
  <c r="C8" i="16"/>
  <c r="D165" i="17"/>
  <c r="C9" i="16"/>
  <c r="C10" i="16"/>
  <c r="H10" i="16" s="1"/>
  <c r="D166" i="17"/>
  <c r="D167" i="17"/>
  <c r="C11" i="16"/>
  <c r="D168" i="17"/>
  <c r="C12" i="16"/>
  <c r="E18" i="16"/>
  <c r="G18" i="16"/>
  <c r="H23" i="16"/>
  <c r="G23" i="16"/>
  <c r="E327" i="17"/>
  <c r="E67" i="6"/>
  <c r="G67" i="6"/>
  <c r="E80" i="6"/>
  <c r="E72" i="6"/>
  <c r="G75" i="6"/>
  <c r="E76" i="6"/>
  <c r="E68" i="6"/>
  <c r="G79" i="6"/>
  <c r="G71" i="6"/>
  <c r="G70" i="6"/>
  <c r="G74" i="6"/>
  <c r="E73" i="6"/>
  <c r="E77" i="6"/>
  <c r="E81" i="6"/>
  <c r="G69" i="6"/>
  <c r="G73" i="6"/>
  <c r="G77" i="6"/>
  <c r="G81" i="6"/>
  <c r="G78" i="6"/>
  <c r="G72" i="6"/>
  <c r="G76" i="6"/>
  <c r="G80" i="6"/>
  <c r="E69" i="6"/>
  <c r="G68" i="6"/>
  <c r="H21" i="16" l="1"/>
  <c r="E21" i="16"/>
  <c r="E19" i="16"/>
  <c r="G19" i="16"/>
  <c r="H24" i="16"/>
  <c r="G24" i="16"/>
  <c r="G22" i="16"/>
  <c r="G20" i="16"/>
  <c r="E20" i="16"/>
  <c r="H22" i="16"/>
  <c r="Q61" i="7"/>
  <c r="N61" i="7"/>
  <c r="P61" i="7"/>
  <c r="N60" i="7"/>
  <c r="Q60" i="7"/>
  <c r="P60" i="7"/>
  <c r="Q54" i="7"/>
  <c r="Q55" i="7"/>
  <c r="Q53" i="7"/>
  <c r="Q52" i="7"/>
  <c r="P52" i="7" s="1"/>
  <c r="G10" i="16"/>
  <c r="P40" i="7"/>
  <c r="P39" i="7"/>
  <c r="N37" i="7"/>
  <c r="P37" i="7"/>
  <c r="P38" i="7"/>
  <c r="Q46" i="7"/>
  <c r="N45" i="7"/>
  <c r="P45" i="7"/>
  <c r="N46" i="7"/>
  <c r="E329" i="17"/>
  <c r="E331" i="17"/>
  <c r="G17" i="7"/>
  <c r="E17" i="7"/>
  <c r="E10" i="16"/>
  <c r="H12" i="16"/>
  <c r="G12" i="16"/>
  <c r="E12" i="16"/>
  <c r="H7" i="16"/>
  <c r="E7" i="16"/>
  <c r="G7" i="16"/>
  <c r="G9" i="16"/>
  <c r="E9" i="16"/>
  <c r="H9" i="16"/>
  <c r="H11" i="16"/>
  <c r="G11" i="16"/>
  <c r="E11" i="16"/>
  <c r="H13" i="16"/>
  <c r="E13" i="16"/>
  <c r="G13" i="16"/>
  <c r="H8" i="16"/>
  <c r="E8" i="16"/>
  <c r="G8" i="16"/>
  <c r="N40" i="7"/>
  <c r="N39" i="7"/>
  <c r="N38" i="7"/>
  <c r="M7" i="5"/>
  <c r="M6" i="5"/>
  <c r="P7" i="6" s="1"/>
  <c r="U7" i="6" s="1"/>
  <c r="X8" i="6"/>
  <c r="W8" i="6"/>
  <c r="X7" i="6"/>
  <c r="W7" i="6"/>
  <c r="K20" i="12"/>
  <c r="J20" i="12"/>
  <c r="K21" i="12"/>
  <c r="J21" i="12"/>
  <c r="K19" i="12"/>
  <c r="J19" i="12"/>
  <c r="K14" i="12"/>
  <c r="J14" i="12"/>
  <c r="K13" i="12"/>
  <c r="J13" i="12"/>
  <c r="K8" i="12"/>
  <c r="J8" i="12"/>
  <c r="O70" i="7" l="1"/>
  <c r="O53" i="7"/>
  <c r="O69" i="7"/>
  <c r="M52" i="7"/>
  <c r="F319" i="17"/>
  <c r="O55" i="7"/>
  <c r="O54" i="7"/>
  <c r="P8" i="6"/>
  <c r="U8" i="6" s="1"/>
  <c r="T7" i="6"/>
  <c r="R7" i="6"/>
  <c r="K7" i="12"/>
  <c r="J7" i="12"/>
  <c r="C61" i="5"/>
  <c r="C60" i="5"/>
  <c r="C59" i="5"/>
  <c r="C58" i="5"/>
  <c r="C57" i="5"/>
  <c r="C56" i="5"/>
  <c r="C55" i="5"/>
  <c r="C54" i="5"/>
  <c r="E54" i="5" s="1"/>
  <c r="C53" i="5"/>
  <c r="C52" i="5"/>
  <c r="C51" i="5"/>
  <c r="C50" i="5"/>
  <c r="E50" i="5" s="1"/>
  <c r="C49" i="5"/>
  <c r="C48" i="5"/>
  <c r="C47" i="5"/>
  <c r="C46" i="5"/>
  <c r="E46" i="5" s="1"/>
  <c r="C40" i="5"/>
  <c r="C41" i="5"/>
  <c r="C39" i="5"/>
  <c r="C38" i="5"/>
  <c r="C37" i="5"/>
  <c r="C36" i="5"/>
  <c r="C35" i="5"/>
  <c r="C34" i="5"/>
  <c r="C33" i="5"/>
  <c r="C31" i="5"/>
  <c r="C32" i="5"/>
  <c r="C30" i="5"/>
  <c r="C29" i="5"/>
  <c r="C28" i="5"/>
  <c r="C27" i="5"/>
  <c r="E27" i="5" s="1"/>
  <c r="C26" i="5"/>
  <c r="D309" i="17"/>
  <c r="G5" i="39" s="1"/>
  <c r="H5" i="39" s="1"/>
  <c r="H20" i="39" s="1"/>
  <c r="D307" i="17"/>
  <c r="D306" i="17"/>
  <c r="G5" i="40" s="1"/>
  <c r="H5" i="40" s="1"/>
  <c r="H20" i="40" s="1"/>
  <c r="C29" i="40" s="1"/>
  <c r="D308" i="17"/>
  <c r="D310" i="17"/>
  <c r="D305" i="17"/>
  <c r="D12" i="17"/>
  <c r="D13" i="17"/>
  <c r="D14" i="17"/>
  <c r="D15" i="17"/>
  <c r="D16" i="17"/>
  <c r="D17" i="17"/>
  <c r="D11" i="17"/>
  <c r="J31" i="10"/>
  <c r="K31" i="10"/>
  <c r="J32" i="10"/>
  <c r="K32" i="10"/>
  <c r="J20" i="10"/>
  <c r="K20" i="10"/>
  <c r="J21" i="10"/>
  <c r="K21" i="10"/>
  <c r="J10" i="10"/>
  <c r="K10" i="10"/>
  <c r="J11" i="10"/>
  <c r="K11" i="10"/>
  <c r="G30" i="11"/>
  <c r="D261" i="17" s="1"/>
  <c r="G31" i="11"/>
  <c r="D262" i="17" s="1"/>
  <c r="G32" i="11"/>
  <c r="D263" i="17" s="1"/>
  <c r="G33" i="11"/>
  <c r="D264" i="17" s="1"/>
  <c r="G34" i="11"/>
  <c r="D265" i="17" s="1"/>
  <c r="G29" i="11"/>
  <c r="D260" i="17" s="1"/>
  <c r="G19" i="11"/>
  <c r="D253" i="17" s="1"/>
  <c r="G20" i="11"/>
  <c r="D254" i="17" s="1"/>
  <c r="G21" i="11"/>
  <c r="D255" i="17" s="1"/>
  <c r="G22" i="11"/>
  <c r="D256" i="17" s="1"/>
  <c r="G23" i="11"/>
  <c r="D257" i="17" s="1"/>
  <c r="G18" i="11"/>
  <c r="D252" i="17" s="1"/>
  <c r="G8" i="11"/>
  <c r="D245" i="17" s="1"/>
  <c r="G9" i="11"/>
  <c r="D246" i="17" s="1"/>
  <c r="G10" i="11"/>
  <c r="D247" i="17" s="1"/>
  <c r="G11" i="11"/>
  <c r="D248" i="17" s="1"/>
  <c r="G12" i="11"/>
  <c r="D249" i="17" s="1"/>
  <c r="G7" i="11"/>
  <c r="C8" i="10" s="1"/>
  <c r="C25" i="40" l="1"/>
  <c r="C29" i="39"/>
  <c r="C25" i="39"/>
  <c r="M54" i="7"/>
  <c r="F322" i="17"/>
  <c r="P54" i="7"/>
  <c r="M55" i="7"/>
  <c r="F324" i="17"/>
  <c r="P55" i="7"/>
  <c r="E319" i="17"/>
  <c r="N52" i="7"/>
  <c r="P69" i="7"/>
  <c r="M69" i="7"/>
  <c r="M53" i="7"/>
  <c r="F320" i="17"/>
  <c r="P53" i="7"/>
  <c r="P70" i="7"/>
  <c r="M70" i="7"/>
  <c r="N70" i="7" s="1"/>
  <c r="C22" i="10"/>
  <c r="G22" i="10" s="1"/>
  <c r="C20" i="10"/>
  <c r="H20" i="10" s="1"/>
  <c r="G8" i="10"/>
  <c r="E8" i="10"/>
  <c r="H8" i="10"/>
  <c r="C35" i="10"/>
  <c r="H35" i="10" s="1"/>
  <c r="C31" i="10"/>
  <c r="C34" i="10"/>
  <c r="G34" i="10" s="1"/>
  <c r="C33" i="10"/>
  <c r="C32" i="10"/>
  <c r="C30" i="10"/>
  <c r="C19" i="10"/>
  <c r="C24" i="10"/>
  <c r="H24" i="10" s="1"/>
  <c r="C23" i="10"/>
  <c r="C21" i="10"/>
  <c r="D244" i="17"/>
  <c r="C13" i="10"/>
  <c r="H13" i="10" s="1"/>
  <c r="C12" i="10"/>
  <c r="H12" i="10" s="1"/>
  <c r="C11" i="10"/>
  <c r="C10" i="10"/>
  <c r="C9" i="10"/>
  <c r="H9" i="10" s="1"/>
  <c r="R8" i="6"/>
  <c r="T8" i="6"/>
  <c r="D222" i="17"/>
  <c r="D216" i="17"/>
  <c r="K24" i="10"/>
  <c r="J24" i="10"/>
  <c r="K23" i="10"/>
  <c r="J23" i="10"/>
  <c r="K22" i="10"/>
  <c r="J22" i="10"/>
  <c r="K19" i="10"/>
  <c r="J19" i="10"/>
  <c r="K35" i="10"/>
  <c r="J35" i="10"/>
  <c r="K13" i="10"/>
  <c r="J13" i="10"/>
  <c r="K34" i="10"/>
  <c r="J34" i="10"/>
  <c r="K12" i="10"/>
  <c r="K33" i="10"/>
  <c r="J33" i="10"/>
  <c r="K9" i="10"/>
  <c r="J9" i="10"/>
  <c r="K30" i="10"/>
  <c r="J30" i="10"/>
  <c r="W24" i="9"/>
  <c r="V24" i="9"/>
  <c r="W23" i="9"/>
  <c r="V23" i="9"/>
  <c r="W22" i="9"/>
  <c r="W21" i="9"/>
  <c r="V21" i="9"/>
  <c r="K21" i="9"/>
  <c r="J21" i="9"/>
  <c r="K20" i="9"/>
  <c r="K19" i="9"/>
  <c r="J19" i="9"/>
  <c r="K18" i="9"/>
  <c r="J18" i="9"/>
  <c r="W13" i="9"/>
  <c r="V13" i="9"/>
  <c r="W12" i="9"/>
  <c r="V12" i="9"/>
  <c r="W11" i="9"/>
  <c r="W10" i="9"/>
  <c r="K10" i="9"/>
  <c r="K9" i="9"/>
  <c r="J9" i="9"/>
  <c r="K8" i="9"/>
  <c r="K7" i="9"/>
  <c r="J7" i="9"/>
  <c r="E20" i="10" l="1"/>
  <c r="C18" i="9"/>
  <c r="H18" i="9" s="1"/>
  <c r="D203" i="17"/>
  <c r="C21" i="9"/>
  <c r="H21" i="9" s="1"/>
  <c r="D206" i="17"/>
  <c r="D205" i="17"/>
  <c r="C20" i="9"/>
  <c r="H20" i="9" s="1"/>
  <c r="C19" i="9"/>
  <c r="H19" i="9" s="1"/>
  <c r="D204" i="17"/>
  <c r="N69" i="7"/>
  <c r="O22" i="9"/>
  <c r="T22" i="9" s="1"/>
  <c r="D223" i="17"/>
  <c r="O23" i="9"/>
  <c r="T23" i="9" s="1"/>
  <c r="D224" i="17"/>
  <c r="O13" i="9"/>
  <c r="T13" i="9" s="1"/>
  <c r="D217" i="17"/>
  <c r="O12" i="9"/>
  <c r="T12" i="9" s="1"/>
  <c r="O24" i="9"/>
  <c r="T24" i="9" s="1"/>
  <c r="D225" i="17"/>
  <c r="O11" i="9"/>
  <c r="T11" i="9" s="1"/>
  <c r="D215" i="17"/>
  <c r="E320" i="17"/>
  <c r="N53" i="7"/>
  <c r="E324" i="17"/>
  <c r="N55" i="7"/>
  <c r="E322" i="17"/>
  <c r="N54" i="7"/>
  <c r="H20" i="12"/>
  <c r="E20" i="12"/>
  <c r="G20" i="12"/>
  <c r="G20" i="10"/>
  <c r="H33" i="10"/>
  <c r="G32" i="10"/>
  <c r="H32" i="10"/>
  <c r="E32" i="10"/>
  <c r="E31" i="10"/>
  <c r="H31" i="10"/>
  <c r="G31" i="10"/>
  <c r="E21" i="10"/>
  <c r="G21" i="10"/>
  <c r="H21" i="10"/>
  <c r="G10" i="10"/>
  <c r="E10" i="10"/>
  <c r="H10" i="10"/>
  <c r="G11" i="10"/>
  <c r="E11" i="10"/>
  <c r="H11" i="10"/>
  <c r="E12" i="10"/>
  <c r="G12" i="10"/>
  <c r="G13" i="10"/>
  <c r="G9" i="10"/>
  <c r="J12" i="10"/>
  <c r="H22" i="10"/>
  <c r="E13" i="10"/>
  <c r="O21" i="9"/>
  <c r="T21" i="9" s="1"/>
  <c r="E34" i="10"/>
  <c r="H34" i="10"/>
  <c r="H30" i="10"/>
  <c r="H23" i="10"/>
  <c r="G23" i="10"/>
  <c r="E23" i="10"/>
  <c r="E24" i="10"/>
  <c r="H19" i="10"/>
  <c r="G19" i="10"/>
  <c r="O10" i="9"/>
  <c r="E33" i="10"/>
  <c r="E9" i="10"/>
  <c r="G33" i="10"/>
  <c r="E22" i="10"/>
  <c r="E19" i="10"/>
  <c r="E35" i="10"/>
  <c r="G35" i="10"/>
  <c r="G24" i="10"/>
  <c r="E20" i="9"/>
  <c r="J20" i="9"/>
  <c r="G18" i="9"/>
  <c r="V22" i="9"/>
  <c r="J8" i="9"/>
  <c r="J10" i="9"/>
  <c r="V11" i="9"/>
  <c r="V10" i="9"/>
  <c r="E18" i="9" l="1"/>
  <c r="Q10" i="9"/>
  <c r="T10" i="9"/>
  <c r="S22" i="9"/>
  <c r="Q22" i="9"/>
  <c r="Q23" i="9"/>
  <c r="S23" i="9"/>
  <c r="S13" i="9"/>
  <c r="Q13" i="9"/>
  <c r="Q24" i="9"/>
  <c r="S24" i="9"/>
  <c r="S11" i="9"/>
  <c r="Q12" i="9"/>
  <c r="Q11" i="9"/>
  <c r="S12" i="9"/>
  <c r="E21" i="9"/>
  <c r="G20" i="9"/>
  <c r="G21" i="9"/>
  <c r="S21" i="9"/>
  <c r="S10" i="9"/>
  <c r="E19" i="9"/>
  <c r="G19" i="9"/>
  <c r="Q21" i="9"/>
  <c r="H14" i="12"/>
  <c r="E14" i="12"/>
  <c r="G14" i="12"/>
  <c r="G19" i="12"/>
  <c r="E19" i="12"/>
  <c r="H19" i="12"/>
  <c r="H8" i="12"/>
  <c r="G8" i="12"/>
  <c r="E8" i="12"/>
  <c r="H21" i="12"/>
  <c r="E21" i="12"/>
  <c r="G21" i="12"/>
  <c r="G7" i="12"/>
  <c r="H7" i="12"/>
  <c r="E7" i="12"/>
  <c r="H13" i="12"/>
  <c r="E13" i="12"/>
  <c r="G13" i="12"/>
  <c r="G30" i="10"/>
  <c r="E30" i="10"/>
  <c r="C10" i="9"/>
  <c r="C9" i="9"/>
  <c r="C8" i="9"/>
  <c r="C7" i="9"/>
  <c r="O30" i="4"/>
  <c r="Q8" i="7"/>
  <c r="E309" i="17"/>
  <c r="L16" i="7"/>
  <c r="Q16" i="7" s="1"/>
  <c r="L15" i="7"/>
  <c r="Q15" i="7" s="1"/>
  <c r="Q9" i="7"/>
  <c r="Q7" i="7" l="1"/>
  <c r="L22" i="7"/>
  <c r="Q22" i="7" s="1"/>
  <c r="P22" i="7" s="1"/>
  <c r="D312" i="17"/>
  <c r="L23" i="7"/>
  <c r="Q23" i="7" s="1"/>
  <c r="D313" i="17"/>
  <c r="L31" i="7"/>
  <c r="Q31" i="7" s="1"/>
  <c r="D316" i="17"/>
  <c r="L30" i="7"/>
  <c r="Q30" i="7" s="1"/>
  <c r="D314" i="17"/>
  <c r="L25" i="7"/>
  <c r="Q25" i="7" s="1"/>
  <c r="D315" i="17"/>
  <c r="L24" i="7"/>
  <c r="Q24" i="7" s="1"/>
  <c r="D317" i="17"/>
  <c r="H8" i="9"/>
  <c r="D196" i="17"/>
  <c r="H7" i="9"/>
  <c r="D195" i="17"/>
  <c r="H9" i="9"/>
  <c r="D197" i="17"/>
  <c r="H10" i="9"/>
  <c r="D198" i="17"/>
  <c r="E269" i="17"/>
  <c r="E267" i="17"/>
  <c r="E314" i="17"/>
  <c r="E307" i="17"/>
  <c r="E316" i="17"/>
  <c r="E12" i="7"/>
  <c r="D269" i="17"/>
  <c r="P16" i="7"/>
  <c r="N16" i="7"/>
  <c r="N15" i="7"/>
  <c r="P15" i="7"/>
  <c r="N30" i="7" l="1"/>
  <c r="P30" i="7"/>
  <c r="F305" i="17"/>
  <c r="O8" i="7"/>
  <c r="O9" i="7"/>
  <c r="O10" i="7"/>
  <c r="P10" i="7" s="1"/>
  <c r="M22" i="7"/>
  <c r="F312" i="17"/>
  <c r="O24" i="7"/>
  <c r="O25" i="7"/>
  <c r="O23" i="7"/>
  <c r="N31" i="7"/>
  <c r="P7" i="7"/>
  <c r="E8" i="9"/>
  <c r="G8" i="9"/>
  <c r="E9" i="9"/>
  <c r="G9" i="9"/>
  <c r="E7" i="9"/>
  <c r="G7" i="9"/>
  <c r="G10" i="9"/>
  <c r="E10" i="9"/>
  <c r="G12" i="7"/>
  <c r="H12" i="7"/>
  <c r="P31" i="7"/>
  <c r="F313" i="17" l="1"/>
  <c r="M23" i="7"/>
  <c r="P23" i="7"/>
  <c r="M25" i="7"/>
  <c r="F317" i="17"/>
  <c r="P25" i="7"/>
  <c r="F315" i="17"/>
  <c r="M24" i="7"/>
  <c r="P24" i="7"/>
  <c r="E312" i="17"/>
  <c r="N22" i="7"/>
  <c r="F310" i="17"/>
  <c r="M10" i="7"/>
  <c r="E310" i="17" s="1"/>
  <c r="M9" i="7"/>
  <c r="F308" i="17"/>
  <c r="P9" i="7"/>
  <c r="M8" i="7"/>
  <c r="P8" i="7"/>
  <c r="F306" i="17"/>
  <c r="E305" i="17"/>
  <c r="N7" i="7"/>
  <c r="N10" i="7" l="1"/>
  <c r="E317" i="17"/>
  <c r="N25" i="7"/>
  <c r="N24" i="7"/>
  <c r="E315" i="17"/>
  <c r="E313" i="17"/>
  <c r="N23" i="7"/>
  <c r="E306" i="17"/>
  <c r="N8" i="7"/>
  <c r="E308" i="17"/>
  <c r="N9" i="7"/>
  <c r="K62" i="6"/>
  <c r="J62" i="6"/>
  <c r="K61" i="6"/>
  <c r="J61" i="6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2" i="6"/>
  <c r="J42" i="6"/>
  <c r="K41" i="6"/>
  <c r="J41" i="6"/>
  <c r="K40" i="6"/>
  <c r="J40" i="6"/>
  <c r="K39" i="6"/>
  <c r="J39" i="6"/>
  <c r="K38" i="6"/>
  <c r="J38" i="6"/>
  <c r="K37" i="6"/>
  <c r="J37" i="6"/>
  <c r="K36" i="6"/>
  <c r="J36" i="6"/>
  <c r="K35" i="6"/>
  <c r="J35" i="6"/>
  <c r="K34" i="6"/>
  <c r="J34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K22" i="6"/>
  <c r="J22" i="6"/>
  <c r="K21" i="6"/>
  <c r="J21" i="6"/>
  <c r="K20" i="6"/>
  <c r="J20" i="6"/>
  <c r="K19" i="6"/>
  <c r="J19" i="6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K7" i="6"/>
  <c r="J7" i="6"/>
  <c r="E60" i="5"/>
  <c r="C61" i="6" s="1"/>
  <c r="E57" i="5"/>
  <c r="C58" i="6" s="1"/>
  <c r="E56" i="5"/>
  <c r="C57" i="6" s="1"/>
  <c r="E55" i="5"/>
  <c r="C56" i="6" s="1"/>
  <c r="E56" i="6" s="1"/>
  <c r="E52" i="5"/>
  <c r="C53" i="6" s="1"/>
  <c r="E51" i="5"/>
  <c r="C52" i="6" s="1"/>
  <c r="E52" i="6" s="1"/>
  <c r="E39" i="5"/>
  <c r="E38" i="5"/>
  <c r="E31" i="5"/>
  <c r="E28" i="5"/>
  <c r="C22" i="1"/>
  <c r="C19" i="1"/>
  <c r="H19" i="1" s="1"/>
  <c r="C23" i="1"/>
  <c r="H23" i="1" s="1"/>
  <c r="C21" i="1"/>
  <c r="H21" i="1" s="1"/>
  <c r="C20" i="1"/>
  <c r="H20" i="1" s="1"/>
  <c r="C18" i="1"/>
  <c r="H18" i="1" s="1"/>
  <c r="C17" i="1"/>
  <c r="K23" i="1"/>
  <c r="K22" i="1"/>
  <c r="K21" i="1"/>
  <c r="E15" i="17"/>
  <c r="K20" i="1"/>
  <c r="E14" i="17"/>
  <c r="K19" i="1"/>
  <c r="K18" i="1"/>
  <c r="K17" i="1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E6" i="5" s="1"/>
  <c r="C7" i="6" s="1"/>
  <c r="C29" i="6" l="1"/>
  <c r="G29" i="6" s="1"/>
  <c r="C32" i="6"/>
  <c r="E32" i="6" s="1"/>
  <c r="C39" i="6"/>
  <c r="H39" i="6" s="1"/>
  <c r="C40" i="6"/>
  <c r="E40" i="6" s="1"/>
  <c r="J18" i="1"/>
  <c r="E12" i="17"/>
  <c r="J19" i="1"/>
  <c r="E13" i="17"/>
  <c r="J23" i="1"/>
  <c r="E17" i="17"/>
  <c r="J17" i="1"/>
  <c r="E11" i="17"/>
  <c r="J22" i="1"/>
  <c r="E16" i="17"/>
  <c r="G22" i="1"/>
  <c r="H22" i="1"/>
  <c r="G17" i="1"/>
  <c r="H17" i="1"/>
  <c r="H7" i="6"/>
  <c r="G58" i="6"/>
  <c r="H58" i="6"/>
  <c r="E58" i="6"/>
  <c r="H53" i="6"/>
  <c r="G53" i="6"/>
  <c r="E53" i="6"/>
  <c r="H61" i="6"/>
  <c r="G61" i="6"/>
  <c r="E61" i="6"/>
  <c r="H29" i="6"/>
  <c r="H57" i="6"/>
  <c r="G57" i="6"/>
  <c r="E57" i="6"/>
  <c r="G52" i="6"/>
  <c r="G56" i="6"/>
  <c r="H32" i="6"/>
  <c r="H52" i="6"/>
  <c r="H56" i="6"/>
  <c r="E35" i="5"/>
  <c r="C55" i="6"/>
  <c r="H55" i="6" s="1"/>
  <c r="E47" i="5"/>
  <c r="C48" i="6" s="1"/>
  <c r="E48" i="6" s="1"/>
  <c r="E49" i="5"/>
  <c r="C50" i="6" s="1"/>
  <c r="C51" i="6"/>
  <c r="H51" i="6" s="1"/>
  <c r="E58" i="5"/>
  <c r="C59" i="6" s="1"/>
  <c r="H59" i="6" s="1"/>
  <c r="E36" i="5"/>
  <c r="E48" i="5"/>
  <c r="C49" i="6" s="1"/>
  <c r="E32" i="5"/>
  <c r="C28" i="6"/>
  <c r="G28" i="6" s="1"/>
  <c r="C47" i="6"/>
  <c r="H47" i="6" s="1"/>
  <c r="E29" i="5"/>
  <c r="E37" i="5"/>
  <c r="E30" i="5"/>
  <c r="E59" i="5"/>
  <c r="C60" i="6" s="1"/>
  <c r="E60" i="6" s="1"/>
  <c r="E33" i="5"/>
  <c r="E40" i="5"/>
  <c r="E26" i="5"/>
  <c r="E34" i="5"/>
  <c r="E41" i="5"/>
  <c r="E53" i="5"/>
  <c r="C54" i="6" s="1"/>
  <c r="E61" i="5"/>
  <c r="C62" i="6" s="1"/>
  <c r="G21" i="1"/>
  <c r="G20" i="1"/>
  <c r="E21" i="1"/>
  <c r="E20" i="1"/>
  <c r="E22" i="1"/>
  <c r="E17" i="1"/>
  <c r="E23" i="1"/>
  <c r="G23" i="1"/>
  <c r="E18" i="1"/>
  <c r="G19" i="1"/>
  <c r="J21" i="1"/>
  <c r="E19" i="1"/>
  <c r="G18" i="1"/>
  <c r="J20" i="1"/>
  <c r="D4" i="17"/>
  <c r="D5" i="17"/>
  <c r="D6" i="17"/>
  <c r="D7" i="17"/>
  <c r="D8" i="17"/>
  <c r="D9" i="17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4" i="17"/>
  <c r="E5" i="17"/>
  <c r="E6" i="17"/>
  <c r="E7" i="17"/>
  <c r="E8" i="17"/>
  <c r="E9" i="17"/>
  <c r="E3" i="17"/>
  <c r="G32" i="6" l="1"/>
  <c r="G39" i="6"/>
  <c r="E29" i="6"/>
  <c r="E39" i="6"/>
  <c r="C31" i="6"/>
  <c r="H31" i="6" s="1"/>
  <c r="C38" i="6"/>
  <c r="H38" i="6" s="1"/>
  <c r="H40" i="6"/>
  <c r="G40" i="6"/>
  <c r="C37" i="6"/>
  <c r="G37" i="6" s="1"/>
  <c r="C42" i="6"/>
  <c r="E42" i="6" s="1"/>
  <c r="C30" i="6"/>
  <c r="G30" i="6" s="1"/>
  <c r="C35" i="6"/>
  <c r="H35" i="6" s="1"/>
  <c r="C34" i="6"/>
  <c r="H34" i="6" s="1"/>
  <c r="C27" i="6"/>
  <c r="H27" i="6" s="1"/>
  <c r="C41" i="6"/>
  <c r="G41" i="6" s="1"/>
  <c r="C33" i="6"/>
  <c r="G33" i="6" s="1"/>
  <c r="C36" i="6"/>
  <c r="E36" i="6" s="1"/>
  <c r="E7" i="6"/>
  <c r="G7" i="6"/>
  <c r="C22" i="6"/>
  <c r="H22" i="6" s="1"/>
  <c r="C13" i="6"/>
  <c r="H13" i="6" s="1"/>
  <c r="C16" i="6"/>
  <c r="G16" i="6" s="1"/>
  <c r="C8" i="6"/>
  <c r="G8" i="6" s="1"/>
  <c r="C21" i="6"/>
  <c r="G21" i="6" s="1"/>
  <c r="C20" i="6"/>
  <c r="G20" i="6" s="1"/>
  <c r="C12" i="6"/>
  <c r="G12" i="6" s="1"/>
  <c r="C15" i="6"/>
  <c r="H15" i="6" s="1"/>
  <c r="C19" i="6"/>
  <c r="H19" i="6" s="1"/>
  <c r="C11" i="6"/>
  <c r="H11" i="6" s="1"/>
  <c r="C14" i="6"/>
  <c r="G14" i="6" s="1"/>
  <c r="C18" i="6"/>
  <c r="G18" i="6" s="1"/>
  <c r="C10" i="6"/>
  <c r="E10" i="6" s="1"/>
  <c r="C17" i="6"/>
  <c r="H17" i="6" s="1"/>
  <c r="C9" i="6"/>
  <c r="H9" i="6" s="1"/>
  <c r="G51" i="6"/>
  <c r="E55" i="6"/>
  <c r="E28" i="6"/>
  <c r="E47" i="6"/>
  <c r="G47" i="6"/>
  <c r="G48" i="6"/>
  <c r="G60" i="6"/>
  <c r="H49" i="6"/>
  <c r="G49" i="6"/>
  <c r="E49" i="6"/>
  <c r="E59" i="6"/>
  <c r="H62" i="6"/>
  <c r="G62" i="6"/>
  <c r="E62" i="6"/>
  <c r="H50" i="6"/>
  <c r="G50" i="6"/>
  <c r="E50" i="6"/>
  <c r="G59" i="6"/>
  <c r="E51" i="6"/>
  <c r="G54" i="6"/>
  <c r="E54" i="6"/>
  <c r="H54" i="6"/>
  <c r="G55" i="6"/>
  <c r="H48" i="6"/>
  <c r="H28" i="6"/>
  <c r="H60" i="6"/>
  <c r="J7" i="1"/>
  <c r="J8" i="1"/>
  <c r="J9" i="1"/>
  <c r="J10" i="1"/>
  <c r="J11" i="1"/>
  <c r="J12" i="1"/>
  <c r="J6" i="1"/>
  <c r="K7" i="1"/>
  <c r="K8" i="1"/>
  <c r="K9" i="1"/>
  <c r="K10" i="1"/>
  <c r="K11" i="1"/>
  <c r="K12" i="1"/>
  <c r="K6" i="1"/>
  <c r="C7" i="1"/>
  <c r="C8" i="1"/>
  <c r="H8" i="1" s="1"/>
  <c r="C10" i="1"/>
  <c r="C11" i="1"/>
  <c r="H11" i="1" s="1"/>
  <c r="C12" i="1"/>
  <c r="H12" i="1" s="1"/>
  <c r="C9" i="1"/>
  <c r="H9" i="1" s="1"/>
  <c r="E30" i="6" l="1"/>
  <c r="E38" i="6"/>
  <c r="G38" i="6"/>
  <c r="H30" i="6"/>
  <c r="E19" i="6"/>
  <c r="H37" i="6"/>
  <c r="G34" i="6"/>
  <c r="H33" i="6"/>
  <c r="H42" i="6"/>
  <c r="G36" i="6"/>
  <c r="G35" i="6"/>
  <c r="E35" i="6"/>
  <c r="E27" i="6"/>
  <c r="E33" i="6"/>
  <c r="E37" i="6"/>
  <c r="E10" i="1"/>
  <c r="H10" i="1"/>
  <c r="E7" i="1"/>
  <c r="H7" i="1"/>
  <c r="H41" i="6"/>
  <c r="E34" i="6"/>
  <c r="E41" i="6"/>
  <c r="E31" i="6"/>
  <c r="G27" i="6"/>
  <c r="H36" i="6"/>
  <c r="G42" i="6"/>
  <c r="G31" i="6"/>
  <c r="E22" i="6"/>
  <c r="G7" i="7"/>
  <c r="D267" i="17"/>
  <c r="H21" i="6"/>
  <c r="E18" i="6"/>
  <c r="H8" i="6"/>
  <c r="G22" i="6"/>
  <c r="E8" i="6"/>
  <c r="E11" i="6"/>
  <c r="H12" i="6"/>
  <c r="H18" i="6"/>
  <c r="E9" i="6"/>
  <c r="E12" i="6"/>
  <c r="G9" i="6"/>
  <c r="G19" i="6"/>
  <c r="E21" i="6"/>
  <c r="G11" i="6"/>
  <c r="E15" i="6"/>
  <c r="E17" i="6"/>
  <c r="G17" i="6"/>
  <c r="E13" i="6"/>
  <c r="G15" i="6"/>
  <c r="G13" i="6"/>
  <c r="E20" i="6"/>
  <c r="G10" i="6"/>
  <c r="H14" i="6"/>
  <c r="H10" i="6"/>
  <c r="H20" i="6"/>
  <c r="E14" i="6"/>
  <c r="H16" i="6"/>
  <c r="E16" i="6"/>
  <c r="E11" i="1"/>
  <c r="E8" i="1"/>
  <c r="E9" i="1"/>
  <c r="E6" i="1"/>
  <c r="H6" i="1"/>
  <c r="E12" i="1"/>
  <c r="G11" i="1"/>
  <c r="G7" i="1"/>
  <c r="G6" i="1"/>
  <c r="G10" i="1"/>
  <c r="G9" i="1"/>
  <c r="G12" i="1"/>
  <c r="G8" i="1"/>
  <c r="E7" i="7" l="1"/>
  <c r="H7" i="7"/>
  <c r="O45" i="9"/>
  <c r="O47" i="9"/>
  <c r="T47" i="9" s="1"/>
  <c r="O46" i="9"/>
  <c r="T46" i="9" s="1"/>
  <c r="D238" i="17"/>
  <c r="O44" i="9"/>
  <c r="D239" i="17"/>
  <c r="D241" i="17"/>
  <c r="D240" i="17"/>
  <c r="S44" i="9" l="1"/>
  <c r="T44" i="9"/>
  <c r="S45" i="9"/>
  <c r="T45" i="9"/>
  <c r="S46" i="9"/>
  <c r="Q47" i="9"/>
  <c r="Q44" i="9"/>
  <c r="Q46" i="9"/>
  <c r="S47" i="9"/>
  <c r="Q4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Beetham</author>
  </authors>
  <commentList>
    <comment ref="C4" authorId="0" shapeId="0" xr:uid="{B6AC8763-99E9-4787-990A-4D0036DE107A}">
      <text>
        <r>
          <rPr>
            <b/>
            <sz val="9"/>
            <color indexed="81"/>
            <rFont val="Tahoma"/>
            <family val="2"/>
          </rPr>
          <t>Hudson Beetham:</t>
        </r>
        <r>
          <rPr>
            <sz val="9"/>
            <color indexed="81"/>
            <rFont val="Tahoma"/>
            <family val="2"/>
          </rPr>
          <t xml:space="preserve">
Enter Length Required in here (M)</t>
        </r>
      </text>
    </comment>
    <comment ref="D4" authorId="0" shapeId="0" xr:uid="{8B58F2BC-0444-4DF4-ACB5-9AC371BC8245}">
      <text>
        <r>
          <rPr>
            <b/>
            <sz val="9"/>
            <color indexed="81"/>
            <rFont val="Tahoma"/>
            <family val="2"/>
          </rPr>
          <t>Hudson Beetham:</t>
        </r>
        <r>
          <rPr>
            <sz val="9"/>
            <color indexed="81"/>
            <rFont val="Tahoma"/>
            <family val="2"/>
          </rPr>
          <t xml:space="preserve">
Enter Length Required in here (M)</t>
        </r>
      </text>
    </comment>
    <comment ref="E4" authorId="0" shapeId="0" xr:uid="{390BFF87-6926-460C-B39E-45BF3322347F}">
      <text>
        <r>
          <rPr>
            <b/>
            <sz val="9"/>
            <color indexed="81"/>
            <rFont val="Tahoma"/>
            <family val="2"/>
          </rPr>
          <t>Hudson Beetham:</t>
        </r>
        <r>
          <rPr>
            <sz val="9"/>
            <color indexed="81"/>
            <rFont val="Tahoma"/>
            <family val="2"/>
          </rPr>
          <t xml:space="preserve">
Enter Length Required in here (M)</t>
        </r>
      </text>
    </comment>
    <comment ref="C21" authorId="0" shapeId="0" xr:uid="{B0B6B8D4-45EF-4AD6-ADDE-E494D378EA4D}">
      <text>
        <r>
          <rPr>
            <b/>
            <sz val="9"/>
            <color indexed="81"/>
            <rFont val="Tahoma"/>
            <family val="2"/>
          </rPr>
          <t>Hudson Beetham:</t>
        </r>
        <r>
          <rPr>
            <sz val="9"/>
            <color indexed="81"/>
            <rFont val="Tahoma"/>
            <family val="2"/>
          </rPr>
          <t xml:space="preserve">
Calculate Power Supply
5m (Length Required) x 9.6 = 48W
So use a 60W Power Supply
=_24V_60W*1</t>
        </r>
      </text>
    </comment>
    <comment ref="D21" authorId="0" shapeId="0" xr:uid="{6BB4D33A-CCDB-48FC-A0A6-1734BB071860}">
      <text>
        <r>
          <rPr>
            <b/>
            <sz val="9"/>
            <color indexed="81"/>
            <rFont val="Tahoma"/>
            <family val="2"/>
          </rPr>
          <t>Hudson Beetham:</t>
        </r>
        <r>
          <rPr>
            <sz val="9"/>
            <color indexed="81"/>
            <rFont val="Tahoma"/>
            <family val="2"/>
          </rPr>
          <t xml:space="preserve">
Calculate Power Supply
5m (Length Required) x 9.6 = 48W
So use a 60W Power Supply
=_24V_60W*1</t>
        </r>
      </text>
    </comment>
    <comment ref="E21" authorId="0" shapeId="0" xr:uid="{3B63C7F8-10D6-4B27-88EB-F762B814B1AE}">
      <text>
        <r>
          <rPr>
            <b/>
            <sz val="9"/>
            <color indexed="81"/>
            <rFont val="Tahoma"/>
            <family val="2"/>
          </rPr>
          <t>Hudson Beetham:</t>
        </r>
        <r>
          <rPr>
            <sz val="9"/>
            <color indexed="81"/>
            <rFont val="Tahoma"/>
            <family val="2"/>
          </rPr>
          <t xml:space="preserve">
Calculate Power Supply
5m (Length Required) x 9.6 = 48W
So use a 60W Power Supply
=_24V_60W*1</t>
        </r>
      </text>
    </comment>
    <comment ref="C26" authorId="0" shapeId="0" xr:uid="{3DA95EE4-46B3-43E9-AED3-A8D41AA55319}">
      <text>
        <r>
          <rPr>
            <b/>
            <sz val="9"/>
            <color indexed="81"/>
            <rFont val="Tahoma"/>
            <family val="2"/>
          </rPr>
          <t>Hudson Beetham:</t>
        </r>
        <r>
          <rPr>
            <sz val="9"/>
            <color indexed="81"/>
            <rFont val="Tahoma"/>
            <family val="2"/>
          </rPr>
          <t xml:space="preserve">
If Painting in required.
= $10 x Length Required</t>
        </r>
      </text>
    </comment>
    <comment ref="D26" authorId="0" shapeId="0" xr:uid="{1B2D8CFA-6D20-49C7-A151-2BE64489D0F9}">
      <text>
        <r>
          <rPr>
            <b/>
            <sz val="9"/>
            <color indexed="81"/>
            <rFont val="Tahoma"/>
            <family val="2"/>
          </rPr>
          <t>Hudson Beetham:</t>
        </r>
        <r>
          <rPr>
            <sz val="9"/>
            <color indexed="81"/>
            <rFont val="Tahoma"/>
            <family val="2"/>
          </rPr>
          <t xml:space="preserve">
If Painting in required.
= $10 x Length Required
</t>
        </r>
      </text>
    </comment>
    <comment ref="E26" authorId="0" shapeId="0" xr:uid="{FE1DDDED-4694-4776-9B37-2816818673B7}">
      <text>
        <r>
          <rPr>
            <b/>
            <sz val="9"/>
            <color indexed="81"/>
            <rFont val="Tahoma"/>
            <family val="2"/>
          </rPr>
          <t>Hudson Beetham:</t>
        </r>
        <r>
          <rPr>
            <sz val="9"/>
            <color indexed="81"/>
            <rFont val="Tahoma"/>
            <family val="2"/>
          </rPr>
          <t xml:space="preserve">
If Painting in required.
= $10 x Length Required</t>
        </r>
      </text>
    </comment>
    <comment ref="C31" authorId="0" shapeId="0" xr:uid="{CF089992-09D3-4530-BA90-8B2EEBF9BF14}">
      <text>
        <r>
          <rPr>
            <b/>
            <sz val="9"/>
            <color indexed="81"/>
            <rFont val="Tahoma"/>
            <family val="2"/>
          </rPr>
          <t>Hudson Beetham:</t>
        </r>
        <r>
          <rPr>
            <sz val="9"/>
            <color indexed="81"/>
            <rFont val="Tahoma"/>
            <family val="2"/>
          </rPr>
          <t xml:space="preserve">
Update Margin as needed to calculate Sell Price</t>
        </r>
      </text>
    </comment>
    <comment ref="D31" authorId="0" shapeId="0" xr:uid="{0CE8803A-21C5-4600-921B-62F8550EF0A1}">
      <text>
        <r>
          <rPr>
            <b/>
            <sz val="9"/>
            <color indexed="81"/>
            <rFont val="Tahoma"/>
            <family val="2"/>
          </rPr>
          <t>Hudson Beetham:</t>
        </r>
        <r>
          <rPr>
            <sz val="9"/>
            <color indexed="81"/>
            <rFont val="Tahoma"/>
            <family val="2"/>
          </rPr>
          <t xml:space="preserve">
Update Margin as needed to calculate Sell Price</t>
        </r>
      </text>
    </comment>
    <comment ref="E31" authorId="0" shapeId="0" xr:uid="{DBBFA694-7F1B-46CA-AAF9-B452347BE801}">
      <text>
        <r>
          <rPr>
            <b/>
            <sz val="9"/>
            <color indexed="81"/>
            <rFont val="Tahoma"/>
            <family val="2"/>
          </rPr>
          <t>Hudson Beetham:</t>
        </r>
        <r>
          <rPr>
            <sz val="9"/>
            <color indexed="81"/>
            <rFont val="Tahoma"/>
            <family val="2"/>
          </rPr>
          <t xml:space="preserve">
Update Margin as needed to calculate Sell Price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Beetham</author>
  </authors>
  <commentList>
    <comment ref="C14" authorId="0" shapeId="0" xr:uid="{C4C3EEBD-43E5-4604-846B-CD780161D23A}">
      <text>
        <r>
          <rPr>
            <b/>
            <sz val="9"/>
            <color indexed="81"/>
            <rFont val="Tahoma"/>
            <family val="2"/>
          </rPr>
          <t>Hudson Beetham:</t>
        </r>
        <r>
          <rPr>
            <sz val="9"/>
            <color indexed="81"/>
            <rFont val="Tahoma"/>
            <family val="2"/>
          </rPr>
          <t xml:space="preserve">
H3.2 Treatment Cube Rate</t>
        </r>
      </text>
    </comment>
    <comment ref="C20" authorId="0" shapeId="0" xr:uid="{3D3A767B-C8B1-4C2C-A618-BE8294196F41}">
      <text>
        <r>
          <rPr>
            <sz val="11"/>
            <color theme="1"/>
            <rFont val="Calibri"/>
            <family val="2"/>
            <scheme val="minor"/>
          </rPr>
          <t>Hudson Beetham:
Cube Rate for freight proportionalized = $31.52</t>
        </r>
      </text>
    </comment>
    <comment ref="C47" authorId="0" shapeId="0" xr:uid="{B3C8DEAB-BF6E-40F4-82D7-87F97D781AF3}">
      <text>
        <r>
          <rPr>
            <b/>
            <sz val="9"/>
            <color indexed="81"/>
            <rFont val="Tahoma"/>
            <family val="2"/>
          </rPr>
          <t>Hudson Beetham:</t>
        </r>
        <r>
          <rPr>
            <sz val="9"/>
            <color indexed="81"/>
            <rFont val="Tahoma"/>
            <family val="2"/>
          </rPr>
          <t xml:space="preserve">
H3.2 Treatment Cube Rate</t>
        </r>
      </text>
    </comment>
    <comment ref="C53" authorId="0" shapeId="0" xr:uid="{3C12E572-CEB1-490C-83CC-A4C6B0F4687E}">
      <text>
        <r>
          <rPr>
            <sz val="11"/>
            <color theme="1"/>
            <rFont val="Calibri"/>
            <family val="2"/>
            <scheme val="minor"/>
          </rPr>
          <t>Hudson Beetham:
Cube Rate for freight proportionalized = $31.52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<sst xmlns="http://schemas.openxmlformats.org/spreadsheetml/2006/main" count="4631" uniqueCount="705">
  <si>
    <t>GP CALCULATOR</t>
  </si>
  <si>
    <t>Stair 1</t>
  </si>
  <si>
    <t>Handrail</t>
  </si>
  <si>
    <t>Brackets</t>
  </si>
  <si>
    <t>Stair 2</t>
  </si>
  <si>
    <t>Type</t>
  </si>
  <si>
    <t>Tread</t>
  </si>
  <si>
    <t>Size</t>
  </si>
  <si>
    <t>COST</t>
  </si>
  <si>
    <t>Length 1</t>
  </si>
  <si>
    <t>Quantity</t>
  </si>
  <si>
    <t>Unit Cost</t>
  </si>
  <si>
    <t>Total</t>
  </si>
  <si>
    <t>Length 2</t>
  </si>
  <si>
    <t>EXT - OPEN RISE</t>
  </si>
  <si>
    <t>OPEN RISE</t>
  </si>
  <si>
    <t>0.9m</t>
  </si>
  <si>
    <t>Length 3</t>
  </si>
  <si>
    <t>Winders</t>
  </si>
  <si>
    <t>Length 4</t>
  </si>
  <si>
    <t>Landings</t>
  </si>
  <si>
    <t>Length 5</t>
  </si>
  <si>
    <t>Custom</t>
  </si>
  <si>
    <t>Length 6</t>
  </si>
  <si>
    <t>No. of Units</t>
  </si>
  <si>
    <t>Pallet</t>
  </si>
  <si>
    <t>Site Measure-up</t>
  </si>
  <si>
    <t>Region</t>
  </si>
  <si>
    <t>Contact</t>
  </si>
  <si>
    <t>Rate</t>
  </si>
  <si>
    <t>Drawings</t>
  </si>
  <si>
    <t>Freight</t>
  </si>
  <si>
    <t xml:space="preserve"> Total Cube (m²)</t>
  </si>
  <si>
    <t xml:space="preserve"> Total Weight (kg)</t>
  </si>
  <si>
    <t>Total Freight Cost</t>
  </si>
  <si>
    <t>TOTAL COST</t>
  </si>
  <si>
    <t>GP% BY REGION</t>
  </si>
  <si>
    <t>(for new customers and those that don't from Top Flyte Stairs currently)</t>
  </si>
  <si>
    <t>Top Flyte Take Off Sheet: CONFIDENTIAL</t>
  </si>
  <si>
    <t>GP%</t>
  </si>
  <si>
    <t>Date:</t>
  </si>
  <si>
    <t>Sell Price</t>
  </si>
  <si>
    <t>Wholesaler</t>
  </si>
  <si>
    <t>Onsite Builder:</t>
  </si>
  <si>
    <t>CUSTOM - SELL</t>
  </si>
  <si>
    <t>Site Address:</t>
  </si>
  <si>
    <r>
      <t xml:space="preserve">Region </t>
    </r>
    <r>
      <rPr>
        <b/>
        <sz val="11"/>
        <color rgb="FFFF0000"/>
        <rFont val="Calibri"/>
        <family val="2"/>
      </rPr>
      <t>*</t>
    </r>
  </si>
  <si>
    <t>BAY OF PLENTY</t>
  </si>
  <si>
    <t>Stair Type:</t>
  </si>
  <si>
    <t>External</t>
  </si>
  <si>
    <t>Classify</t>
  </si>
  <si>
    <t>Main</t>
  </si>
  <si>
    <t>Job Number (s):</t>
  </si>
  <si>
    <t xml:space="preserve"> </t>
  </si>
  <si>
    <t>SOLID PINE - (300x50) - 50Tx25R</t>
  </si>
  <si>
    <t>EX 50MM</t>
  </si>
  <si>
    <t>1.6m</t>
  </si>
  <si>
    <t>WINDERS</t>
  </si>
  <si>
    <t>MDF</t>
  </si>
  <si>
    <t>5 Step (over 180°)</t>
  </si>
  <si>
    <t>Carters Madras Street</t>
  </si>
  <si>
    <t>157 Milton Street, Somerfield, Christchurch 8024</t>
  </si>
  <si>
    <t>NORTHLAND</t>
  </si>
  <si>
    <t>Internal</t>
  </si>
  <si>
    <t>Secondary</t>
  </si>
  <si>
    <t xml:space="preserve">CH1431566E1 - Unit 1-2 </t>
  </si>
  <si>
    <t>PINE/MDF (250x40)</t>
  </si>
  <si>
    <t>Over 300mm</t>
  </si>
  <si>
    <t>1.4m</t>
  </si>
  <si>
    <t>Up to 300mm</t>
  </si>
  <si>
    <t>1.0m</t>
  </si>
  <si>
    <t>2 Step</t>
  </si>
  <si>
    <t>Weight (kg)</t>
  </si>
  <si>
    <t xml:space="preserve">   </t>
  </si>
  <si>
    <t xml:space="preserve">            </t>
  </si>
  <si>
    <t xml:space="preserve">     </t>
  </si>
  <si>
    <t xml:space="preserve">QF </t>
  </si>
  <si>
    <t xml:space="preserve">Q </t>
  </si>
  <si>
    <t xml:space="preserve">Orders Processed </t>
  </si>
  <si>
    <t xml:space="preserve">Kitset Processed </t>
  </si>
  <si>
    <t>WAIKATO</t>
  </si>
  <si>
    <t>TYPE</t>
  </si>
  <si>
    <t>SIZE</t>
  </si>
  <si>
    <t>WIDTH</t>
  </si>
  <si>
    <t>TOTAL COST (divided by 10 Risers)</t>
  </si>
  <si>
    <t>WHOLESALE</t>
  </si>
  <si>
    <t>RETAIL</t>
  </si>
  <si>
    <t>1.1m</t>
  </si>
  <si>
    <t>1.2m</t>
  </si>
  <si>
    <t>2.0m</t>
  </si>
  <si>
    <t>PINE/PLY (250x40)</t>
  </si>
  <si>
    <t>PINE/MDF (300x40)</t>
  </si>
  <si>
    <t>PINE/PLY (300x40)</t>
  </si>
  <si>
    <t>PINE/MDF (300x50)</t>
  </si>
  <si>
    <t>PINE/PLY (300x50)</t>
  </si>
  <si>
    <t>PINE/MDF (Cut-under 300x40)</t>
  </si>
  <si>
    <t>PINE/PLY (Cut-under 300x40)</t>
  </si>
  <si>
    <t>PINE/MDF (Cut-under 300x50)</t>
  </si>
  <si>
    <t>PINE/PLY (Cut-under 300x50)</t>
  </si>
  <si>
    <t>KO - SPEC</t>
  </si>
  <si>
    <t>KO - (300x50/Ply)</t>
  </si>
  <si>
    <t>SOLID PINE - (250x40) - 40Tx25R</t>
  </si>
  <si>
    <t>SOLID PINE - (300x50) - 40Tx25R</t>
  </si>
  <si>
    <t>1.5m EXT</t>
  </si>
  <si>
    <t>1.8m EXT</t>
  </si>
  <si>
    <t>2.1m EXT</t>
  </si>
  <si>
    <t>2.4m EXT</t>
  </si>
  <si>
    <t>EXT - CLOSED</t>
  </si>
  <si>
    <t>EX 25MM</t>
  </si>
  <si>
    <t>LANDING</t>
  </si>
  <si>
    <t>1.0m2</t>
  </si>
  <si>
    <t>PLY UT</t>
  </si>
  <si>
    <t>PLY H3.2</t>
  </si>
  <si>
    <t>Solid Pine</t>
  </si>
  <si>
    <t>WINDERS - Cut-under</t>
  </si>
  <si>
    <t>3 Step</t>
  </si>
  <si>
    <t>3 Step (over 180°)</t>
  </si>
  <si>
    <t>4 Step</t>
  </si>
  <si>
    <t>6 Step</t>
  </si>
  <si>
    <t>Don’t Use</t>
  </si>
  <si>
    <t>Top Flyte Rates</t>
  </si>
  <si>
    <t>Base rate</t>
  </si>
  <si>
    <t>M3 rate</t>
  </si>
  <si>
    <t>Total M3</t>
  </si>
  <si>
    <t>Cost</t>
  </si>
  <si>
    <t>FAF</t>
  </si>
  <si>
    <t>Cost plus FAF</t>
  </si>
  <si>
    <t>Tauranga /Mount</t>
  </si>
  <si>
    <t>Papamoa/Omokoroa</t>
  </si>
  <si>
    <t>Katikati/TePuke</t>
  </si>
  <si>
    <t>Cube Calculator</t>
  </si>
  <si>
    <t>Length</t>
  </si>
  <si>
    <t>Width</t>
  </si>
  <si>
    <t>Height</t>
  </si>
  <si>
    <t>Cube M3</t>
  </si>
  <si>
    <t>Weight KG</t>
  </si>
  <si>
    <t>Line 1</t>
  </si>
  <si>
    <t>Line 2</t>
  </si>
  <si>
    <t>Line 3</t>
  </si>
  <si>
    <t>Line 4</t>
  </si>
  <si>
    <t>Line 5</t>
  </si>
  <si>
    <t>Desired GP%</t>
  </si>
  <si>
    <t>NORTHLAND - Private Cust.</t>
  </si>
  <si>
    <t>AUCKLAND</t>
  </si>
  <si>
    <t>AUCKLAND - Private Cust.</t>
  </si>
  <si>
    <t>WAIKATO - Private Cust.</t>
  </si>
  <si>
    <t>BAY OF PLENTY - Private Cust.</t>
  </si>
  <si>
    <t>GISBORNE</t>
  </si>
  <si>
    <t>GISBORNE - Private Cust.</t>
  </si>
  <si>
    <t>HAWKES BAY</t>
  </si>
  <si>
    <t>HAWKES BAY - Private Cust.</t>
  </si>
  <si>
    <t>TARANAKI</t>
  </si>
  <si>
    <t>TARANAKI - Private Cust.</t>
  </si>
  <si>
    <t>MANAWATU-WANGANUI</t>
  </si>
  <si>
    <t>MANAWATU-WANGANUI - Private Cust.</t>
  </si>
  <si>
    <t>WELLINGTON</t>
  </si>
  <si>
    <t>WELLINGTON - Private Cust.</t>
  </si>
  <si>
    <t>TASMAN - NELSON</t>
  </si>
  <si>
    <t>TASMAN - NELSON - Private Cust.</t>
  </si>
  <si>
    <t>MARLBOROUGH</t>
  </si>
  <si>
    <t>MARLBOROUGH - Private Cust.</t>
  </si>
  <si>
    <t>WEST COAST</t>
  </si>
  <si>
    <t>WEST COAST - Private Cust.</t>
  </si>
  <si>
    <t>CANTERBURY</t>
  </si>
  <si>
    <t>CANTERBURY - Private Cust.</t>
  </si>
  <si>
    <t>OTAGO</t>
  </si>
  <si>
    <t>OTAGO - Private Cust.</t>
  </si>
  <si>
    <t>SOUTHLAND</t>
  </si>
  <si>
    <t>SOUTHLAND - Private Cust.</t>
  </si>
  <si>
    <t>CONTACT</t>
  </si>
  <si>
    <t>RATE</t>
  </si>
  <si>
    <t>N/A</t>
  </si>
  <si>
    <t>TOP FLYTE STAIRS</t>
  </si>
  <si>
    <t>-</t>
  </si>
  <si>
    <t>HAWKES BAY DOORS</t>
  </si>
  <si>
    <t>RHYS POWELL JOINERY</t>
  </si>
  <si>
    <t>KOSHA HOMES</t>
  </si>
  <si>
    <t>DKNZ</t>
  </si>
  <si>
    <t>ORAN KINNING</t>
  </si>
  <si>
    <t>STAIRS</t>
  </si>
  <si>
    <t>LANDINGS</t>
  </si>
  <si>
    <t>LABOUR RATE BREAKDOWN</t>
  </si>
  <si>
    <t>Hourly Rate (averaged)</t>
  </si>
  <si>
    <t>Efficiency</t>
  </si>
  <si>
    <t>ACC</t>
  </si>
  <si>
    <t>Holiday Pay</t>
  </si>
  <si>
    <t>Benefits</t>
  </si>
  <si>
    <t>True Labour Cost</t>
  </si>
  <si>
    <t>Chriag</t>
  </si>
  <si>
    <t>Gary</t>
  </si>
  <si>
    <t>Deane</t>
  </si>
  <si>
    <t>Neil</t>
  </si>
  <si>
    <t>Freddy</t>
  </si>
  <si>
    <t>Total averaged</t>
  </si>
  <si>
    <t>250 x 40 - Sell Prices (June 2022)</t>
  </si>
  <si>
    <t>250 x 40 in PLY - Sell Prices (June 2022)</t>
  </si>
  <si>
    <t>Pine Stringer - MDF Treads/Risers - (Up to 300mm)</t>
  </si>
  <si>
    <t>Pine Stringer - PLY Treads/Risers - (Up to 300mm)</t>
  </si>
  <si>
    <t>ITEM</t>
  </si>
  <si>
    <t>W/SALE PRICE</t>
  </si>
  <si>
    <t>RETAIL PRICE</t>
  </si>
  <si>
    <t>W/SALE FREIGHT</t>
  </si>
  <si>
    <t>RETAIL FREIGHT</t>
  </si>
  <si>
    <t>(less 10%)</t>
  </si>
  <si>
    <t>BPSC Stair</t>
  </si>
  <si>
    <t>Pine Stringer - MDF Treads/Risers - (300mm +)</t>
  </si>
  <si>
    <t>Pine Stringer - PLY Treads/Risers - (300mm +)</t>
  </si>
  <si>
    <t>300 x 40 - Sell Prices (June 2022)</t>
  </si>
  <si>
    <t>300 x 40 in PLY - Sell Prices (June 2022)</t>
  </si>
  <si>
    <t>300 x 50 - Sell Prices (June 2022)</t>
  </si>
  <si>
    <t>300 x 50 in PLY - Sell Prices (June 2022)</t>
  </si>
  <si>
    <t>300mm x 40mm CUT-UNDER - Sell Prices (June 2022)</t>
  </si>
  <si>
    <t>300mm x 40mm CUT-UNDER in PLY - Sell Prices (June 2022)</t>
  </si>
  <si>
    <t>300mm x 50mm CUT-UNDER - Sell Prices (June 2022)</t>
  </si>
  <si>
    <t>300mm x 50mm CUT-UNDER in PLY - Sell Prices (June 2022)</t>
  </si>
  <si>
    <t>Sell Prices as at June 2022</t>
  </si>
  <si>
    <t>Pine H1.2 Stringer - H3.2 Plywood Treads/Risers - (Up to 300mm)</t>
  </si>
  <si>
    <t>KO Spec Stair</t>
  </si>
  <si>
    <t>Pine H1.2 Stringer - H3.2  Treads/Risers - (300mm +)</t>
  </si>
  <si>
    <t>300 x 50 - Sell Prices (August 2024)</t>
  </si>
  <si>
    <t>Pine H3.2 300x50 Stringer - H3.2 Plywood Treads/Risers - (Up to 300mm)</t>
  </si>
  <si>
    <t>Pine H3.2 300x50 Stringer - H3.2 Plywood Treads/Risers - (300mm +)</t>
  </si>
  <si>
    <t>Solid Pine Stringer (250mm x 40mm) with Solid Treads/Risers - (Up to 300mm)</t>
  </si>
  <si>
    <t>Solid Pine Stringer (300mm x 40mm) with Solid Treads/Risers - (Up to 300mm)</t>
  </si>
  <si>
    <t>Solid Pine Stringer (250mm x 40mm) with Solid Treads/Risers - (Over 300mm)</t>
  </si>
  <si>
    <t>Solid Pine Stringer (300mm x 40mm) with Solid Treads/Risers - (Over 300mm)</t>
  </si>
  <si>
    <t>Solid Pine Stringer (300mm x 50mm) with Solid Treads/Risers - (Up to 300mm)</t>
  </si>
  <si>
    <t>Solid Pine Stringer (300mm x 50mm) with Solid Treads/Risers - (Over 300mm)</t>
  </si>
  <si>
    <t>Landings - MDF</t>
  </si>
  <si>
    <t>Winders - MDF</t>
  </si>
  <si>
    <t>STEPS</t>
  </si>
  <si>
    <t>Landing - (1.0 sq/m)</t>
  </si>
  <si>
    <t>1 m2</t>
  </si>
  <si>
    <t>2 Winder</t>
  </si>
  <si>
    <t>3 Winder</t>
  </si>
  <si>
    <t>Landings - Ply UT</t>
  </si>
  <si>
    <t>4 Winder</t>
  </si>
  <si>
    <t>6 Winder</t>
  </si>
  <si>
    <t>Winders over 180° - MDF</t>
  </si>
  <si>
    <t>Landings - Ply H3.2</t>
  </si>
  <si>
    <t>5 Winder</t>
  </si>
  <si>
    <t>Landings - Solid Pine 32mm</t>
  </si>
  <si>
    <t>Winders - Ply UT</t>
  </si>
  <si>
    <t>Landings Costing sheet - Pine External Landing</t>
  </si>
  <si>
    <t>Winders over 180° - Ply UT</t>
  </si>
  <si>
    <t>Winders - Ply H3.2</t>
  </si>
  <si>
    <t>Winders over 180° - Ply H3.2</t>
  </si>
  <si>
    <t>Winders - Solid Pine 32mm</t>
  </si>
  <si>
    <t>Winders over 180° - Solid Pine 32mm</t>
  </si>
  <si>
    <t>Winders - Pine H3.2 45mm</t>
  </si>
  <si>
    <t>Winders over 180° - Pine H3.2 45mm</t>
  </si>
  <si>
    <t>Kitset Stairs 200x50</t>
  </si>
  <si>
    <t>Exterior Treads &amp; Baton 150x50</t>
  </si>
  <si>
    <t>LENGTH</t>
  </si>
  <si>
    <t>Kitset Stair</t>
  </si>
  <si>
    <t>1 Step</t>
  </si>
  <si>
    <t>Ext. Tread &amp; Baton</t>
  </si>
  <si>
    <t>900mm</t>
  </si>
  <si>
    <t>1200mm</t>
  </si>
  <si>
    <t>Rdm</t>
  </si>
  <si>
    <t>5 Step</t>
  </si>
  <si>
    <t>7 Step</t>
  </si>
  <si>
    <t>8 Step</t>
  </si>
  <si>
    <t>9 Step</t>
  </si>
  <si>
    <t>10 Step</t>
  </si>
  <si>
    <t>11 Step</t>
  </si>
  <si>
    <t>12 Step</t>
  </si>
  <si>
    <t>13 Step</t>
  </si>
  <si>
    <t>14 Step</t>
  </si>
  <si>
    <t>15 Step</t>
  </si>
  <si>
    <t>16 Step</t>
  </si>
  <si>
    <t>Kitset Stairs 250x50</t>
  </si>
  <si>
    <t>Kitset Stairs 300x50</t>
  </si>
  <si>
    <t>Cut-Under Kitset Stairs 300x50</t>
  </si>
  <si>
    <t>Open Rise</t>
  </si>
  <si>
    <t>External Stair</t>
  </si>
  <si>
    <t>1.5m</t>
  </si>
  <si>
    <t>1.8m</t>
  </si>
  <si>
    <t>2.1m</t>
  </si>
  <si>
    <t>2.4m</t>
  </si>
  <si>
    <t>Closed Riser - Ex 25mm</t>
  </si>
  <si>
    <t>Closed Riser - Ex 50mm</t>
  </si>
  <si>
    <t>Attic Ladders - (North Island)</t>
  </si>
  <si>
    <t>PRICE BREAK</t>
  </si>
  <si>
    <t>Attic Stairs</t>
  </si>
  <si>
    <t>1-9</t>
  </si>
  <si>
    <t>10+</t>
  </si>
  <si>
    <t>Attic Ladders - (South Island)</t>
  </si>
  <si>
    <t>Attic Ladders - (Greenland Homes)</t>
  </si>
  <si>
    <t>2-9</t>
  </si>
  <si>
    <t>250mm x 40mm - BPSC Stair Costing sheet</t>
  </si>
  <si>
    <t>250mm x 40mm - BPSC with Ply Stair Costing sheet</t>
  </si>
  <si>
    <t>STRINGER RATE (250x40)</t>
  </si>
  <si>
    <t>TREAD RATE (MDF)</t>
  </si>
  <si>
    <t>RISER RATE (MDF)</t>
  </si>
  <si>
    <t>Central CU (300x40)</t>
  </si>
  <si>
    <t>LABOUR (H/RATE)</t>
  </si>
  <si>
    <t>TOTAL COST (divided by Riser Rate)</t>
  </si>
  <si>
    <t>TREAD RATE (PLY)</t>
  </si>
  <si>
    <t>RISER RATE (PLY)</t>
  </si>
  <si>
    <t>300mm x 40mm - BPSC Stair Costing sheet</t>
  </si>
  <si>
    <t>300mm x 40mm - BPSC with Ply Stair Costing sheet</t>
  </si>
  <si>
    <t>STRINGER RATE (300x40)</t>
  </si>
  <si>
    <t>300mm x 50mm - BPSC Stair Costing sheet</t>
  </si>
  <si>
    <t>300mm x 50mm - BPSC with Ply Stair Costing sheet</t>
  </si>
  <si>
    <t>STRINGER RATE (300x50)</t>
  </si>
  <si>
    <t>Central CU (300x50)</t>
  </si>
  <si>
    <t>300mm x 40mm CUT-UNDER - BPSC Stair Costing sheet</t>
  </si>
  <si>
    <t>300mm x 40mm CUT-UNDER - BPSC with Ply Stair Costing sheet</t>
  </si>
  <si>
    <t>300mm x 50mm CUT-UNDER - BPSC Stair Costing sheet</t>
  </si>
  <si>
    <t>300mm x 50mm CUT-UNDER - BPSC with Ply Stair Costing sheet</t>
  </si>
  <si>
    <t>KO Spec Stair Costing sheet - 24th August 2022</t>
  </si>
  <si>
    <t>STRINGER RATE (H1.2 - 250x40)</t>
  </si>
  <si>
    <t>TREAD RATE (H3.2 - 21mm Ply)</t>
  </si>
  <si>
    <t>RISER RATE (H3.2 - 12mm Ply)</t>
  </si>
  <si>
    <t>Central CU (H3.2 300x50)</t>
  </si>
  <si>
    <t>STRINGER RATE (H3.2- 300x50)</t>
  </si>
  <si>
    <t>Solid Stair Costing sheet - 24th August 2022</t>
  </si>
  <si>
    <t>TREAD RATE (300x40)</t>
  </si>
  <si>
    <t>RISER RATE (200x25)</t>
  </si>
  <si>
    <t>TREAD RATE (300x50)</t>
  </si>
  <si>
    <t>External Stair Costing sheet - 24th August 2022</t>
  </si>
  <si>
    <t>STRINGER RATE (300x50 H3.2)</t>
  </si>
  <si>
    <t>TREAD RATE (Pine H3.2 150x50 GT)</t>
  </si>
  <si>
    <t>RISER CLOSER (Pine H3.2 50x50)</t>
  </si>
  <si>
    <t>Central CU (300x50 H3.2)</t>
  </si>
  <si>
    <t>RISER RATE (Pine H3.2 200x25)</t>
  </si>
  <si>
    <t>RISER RATE (Pine H3.2 200x50)</t>
  </si>
  <si>
    <t>Landings Costing sheet</t>
  </si>
  <si>
    <t>Winders Costing sheet</t>
  </si>
  <si>
    <t>CUT-UNDER Winders Costing sheet</t>
  </si>
  <si>
    <t>Landing Costing sheet - MDF</t>
  </si>
  <si>
    <t>Winders Costing sheet - MDF</t>
  </si>
  <si>
    <t>PINE 300x40mm</t>
  </si>
  <si>
    <t>PINE 75x40mm</t>
  </si>
  <si>
    <t>MDF 24mm</t>
  </si>
  <si>
    <t>MDF 12mm</t>
  </si>
  <si>
    <t>PINE 300x40mm (50x40mm)</t>
  </si>
  <si>
    <t>PINE 100x40mm</t>
  </si>
  <si>
    <t>I</t>
  </si>
  <si>
    <t>2 Winder - (1.0m sq/m)</t>
  </si>
  <si>
    <t>3 Winder - (1.0m sq/m)</t>
  </si>
  <si>
    <t>Landings Costing sheet - PLY UT</t>
  </si>
  <si>
    <t>4 Winder - (1.0m sq/m)</t>
  </si>
  <si>
    <t>PLY 21mm</t>
  </si>
  <si>
    <t>PLY 12mm</t>
  </si>
  <si>
    <t>6 Winder - (1.0m sq/m)</t>
  </si>
  <si>
    <r>
      <t>Winders over 180</t>
    </r>
    <r>
      <rPr>
        <b/>
        <sz val="11"/>
        <color rgb="FFFF0000"/>
        <rFont val="Calibri"/>
        <family val="2"/>
      </rPr>
      <t>°</t>
    </r>
    <r>
      <rPr>
        <b/>
        <sz val="11"/>
        <color rgb="FFFF0000"/>
        <rFont val="Calibri"/>
        <family val="2"/>
        <scheme val="minor"/>
      </rPr>
      <t xml:space="preserve"> Costing sheet - MDF</t>
    </r>
  </si>
  <si>
    <t>PINE 150x40mm</t>
  </si>
  <si>
    <t>Landings Costing sheet - PLY H3.2</t>
  </si>
  <si>
    <t>PINE H3.2 300x50mm</t>
  </si>
  <si>
    <t>PINE H3.2 75x50mm</t>
  </si>
  <si>
    <t>PLY H3.2 21mm</t>
  </si>
  <si>
    <t>PLY H3.2 12mm</t>
  </si>
  <si>
    <t>5 Winder - (1.0m sq/m)</t>
  </si>
  <si>
    <t>Landings Costing sheet - Solid Pine 32mm</t>
  </si>
  <si>
    <t>Winders Costing sheet - PLY UT</t>
  </si>
  <si>
    <t>PINE 200x25mm</t>
  </si>
  <si>
    <t>PINE H3.2 150x50mm</t>
  </si>
  <si>
    <t>PINE H3.2 200x25mm</t>
  </si>
  <si>
    <r>
      <t>Winders over 180</t>
    </r>
    <r>
      <rPr>
        <sz val="14"/>
        <color rgb="FFFF0000"/>
        <rFont val="Calibri"/>
        <family val="2"/>
      </rPr>
      <t>°</t>
    </r>
    <r>
      <rPr>
        <sz val="14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Costing sheet - PLY UT</t>
    </r>
  </si>
  <si>
    <t>Winders Costing sheet - PLY H3.2</t>
  </si>
  <si>
    <t>PINE H3.2 300x50mm (50x50mm)</t>
  </si>
  <si>
    <t>PINE H3.2 100x50mm</t>
  </si>
  <si>
    <t>Winders over 180° Costing sheet - PLY H3.2</t>
  </si>
  <si>
    <t>Winders Costing sheet - Solid Pine 32mm</t>
  </si>
  <si>
    <t>Winders over 180° Costing sheet - Solid Pine 32mm</t>
  </si>
  <si>
    <t>Winders Costing sheet - Pine H3.2 45mm</t>
  </si>
  <si>
    <t>Winders over 180° Costing sheet - Pine H3.2 45mm</t>
  </si>
  <si>
    <t>Winders Costing sheet - American White Oak 32mm</t>
  </si>
  <si>
    <t>AWO 300x40mm (50x40mm)</t>
  </si>
  <si>
    <t>AWO 75x40mm</t>
  </si>
  <si>
    <t>AWO 300x40mm</t>
  </si>
  <si>
    <t>AWO 200x25mm</t>
  </si>
  <si>
    <t>AWO 100x40mm</t>
  </si>
  <si>
    <t>Winders over 180° Costing sheet - American White Oak 32mm</t>
  </si>
  <si>
    <t>AWO 150x40mm</t>
  </si>
  <si>
    <t>Winders Costing sheet - American White Ash 32mm</t>
  </si>
  <si>
    <t>AWA 75x40mm</t>
  </si>
  <si>
    <t>AWA 300x40mm</t>
  </si>
  <si>
    <t>AWA 200x25mm</t>
  </si>
  <si>
    <t>AWA 300x40mm (50x40mm)</t>
  </si>
  <si>
    <t>AWA 100x40mm</t>
  </si>
  <si>
    <t>Winders over 180° Costing sheet - American White Ash 32mm</t>
  </si>
  <si>
    <t>AWA 150x40mm</t>
  </si>
  <si>
    <t>Kitset Stair Costing sheet - August 2022</t>
  </si>
  <si>
    <t>Exterior Tread Costing sheet - 24th August 2022</t>
  </si>
  <si>
    <t>STRINGER RATE (200x50 H3.2)</t>
  </si>
  <si>
    <t>SUB-CONTRACTING RATE</t>
  </si>
  <si>
    <t>TREAD RATE (150x50 H3.2)</t>
  </si>
  <si>
    <t>BATON (50x50 H3.2)</t>
  </si>
  <si>
    <t>Ext. Tread</t>
  </si>
  <si>
    <t>Random</t>
  </si>
  <si>
    <t>STRINGER RATE (250x50 H3.2)</t>
  </si>
  <si>
    <t>Drawing Cost</t>
  </si>
  <si>
    <t>CNC time</t>
  </si>
  <si>
    <t>Change Timber cost to same as 300x50</t>
  </si>
  <si>
    <t>Also change the Cut-Under costs to the same logic</t>
  </si>
  <si>
    <t>Cut-Under Kitset Stair Costing sheet - August 2022</t>
  </si>
  <si>
    <t>Attic Ladders Costing sheet - September 2025</t>
  </si>
  <si>
    <t>CODE</t>
  </si>
  <si>
    <t>CURRENCY</t>
  </si>
  <si>
    <t>SUPPLIER COST</t>
  </si>
  <si>
    <t>EX.RATE</t>
  </si>
  <si>
    <t>COST (NZD)</t>
  </si>
  <si>
    <t>ADDITIONAL COST</t>
  </si>
  <si>
    <t>Price pre 2025</t>
  </si>
  <si>
    <t>Attic Ladder</t>
  </si>
  <si>
    <t>EUR</t>
  </si>
  <si>
    <t>Bag w. corner fitting architrave</t>
  </si>
  <si>
    <t>Architrave set SW endpiece</t>
  </si>
  <si>
    <t xml:space="preserve">Architrave set SW sidepiece </t>
  </si>
  <si>
    <t>Fire-resistant loft ladder REI 60</t>
  </si>
  <si>
    <t>Replacement Lids</t>
  </si>
  <si>
    <t>3 Step Extension</t>
  </si>
  <si>
    <t>TOTAL LANDED COST (Std)</t>
  </si>
  <si>
    <t>TOTAL LANDED COST (Fire Rated)</t>
  </si>
  <si>
    <t>ADDITIONAL COST WORKINGS</t>
  </si>
  <si>
    <t>QUANTITY</t>
  </si>
  <si>
    <t>TOTAL</t>
  </si>
  <si>
    <t>PROPORTION OF TOTAL</t>
  </si>
  <si>
    <t>SHIPPING COSTS</t>
  </si>
  <si>
    <t>ADDITIONAL COST PER ITEM</t>
  </si>
  <si>
    <t>Enter Length Required, Calculate Power Supply Needed and Update Quantity, Remove Painting if not needed</t>
  </si>
  <si>
    <t>More info</t>
  </si>
  <si>
    <t>Richie Rail 18</t>
  </si>
  <si>
    <t>Price</t>
  </si>
  <si>
    <t>Length Required (M)</t>
  </si>
  <si>
    <t>Extrusion + Diffuser</t>
  </si>
  <si>
    <t>1m Richie Rail 18 + Opal Diffuser</t>
  </si>
  <si>
    <t>Wall Brackets (Round to the next metre + 1)</t>
  </si>
  <si>
    <t>Pair of End Caps</t>
  </si>
  <si>
    <t>Richie Rail 18 End Caps</t>
  </si>
  <si>
    <t>Cable Feed</t>
  </si>
  <si>
    <t>2M 0.5mm Cable Feed</t>
  </si>
  <si>
    <t>LED Strip Options</t>
  </si>
  <si>
    <t>All available in 2700k, 3000k and 4000k Options</t>
  </si>
  <si>
    <t>Linear Strip 9.6W p/m IP20 Indoor Only</t>
  </si>
  <si>
    <t>Power Supply Options / Indoor Only</t>
  </si>
  <si>
    <t>24V 35W Non Dimmable Power Supply</t>
  </si>
  <si>
    <t>24V 60W Non Dimmable Power Supply</t>
  </si>
  <si>
    <t>To work out Power Supply</t>
  </si>
  <si>
    <t>24V 100W Non Dimmable Power Supply</t>
  </si>
  <si>
    <t>Length x 9.6W = Minimum Wattage needed</t>
  </si>
  <si>
    <t>Other Costs</t>
  </si>
  <si>
    <t>Assembly Labour per M (Minimum $60)</t>
  </si>
  <si>
    <t>Painting per M (If required) (Minimum $20)</t>
  </si>
  <si>
    <t>Pickup and Delivery) ($30 each way)</t>
  </si>
  <si>
    <t>Total Cost</t>
  </si>
  <si>
    <t>Margin</t>
  </si>
  <si>
    <t>STANDARD PRICING</t>
  </si>
  <si>
    <t>Jalco</t>
  </si>
  <si>
    <t>Material</t>
  </si>
  <si>
    <t>180x42 Education Handrail - C1</t>
  </si>
  <si>
    <t>Set-up Fee</t>
  </si>
  <si>
    <t>Freight - Inward</t>
  </si>
  <si>
    <t>Pukepine</t>
  </si>
  <si>
    <t>1 x Pallet 5.4x0.9x0.5 = 2.43 Cube</t>
  </si>
  <si>
    <t>Te Puke Carrying</t>
  </si>
  <si>
    <t>Freight to/from Kerepahi</t>
  </si>
  <si>
    <t>Total Meters</t>
  </si>
  <si>
    <t>Cost Price Per Meter</t>
  </si>
  <si>
    <t>Top Flyte Sell Price</t>
  </si>
  <si>
    <t>Bungalow &amp; Villa Price per Meter</t>
  </si>
  <si>
    <t>Custom Pricing</t>
  </si>
  <si>
    <t>To run a small batch of say 3 lengths at 5.4m</t>
  </si>
  <si>
    <t>L/M price would remain the same but set-up fee would increase to $250.00</t>
  </si>
  <si>
    <t>Cube Size</t>
  </si>
  <si>
    <t>Kelco Bracket Costings sheet - June 2025</t>
  </si>
  <si>
    <t>FREIGHT COST</t>
  </si>
  <si>
    <t>DESCRIPTION</t>
  </si>
  <si>
    <t>ADDITIONAL FREIGHT COST PER ITEM</t>
  </si>
  <si>
    <t>Kelco Right Angle Bracket - 304 S/S</t>
  </si>
  <si>
    <t>Kelco Flat Plate Tread Joiner - 304 S/S</t>
  </si>
  <si>
    <t>Kelco Handrail Bracket - 304 S/S</t>
  </si>
  <si>
    <t>LANDED COST</t>
  </si>
  <si>
    <t>FITTED COST</t>
  </si>
  <si>
    <t>ADDITIONAL LABOUR</t>
  </si>
  <si>
    <t>S/S SCREWS</t>
  </si>
  <si>
    <t>USD</t>
  </si>
  <si>
    <t>Mitek Bracket Costings sheet - June 2025</t>
  </si>
  <si>
    <t>Mitek Right Angle Bracket - Galvanised</t>
  </si>
  <si>
    <t>Mitek Tread Bracket - Galvanised</t>
  </si>
  <si>
    <t>Product</t>
  </si>
  <si>
    <t>Description</t>
  </si>
  <si>
    <t>Price Per Cube</t>
  </si>
  <si>
    <t>Cubic Meters</t>
  </si>
  <si>
    <t>Meter Rate</t>
  </si>
  <si>
    <t>Dressing Grade</t>
  </si>
  <si>
    <t>Pine Untreated KD</t>
  </si>
  <si>
    <t>200 x 50</t>
  </si>
  <si>
    <t>250 x 40</t>
  </si>
  <si>
    <t>300 x 40</t>
  </si>
  <si>
    <t>300 x 50</t>
  </si>
  <si>
    <t>Pine Clears Untreated KD</t>
  </si>
  <si>
    <t>All sizes</t>
  </si>
  <si>
    <t>Pine LOSP</t>
  </si>
  <si>
    <t>Balustrade (160 piece/pack)</t>
  </si>
  <si>
    <t>Pine H3.2 TW</t>
  </si>
  <si>
    <t>50 x 50</t>
  </si>
  <si>
    <t>Clear 2 Treads (70 piece/pack)</t>
  </si>
  <si>
    <t>150 x 50</t>
  </si>
  <si>
    <t>All Sizes</t>
  </si>
  <si>
    <t>Pine H4 TW</t>
  </si>
  <si>
    <t>Kitset H3.2 Treatment</t>
  </si>
  <si>
    <t>Katikati Building Supplies</t>
  </si>
  <si>
    <t>Pine H1.2 KD</t>
  </si>
  <si>
    <t>150 x 40</t>
  </si>
  <si>
    <t>Pine H3.2 SG8 KD</t>
  </si>
  <si>
    <t>Rough Sawn</t>
  </si>
  <si>
    <t>Pine H4 KD</t>
  </si>
  <si>
    <t>200 x 25</t>
  </si>
  <si>
    <t>Pine H3.2 KD</t>
  </si>
  <si>
    <t>Pine PQ</t>
  </si>
  <si>
    <t>180 x 18</t>
  </si>
  <si>
    <t>Plytech</t>
  </si>
  <si>
    <t>Pinus Radiata (TECO) CD</t>
  </si>
  <si>
    <t>Plywood UT 12mm</t>
  </si>
  <si>
    <t>2400 x 1200</t>
  </si>
  <si>
    <t>Plywood UT 21mm</t>
  </si>
  <si>
    <t>Plywood H3.2 12mm</t>
  </si>
  <si>
    <t>Plywood H3.2 21mm</t>
  </si>
  <si>
    <t>Skape</t>
  </si>
  <si>
    <t>Pinus Radiata (TECO) CD H3.2</t>
  </si>
  <si>
    <t>Impey's</t>
  </si>
  <si>
    <t>Price Per Sheet</t>
  </si>
  <si>
    <t>Square Meters</t>
  </si>
  <si>
    <t>MDF Standard</t>
  </si>
  <si>
    <t>ITI Timspec</t>
  </si>
  <si>
    <t>Price Per Part Pack M3</t>
  </si>
  <si>
    <t>American White Ash</t>
  </si>
  <si>
    <t>AWA Ex 25mm</t>
  </si>
  <si>
    <t>25mm</t>
  </si>
  <si>
    <t>AWA Ex 40mm</t>
  </si>
  <si>
    <t>40mm</t>
  </si>
  <si>
    <t>AWA Ex 50mm</t>
  </si>
  <si>
    <t>50mm</t>
  </si>
  <si>
    <t>American White Oak</t>
  </si>
  <si>
    <t>AWO Ex 25mm</t>
  </si>
  <si>
    <t>AWO Ex 40mm</t>
  </si>
  <si>
    <t>AWO Ex 50mm</t>
  </si>
  <si>
    <t>Hurfords</t>
  </si>
  <si>
    <t>JELCO</t>
  </si>
  <si>
    <t>Price Per Meter</t>
  </si>
  <si>
    <t>U/T Pine Dowell</t>
  </si>
  <si>
    <t>45mm Pine Dowell - U/T</t>
  </si>
  <si>
    <t>45mm</t>
  </si>
  <si>
    <t>INGLEWOOD TIMBER</t>
  </si>
  <si>
    <t xml:space="preserve">Pine Laminated Planks </t>
  </si>
  <si>
    <t>Pine 340 x 32.5mm</t>
  </si>
  <si>
    <t>340 x 32.5</t>
  </si>
  <si>
    <t>1200 x 2400 Ply &amp; MDF Boards</t>
  </si>
  <si>
    <t>Treads</t>
  </si>
  <si>
    <t>Std Treads per sheet</t>
  </si>
  <si>
    <t>Acc Treads per sheet</t>
  </si>
  <si>
    <t>1m</t>
  </si>
  <si>
    <t>Square Meter Rate</t>
  </si>
  <si>
    <t>1 x 1200 x 2400 sheet = 2.88 sq/m</t>
  </si>
  <si>
    <t>1.4 x 1.2 = 1.68 m2, divided by the cost per square metre</t>
  </si>
  <si>
    <t>1.6 x 1.2 = 1.92 m2, divided by the cost per square metre</t>
  </si>
  <si>
    <t>2.0 x 1.2 = 2.4 m2, divided by the cost per square metre</t>
  </si>
  <si>
    <t>2.4 x 1.2 = 2.88 m2, divided by the cost per square metre</t>
  </si>
  <si>
    <t>Risers</t>
  </si>
  <si>
    <t>Std Risers per sheet</t>
  </si>
  <si>
    <t>Calculator</t>
  </si>
  <si>
    <t>Price per Tread/Riser</t>
  </si>
  <si>
    <t>Sheet Price</t>
  </si>
  <si>
    <t>Square metres</t>
  </si>
  <si>
    <t>Price per Square metre</t>
  </si>
  <si>
    <t>0.9m Std</t>
  </si>
  <si>
    <t>0.9m Acc</t>
  </si>
  <si>
    <t>1.0m Std</t>
  </si>
  <si>
    <t>1.0m Acc</t>
  </si>
  <si>
    <t>1.1m Std</t>
  </si>
  <si>
    <t>1.1m Acc</t>
  </si>
  <si>
    <t>1.2m Std</t>
  </si>
  <si>
    <t>1.2m Acc</t>
  </si>
  <si>
    <t>Sq/m</t>
  </si>
  <si>
    <t>1.4m Std</t>
  </si>
  <si>
    <t>1.4m Acc</t>
  </si>
  <si>
    <t>1.6m Std</t>
  </si>
  <si>
    <t>1.6m Acc</t>
  </si>
  <si>
    <t>2.0m Std</t>
  </si>
  <si>
    <t>2.0m Acc</t>
  </si>
  <si>
    <t>2.4m Std</t>
  </si>
  <si>
    <t>2.4m Acc</t>
  </si>
  <si>
    <t>Ply UT 21mm</t>
  </si>
  <si>
    <t>Ply UT 12mm</t>
  </si>
  <si>
    <t>Ply H3.2 21mm</t>
  </si>
  <si>
    <t>Ply H3.2 12mm</t>
  </si>
  <si>
    <t>Cross Section x Lineal Meters to Equal Cubic Meters</t>
  </si>
  <si>
    <t>Timber Conversion Calculator</t>
  </si>
  <si>
    <t>Results</t>
  </si>
  <si>
    <t>X Section</t>
  </si>
  <si>
    <t>Meters</t>
  </si>
  <si>
    <t>m</t>
  </si>
  <si>
    <t>1 Lineal Meter of Depth x Thickness = …. m3</t>
  </si>
  <si>
    <t>50 x 25</t>
  </si>
  <si>
    <t>50 x 40</t>
  </si>
  <si>
    <t>100 x 50</t>
  </si>
  <si>
    <t>225 x 75</t>
  </si>
  <si>
    <t>Depth</t>
  </si>
  <si>
    <t>mm</t>
  </si>
  <si>
    <t>Total Lineal Meters of Depth x Thickness per m3</t>
  </si>
  <si>
    <t>75 x 25</t>
  </si>
  <si>
    <t>75 x 40</t>
  </si>
  <si>
    <t>125 x 50</t>
  </si>
  <si>
    <t>250 x 75</t>
  </si>
  <si>
    <t>Thickness</t>
  </si>
  <si>
    <t>Depth x Thickness x Cost p/m = $…. m3</t>
  </si>
  <si>
    <t>100 x 25</t>
  </si>
  <si>
    <t>100 x 40</t>
  </si>
  <si>
    <t>300 x 75</t>
  </si>
  <si>
    <t>Cost p/m $</t>
  </si>
  <si>
    <t>$/m</t>
  </si>
  <si>
    <t>Cost p/m3 / Total Lineal Meters = …. Cost p/m $</t>
  </si>
  <si>
    <t>125 x 25</t>
  </si>
  <si>
    <t>125 x 40</t>
  </si>
  <si>
    <t>75 x 100</t>
  </si>
  <si>
    <t>Cost p/m3 $</t>
  </si>
  <si>
    <t>$/m3</t>
  </si>
  <si>
    <t>150 x 25</t>
  </si>
  <si>
    <t>225 x 50</t>
  </si>
  <si>
    <t>100 x 100</t>
  </si>
  <si>
    <t>200 x 40</t>
  </si>
  <si>
    <t>250 x 50</t>
  </si>
  <si>
    <t>125 x 100</t>
  </si>
  <si>
    <t>225 x 25</t>
  </si>
  <si>
    <t>225 x 40</t>
  </si>
  <si>
    <t>150 x 100</t>
  </si>
  <si>
    <t>250 x 25</t>
  </si>
  <si>
    <t>100 x 75</t>
  </si>
  <si>
    <t>200 x 100</t>
  </si>
  <si>
    <t>300 x 25</t>
  </si>
  <si>
    <t>120 x 75</t>
  </si>
  <si>
    <t>225 x 100</t>
  </si>
  <si>
    <t>100 x 30</t>
  </si>
  <si>
    <t>150 x 75</t>
  </si>
  <si>
    <t>250 x 100</t>
  </si>
  <si>
    <t>150 x 30</t>
  </si>
  <si>
    <t>75 x 50</t>
  </si>
  <si>
    <t>200 x 75</t>
  </si>
  <si>
    <t>300 x 100</t>
  </si>
  <si>
    <t>Custom Calculator</t>
  </si>
  <si>
    <t>Number of Risers</t>
  </si>
  <si>
    <t>CNC</t>
  </si>
  <si>
    <t>Assembly</t>
  </si>
  <si>
    <t>Packing</t>
  </si>
  <si>
    <t>Total (hours)</t>
  </si>
  <si>
    <t>Minutes Per Riser</t>
  </si>
  <si>
    <t>PINE/MDF &amp; PINE/PLY</t>
  </si>
  <si>
    <t>Type of Stair</t>
  </si>
  <si>
    <t>No. Risers</t>
  </si>
  <si>
    <t>15 Riser Straight up to 1.200m Wide</t>
  </si>
  <si>
    <t>15 Riser Straight with 1 x Landing up to 1.200m Wide</t>
  </si>
  <si>
    <t>15 Riser Straight with 1 x 2 or 3 Winder Unit up to 1.200m Wide</t>
  </si>
  <si>
    <t>15 Riser Straight with 2 x Landings up to 1.200m Wide</t>
  </si>
  <si>
    <t>15 Riser Straight with 2 x 2 or 3 Winder Units up to 1.200m Wide</t>
  </si>
  <si>
    <t>15 Riser Straight up to 1.500m Wide</t>
  </si>
  <si>
    <t>15 Riser Straight with 1 x Landing up to 1.500m Wide</t>
  </si>
  <si>
    <t>15 Riser Straight with 1 x 2 or 3 Winder Unit up to 1.500m Wide</t>
  </si>
  <si>
    <t>15 Riser Straight with 2 x Landings up to 1.500m Wide</t>
  </si>
  <si>
    <t>15 Riser Straight with 2 x 2 or 3 Winder Units up to 1.500m Wide</t>
  </si>
  <si>
    <t>15 Riser Straight up to 2.000m Wide</t>
  </si>
  <si>
    <t>15 Riser Straight with 1 x Landing up to 2.00m Wide</t>
  </si>
  <si>
    <t>15 Riser Straight with 1 x 2 or 3 Winder Unit up to 2.000m Wide</t>
  </si>
  <si>
    <t>15 Riser Straight with 2 x Landings up to 2.000m Wide</t>
  </si>
  <si>
    <t>15 Riser Straight with 2 x 2 or 3 Winder Units up to 2.000m Wide</t>
  </si>
  <si>
    <t>PINE/PINE</t>
  </si>
  <si>
    <t>ine</t>
  </si>
  <si>
    <t>15 Riser Straight with 1 x Landing up to 2.000m Wide</t>
  </si>
  <si>
    <t>EXTERNAL</t>
  </si>
  <si>
    <t>AMERICAN WHITE OAK &amp; AMERICAN WHITE ASH</t>
  </si>
  <si>
    <t>CNC/STRINGERS</t>
  </si>
  <si>
    <t>Solid Timber 300x50 Tread Labour Breakdown - Per Tread</t>
  </si>
  <si>
    <t>Labour</t>
  </si>
  <si>
    <t>Minutes</t>
  </si>
  <si>
    <t>Hours</t>
  </si>
  <si>
    <t>Docking Labour</t>
  </si>
  <si>
    <t>Squaring Labour</t>
  </si>
  <si>
    <t>Dressing Labour</t>
  </si>
  <si>
    <t>Laminating Labour</t>
  </si>
  <si>
    <t>Profiling Labour</t>
  </si>
  <si>
    <t>Sanding Labour</t>
  </si>
  <si>
    <t>Solid Timber 300x90mm Tread - Per Tread</t>
  </si>
  <si>
    <t>Solid Timber 300x50mm Stringer - Per Stringer</t>
  </si>
  <si>
    <t>Weekly</t>
  </si>
  <si>
    <t>Fortnightly</t>
  </si>
  <si>
    <t>Rate returned</t>
  </si>
  <si>
    <t>One-way rate</t>
  </si>
  <si>
    <t>/ qty of 5.5m3</t>
  </si>
  <si>
    <t>/ qty of 2 steps</t>
  </si>
  <si>
    <t>/ by 2 into per step</t>
  </si>
  <si>
    <t>Pallets req.</t>
  </si>
  <si>
    <t>Qty on pallet</t>
  </si>
  <si>
    <t>/ qty of 12m3</t>
  </si>
  <si>
    <t>American White Oak Costing sheet - August 2025</t>
  </si>
  <si>
    <t>American White ASH Costing sheet - August 2025</t>
  </si>
  <si>
    <t xml:space="preserve">Keenan Construction </t>
  </si>
  <si>
    <t>4456 Christchurch Akaroa Road, Little River</t>
  </si>
  <si>
    <t>Lang Residence</t>
  </si>
  <si>
    <t xml:space="preserve">With landing </t>
  </si>
  <si>
    <t xml:space="preserve">Belco Homes </t>
  </si>
  <si>
    <t>24 Rutherford Street, Otumoetai</t>
  </si>
  <si>
    <t xml:space="preserve">Strong Residence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</si>
</sst>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5" formatCode="0.0%"/>
    <numFmt numFmtId="166" formatCode="[$€-2]\ #,##0.00"/>
    <numFmt numFmtId="167" formatCode="0.000"/>
    <numFmt numFmtId="168" formatCode="0.0000"/>
    <numFmt numFmtId="169" formatCode="&quot;$&quot;#,##0.000"/>
    <numFmt numFmtId="170" formatCode="0.0"/>
    <numFmt numFmtId="171" formatCode="&quot;$&quot;#,##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Calibri"/>
      <family val="2"/>
    </font>
    <font>
      <sz val="14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rgb="FFFFFF00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/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/>
      <right/>
      <top style="thin">
        <color indexed="64"/>
      </top>
      <bottom style="medium">
        <color rgb="FFFF0000"/>
      </bottom>
      <diagonal/>
    </border>
    <border>
      <left/>
      <right style="medium">
        <color indexed="64"/>
      </right>
      <top style="thin">
        <color indexed="64"/>
      </top>
      <bottom style="medium">
        <color rgb="FFFF0000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44" fontId="1" fillId="0" borderId="0" applyFont="0" applyFill="0" applyBorder="0" applyAlignment="0" applyProtection="0"/>
    <xf numFmtId="0" fontId="18" fillId="17" borderId="0" applyNumberFormat="0" applyBorder="0" applyAlignment="0" applyProtection="0"/>
    <xf numFmtId="0" fontId="19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8" fontId="4" fillId="3" borderId="1" xfId="0" applyNumberFormat="1" applyFont="1" applyFill="1" applyBorder="1" applyAlignment="1">
      <alignment horizontal="center" vertical="center"/>
    </xf>
    <xf numFmtId="164" fontId="4" fillId="3" borderId="1" xfId="2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8" fontId="0" fillId="5" borderId="1" xfId="0" applyNumberFormat="1" applyFill="1" applyBorder="1"/>
    <xf numFmtId="8" fontId="0" fillId="4" borderId="1" xfId="0" applyNumberForma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8" fontId="0" fillId="5" borderId="1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9" fontId="4" fillId="3" borderId="1" xfId="1" applyFont="1" applyFill="1" applyBorder="1" applyAlignment="1">
      <alignment horizontal="center" vertical="center"/>
    </xf>
    <xf numFmtId="164" fontId="0" fillId="4" borderId="1" xfId="1" applyNumberFormat="1" applyFont="1" applyFill="1" applyBorder="1" applyAlignment="1">
      <alignment horizontal="center" vertical="center"/>
    </xf>
    <xf numFmtId="0" fontId="0" fillId="6" borderId="3" xfId="0" applyFill="1" applyBorder="1"/>
    <xf numFmtId="0" fontId="0" fillId="6" borderId="5" xfId="0" applyFill="1" applyBorder="1"/>
    <xf numFmtId="0" fontId="0" fillId="6" borderId="4" xfId="0" applyFill="1" applyBorder="1"/>
    <xf numFmtId="164" fontId="0" fillId="5" borderId="1" xfId="0" applyNumberFormat="1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9" fontId="0" fillId="7" borderId="1" xfId="1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164" fontId="0" fillId="8" borderId="1" xfId="1" applyNumberFormat="1" applyFont="1" applyFill="1" applyBorder="1" applyAlignment="1">
      <alignment horizontal="center" vertical="center"/>
    </xf>
    <xf numFmtId="0" fontId="5" fillId="6" borderId="1" xfId="0" applyFont="1" applyFill="1" applyBorder="1"/>
    <xf numFmtId="1" fontId="4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64" fontId="0" fillId="0" borderId="0" xfId="0" applyNumberFormat="1"/>
    <xf numFmtId="2" fontId="4" fillId="3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166" fontId="0" fillId="4" borderId="1" xfId="0" applyNumberFormat="1" applyFill="1" applyBorder="1" applyAlignment="1">
      <alignment horizontal="center" vertic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4" borderId="1" xfId="0" applyNumberFormat="1" applyFill="1" applyBorder="1" applyAlignment="1">
      <alignment horizontal="center" vertical="center"/>
    </xf>
    <xf numFmtId="167" fontId="0" fillId="0" borderId="0" xfId="0" applyNumberFormat="1"/>
    <xf numFmtId="8" fontId="0" fillId="0" borderId="0" xfId="0" applyNumberFormat="1"/>
    <xf numFmtId="0" fontId="0" fillId="4" borderId="1" xfId="1" applyNumberFormat="1" applyFont="1" applyFill="1" applyBorder="1"/>
    <xf numFmtId="166" fontId="4" fillId="3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/>
    <xf numFmtId="10" fontId="0" fillId="4" borderId="1" xfId="1" applyNumberFormat="1" applyFont="1" applyFill="1" applyBorder="1" applyAlignment="1">
      <alignment horizontal="center" vertical="center"/>
    </xf>
    <xf numFmtId="169" fontId="0" fillId="4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8" fontId="7" fillId="0" borderId="1" xfId="0" applyNumberFormat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5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/>
    </xf>
    <xf numFmtId="164" fontId="0" fillId="4" borderId="1" xfId="0" applyNumberFormat="1" applyFill="1" applyBorder="1"/>
    <xf numFmtId="0" fontId="7" fillId="9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8" fontId="0" fillId="0" borderId="0" xfId="0" applyNumberFormat="1" applyAlignment="1">
      <alignment horizontal="center" vertical="center"/>
    </xf>
    <xf numFmtId="164" fontId="13" fillId="4" borderId="1" xfId="0" applyNumberFormat="1" applyFont="1" applyFill="1" applyBorder="1"/>
    <xf numFmtId="0" fontId="9" fillId="9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/>
    <xf numFmtId="0" fontId="7" fillId="9" borderId="1" xfId="0" applyFont="1" applyFill="1" applyBorder="1"/>
    <xf numFmtId="0" fontId="13" fillId="9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0" fontId="0" fillId="9" borderId="9" xfId="0" applyFill="1" applyBorder="1"/>
    <xf numFmtId="0" fontId="0" fillId="9" borderId="13" xfId="0" applyFill="1" applyBorder="1"/>
    <xf numFmtId="0" fontId="0" fillId="9" borderId="2" xfId="0" applyFill="1" applyBorder="1"/>
    <xf numFmtId="0" fontId="0" fillId="4" borderId="8" xfId="0" applyFill="1" applyBorder="1" applyAlignment="1">
      <alignment horizontal="center" vertical="center"/>
    </xf>
    <xf numFmtId="2" fontId="0" fillId="0" borderId="0" xfId="0" applyNumberFormat="1"/>
    <xf numFmtId="170" fontId="0" fillId="0" borderId="0" xfId="0" applyNumberFormat="1"/>
    <xf numFmtId="9" fontId="0" fillId="0" borderId="0" xfId="0" applyNumberFormat="1"/>
    <xf numFmtId="0" fontId="13" fillId="9" borderId="10" xfId="0" applyFont="1" applyFill="1" applyBorder="1" applyAlignment="1">
      <alignment horizontal="left" vertical="center"/>
    </xf>
    <xf numFmtId="0" fontId="13" fillId="9" borderId="11" xfId="0" applyFont="1" applyFill="1" applyBorder="1" applyAlignment="1">
      <alignment horizontal="left" vertical="center"/>
    </xf>
    <xf numFmtId="165" fontId="0" fillId="7" borderId="1" xfId="1" applyNumberFormat="1" applyFont="1" applyFill="1" applyBorder="1" applyAlignment="1">
      <alignment horizontal="center" vertical="center"/>
    </xf>
    <xf numFmtId="165" fontId="0" fillId="0" borderId="0" xfId="0" applyNumberFormat="1"/>
    <xf numFmtId="0" fontId="0" fillId="0" borderId="1" xfId="0" applyBorder="1"/>
    <xf numFmtId="164" fontId="0" fillId="4" borderId="1" xfId="0" applyNumberFormat="1" applyFill="1" applyBorder="1" applyAlignment="1">
      <alignment horizontal="center"/>
    </xf>
    <xf numFmtId="0" fontId="13" fillId="9" borderId="2" xfId="0" applyFont="1" applyFill="1" applyBorder="1" applyAlignment="1">
      <alignment horizontal="center" vertical="center"/>
    </xf>
    <xf numFmtId="0" fontId="13" fillId="9" borderId="14" xfId="0" applyFont="1" applyFill="1" applyBorder="1"/>
    <xf numFmtId="0" fontId="13" fillId="9" borderId="12" xfId="0" applyFont="1" applyFill="1" applyBorder="1" applyAlignment="1">
      <alignment vertical="center"/>
    </xf>
    <xf numFmtId="0" fontId="0" fillId="0" borderId="0" xfId="0" applyAlignment="1">
      <alignment horizontal="left"/>
    </xf>
    <xf numFmtId="165" fontId="0" fillId="5" borderId="1" xfId="1" applyNumberFormat="1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/>
    </xf>
    <xf numFmtId="0" fontId="9" fillId="9" borderId="12" xfId="0" applyFont="1" applyFill="1" applyBorder="1" applyAlignment="1">
      <alignment horizontal="center"/>
    </xf>
    <xf numFmtId="0" fontId="9" fillId="9" borderId="3" xfId="0" applyFont="1" applyFill="1" applyBorder="1" applyAlignment="1">
      <alignment horizontal="left" vertical="center"/>
    </xf>
    <xf numFmtId="0" fontId="9" fillId="9" borderId="4" xfId="0" applyFont="1" applyFill="1" applyBorder="1" applyAlignment="1">
      <alignment horizontal="left" vertical="center"/>
    </xf>
    <xf numFmtId="0" fontId="3" fillId="3" borderId="1" xfId="0" applyFont="1" applyFill="1" applyBorder="1"/>
    <xf numFmtId="10" fontId="13" fillId="4" borderId="1" xfId="1" applyNumberFormat="1" applyFont="1" applyFill="1" applyBorder="1"/>
    <xf numFmtId="164" fontId="13" fillId="4" borderId="1" xfId="1" applyNumberFormat="1" applyFont="1" applyFill="1" applyBorder="1"/>
    <xf numFmtId="0" fontId="9" fillId="9" borderId="17" xfId="0" applyFont="1" applyFill="1" applyBorder="1"/>
    <xf numFmtId="0" fontId="15" fillId="9" borderId="17" xfId="0" applyFont="1" applyFill="1" applyBorder="1" applyAlignment="1">
      <alignment vertical="top"/>
    </xf>
    <xf numFmtId="0" fontId="0" fillId="0" borderId="0" xfId="0" applyAlignment="1">
      <alignment horizontal="righ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16" borderId="1" xfId="0" applyFill="1" applyBorder="1"/>
    <xf numFmtId="0" fontId="4" fillId="16" borderId="1" xfId="0" applyFont="1" applyFill="1" applyBorder="1" applyAlignment="1">
      <alignment horizontal="center" vertical="center"/>
    </xf>
    <xf numFmtId="0" fontId="4" fillId="16" borderId="1" xfId="0" applyFont="1" applyFill="1" applyBorder="1"/>
    <xf numFmtId="44" fontId="0" fillId="4" borderId="1" xfId="3" applyFont="1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 vertical="center"/>
    </xf>
    <xf numFmtId="0" fontId="0" fillId="4" borderId="1" xfId="3" applyNumberFormat="1" applyFont="1" applyFill="1" applyBorder="1" applyAlignment="1">
      <alignment horizontal="center" vertical="center"/>
    </xf>
    <xf numFmtId="167" fontId="9" fillId="4" borderId="1" xfId="3" applyNumberFormat="1" applyFont="1" applyFill="1" applyBorder="1" applyAlignment="1">
      <alignment horizontal="center" vertical="center"/>
    </xf>
    <xf numFmtId="0" fontId="3" fillId="16" borderId="1" xfId="0" applyFont="1" applyFill="1" applyBorder="1"/>
    <xf numFmtId="167" fontId="7" fillId="4" borderId="1" xfId="3" applyNumberFormat="1" applyFont="1" applyFill="1" applyBorder="1" applyAlignment="1">
      <alignment horizontal="center" vertical="center"/>
    </xf>
    <xf numFmtId="0" fontId="0" fillId="13" borderId="0" xfId="0" applyFill="1"/>
    <xf numFmtId="0" fontId="9" fillId="13" borderId="0" xfId="0" applyFont="1" applyFill="1"/>
    <xf numFmtId="0" fontId="19" fillId="0" borderId="0" xfId="5" applyProtection="1">
      <protection locked="0"/>
    </xf>
    <xf numFmtId="0" fontId="9" fillId="0" borderId="0" xfId="0" applyFont="1"/>
    <xf numFmtId="0" fontId="0" fillId="0" borderId="24" xfId="0" applyBorder="1"/>
    <xf numFmtId="44" fontId="0" fillId="0" borderId="0" xfId="0" applyNumberFormat="1"/>
    <xf numFmtId="0" fontId="0" fillId="13" borderId="24" xfId="0" applyFill="1" applyBorder="1"/>
    <xf numFmtId="0" fontId="0" fillId="12" borderId="16" xfId="0" applyFill="1" applyBorder="1"/>
    <xf numFmtId="164" fontId="0" fillId="12" borderId="16" xfId="0" applyNumberFormat="1" applyFill="1" applyBorder="1"/>
    <xf numFmtId="0" fontId="0" fillId="0" borderId="25" xfId="0" applyBorder="1"/>
    <xf numFmtId="0" fontId="0" fillId="0" borderId="22" xfId="0" applyBorder="1"/>
    <xf numFmtId="0" fontId="0" fillId="0" borderId="23" xfId="0" applyBorder="1"/>
    <xf numFmtId="0" fontId="0" fillId="0" borderId="26" xfId="0" applyBorder="1"/>
    <xf numFmtId="164" fontId="0" fillId="13" borderId="1" xfId="0" applyNumberFormat="1" applyFill="1" applyBorder="1"/>
    <xf numFmtId="164" fontId="0" fillId="12" borderId="18" xfId="0" applyNumberFormat="1" applyFill="1" applyBorder="1"/>
    <xf numFmtId="164" fontId="0" fillId="13" borderId="18" xfId="0" applyNumberFormat="1" applyFill="1" applyBorder="1"/>
    <xf numFmtId="164" fontId="0" fillId="13" borderId="3" xfId="0" applyNumberFormat="1" applyFill="1" applyBorder="1"/>
    <xf numFmtId="164" fontId="0" fillId="13" borderId="27" xfId="0" applyNumberFormat="1" applyFill="1" applyBorder="1"/>
    <xf numFmtId="164" fontId="0" fillId="12" borderId="8" xfId="0" applyNumberFormat="1" applyFill="1" applyBorder="1"/>
    <xf numFmtId="164" fontId="0" fillId="13" borderId="8" xfId="0" applyNumberFormat="1" applyFill="1" applyBorder="1"/>
    <xf numFmtId="164" fontId="0" fillId="13" borderId="28" xfId="0" applyNumberFormat="1" applyFill="1" applyBorder="1"/>
    <xf numFmtId="164" fontId="1" fillId="12" borderId="24" xfId="4" applyNumberFormat="1" applyFont="1" applyFill="1" applyBorder="1"/>
    <xf numFmtId="164" fontId="0" fillId="4" borderId="8" xfId="0" applyNumberFormat="1" applyFill="1" applyBorder="1"/>
    <xf numFmtId="164" fontId="9" fillId="18" borderId="24" xfId="0" applyNumberFormat="1" applyFont="1" applyFill="1" applyBorder="1"/>
    <xf numFmtId="9" fontId="0" fillId="13" borderId="24" xfId="0" applyNumberFormat="1" applyFill="1" applyBorder="1"/>
    <xf numFmtId="0" fontId="0" fillId="19" borderId="15" xfId="0" applyFill="1" applyBorder="1"/>
    <xf numFmtId="0" fontId="0" fillId="19" borderId="29" xfId="0" applyFill="1" applyBorder="1"/>
    <xf numFmtId="0" fontId="0" fillId="4" borderId="0" xfId="0" applyFill="1"/>
    <xf numFmtId="0" fontId="0" fillId="20" borderId="0" xfId="0" applyFill="1"/>
    <xf numFmtId="164" fontId="0" fillId="19" borderId="17" xfId="0" applyNumberFormat="1" applyFill="1" applyBorder="1"/>
    <xf numFmtId="164" fontId="0" fillId="20" borderId="1" xfId="0" applyNumberFormat="1" applyFill="1" applyBorder="1"/>
    <xf numFmtId="164" fontId="0" fillId="20" borderId="8" xfId="0" applyNumberFormat="1" applyFill="1" applyBorder="1"/>
    <xf numFmtId="164" fontId="0" fillId="19" borderId="29" xfId="0" applyNumberFormat="1" applyFill="1" applyBorder="1"/>
    <xf numFmtId="164" fontId="0" fillId="4" borderId="0" xfId="0" applyNumberFormat="1" applyFill="1"/>
    <xf numFmtId="164" fontId="0" fillId="20" borderId="0" xfId="0" applyNumberFormat="1" applyFill="1"/>
    <xf numFmtId="164" fontId="0" fillId="19" borderId="19" xfId="0" applyNumberFormat="1" applyFill="1" applyBorder="1"/>
    <xf numFmtId="164" fontId="0" fillId="19" borderId="25" xfId="0" applyNumberFormat="1" applyFill="1" applyBorder="1"/>
    <xf numFmtId="164" fontId="1" fillId="4" borderId="24" xfId="4" applyNumberFormat="1" applyFont="1" applyFill="1" applyBorder="1"/>
    <xf numFmtId="164" fontId="1" fillId="20" borderId="24" xfId="4" applyNumberFormat="1" applyFont="1" applyFill="1" applyBorder="1"/>
    <xf numFmtId="0" fontId="15" fillId="9" borderId="19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9" fontId="13" fillId="12" borderId="1" xfId="1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vertical="center"/>
    </xf>
    <xf numFmtId="0" fontId="22" fillId="14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/>
    </xf>
    <xf numFmtId="0" fontId="7" fillId="9" borderId="8" xfId="0" applyFont="1" applyFill="1" applyBorder="1" applyAlignment="1">
      <alignment horizontal="left"/>
    </xf>
    <xf numFmtId="0" fontId="0" fillId="9" borderId="1" xfId="0" applyFill="1" applyBorder="1"/>
    <xf numFmtId="165" fontId="0" fillId="4" borderId="4" xfId="1" applyNumberFormat="1" applyFont="1" applyFill="1" applyBorder="1" applyAlignment="1">
      <alignment horizontal="center" vertical="center"/>
    </xf>
    <xf numFmtId="165" fontId="0" fillId="4" borderId="1" xfId="1" applyNumberFormat="1" applyFont="1" applyFill="1" applyBorder="1" applyAlignment="1">
      <alignment horizontal="center" vertical="center"/>
    </xf>
    <xf numFmtId="44" fontId="0" fillId="12" borderId="1" xfId="0" applyNumberFormat="1" applyFill="1" applyBorder="1" applyAlignment="1">
      <alignment horizontal="center" vertical="center"/>
    </xf>
    <xf numFmtId="167" fontId="18" fillId="12" borderId="1" xfId="4" applyNumberFormat="1" applyFill="1" applyBorder="1" applyAlignment="1">
      <alignment horizontal="center" vertical="center"/>
    </xf>
    <xf numFmtId="0" fontId="9" fillId="12" borderId="1" xfId="0" applyFont="1" applyFill="1" applyBorder="1"/>
    <xf numFmtId="2" fontId="0" fillId="0" borderId="0" xfId="0" applyNumberFormat="1" applyAlignment="1">
      <alignment horizontal="center" vertical="center"/>
    </xf>
    <xf numFmtId="0" fontId="13" fillId="13" borderId="0" xfId="0" applyFont="1" applyFill="1" applyAlignment="1">
      <alignment horizontal="left" vertical="center"/>
    </xf>
    <xf numFmtId="164" fontId="13" fillId="12" borderId="1" xfId="1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9" fontId="13" fillId="12" borderId="1" xfId="1" quotePrefix="1" applyFont="1" applyFill="1" applyBorder="1" applyAlignment="1">
      <alignment horizontal="center" vertical="center"/>
    </xf>
    <xf numFmtId="16" fontId="0" fillId="0" borderId="0" xfId="0" quotePrefix="1" applyNumberFormat="1"/>
    <xf numFmtId="164" fontId="13" fillId="9" borderId="1" xfId="0" applyNumberFormat="1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8" fontId="4" fillId="3" borderId="1" xfId="0" applyNumberFormat="1" applyFont="1" applyFill="1" applyBorder="1"/>
    <xf numFmtId="8" fontId="0" fillId="4" borderId="1" xfId="0" applyNumberFormat="1" applyFill="1" applyBorder="1" applyAlignment="1">
      <alignment horizontal="center"/>
    </xf>
    <xf numFmtId="8" fontId="9" fillId="4" borderId="1" xfId="0" applyNumberFormat="1" applyFont="1" applyFill="1" applyBorder="1" applyAlignment="1">
      <alignment horizontal="center"/>
    </xf>
    <xf numFmtId="8" fontId="3" fillId="3" borderId="1" xfId="0" applyNumberFormat="1" applyFont="1" applyFill="1" applyBorder="1"/>
    <xf numFmtId="0" fontId="24" fillId="0" borderId="7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9" fillId="4" borderId="1" xfId="3" applyNumberFormat="1" applyFont="1" applyFill="1" applyBorder="1" applyAlignment="1">
      <alignment horizontal="center"/>
    </xf>
    <xf numFmtId="0" fontId="4" fillId="0" borderId="0" xfId="0" applyFont="1"/>
    <xf numFmtId="0" fontId="0" fillId="4" borderId="1" xfId="0" applyFill="1" applyBorder="1" applyAlignment="1">
      <alignment horizontal="left"/>
    </xf>
    <xf numFmtId="170" fontId="9" fillId="4" borderId="1" xfId="0" applyNumberFormat="1" applyFont="1" applyFill="1" applyBorder="1" applyAlignment="1">
      <alignment horizontal="center"/>
    </xf>
    <xf numFmtId="171" fontId="9" fillId="4" borderId="1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0" fontId="9" fillId="0" borderId="0" xfId="0" applyNumberFormat="1" applyFont="1"/>
    <xf numFmtId="0" fontId="9" fillId="5" borderId="1" xfId="0" applyFont="1" applyFill="1" applyBorder="1"/>
    <xf numFmtId="2" fontId="9" fillId="5" borderId="1" xfId="0" applyNumberFormat="1" applyFont="1" applyFill="1" applyBorder="1"/>
    <xf numFmtId="170" fontId="9" fillId="5" borderId="1" xfId="0" applyNumberFormat="1" applyFont="1" applyFill="1" applyBorder="1"/>
    <xf numFmtId="170" fontId="9" fillId="0" borderId="1" xfId="0" applyNumberFormat="1" applyFont="1" applyBorder="1"/>
    <xf numFmtId="0" fontId="0" fillId="9" borderId="0" xfId="0" applyFill="1"/>
    <xf numFmtId="0" fontId="9" fillId="9" borderId="0" xfId="0" applyFont="1" applyFill="1" applyAlignment="1">
      <alignment horizontal="center"/>
    </xf>
    <xf numFmtId="0" fontId="0" fillId="3" borderId="10" xfId="0" applyFill="1" applyBorder="1"/>
    <xf numFmtId="0" fontId="3" fillId="3" borderId="7" xfId="0" applyFont="1" applyFill="1" applyBorder="1" applyAlignment="1">
      <alignment vertical="center"/>
    </xf>
    <xf numFmtId="0" fontId="3" fillId="3" borderId="28" xfId="0" applyFont="1" applyFill="1" applyBorder="1" applyAlignment="1">
      <alignment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26" fillId="0" borderId="0" xfId="0" applyFont="1"/>
    <xf numFmtId="0" fontId="0" fillId="4" borderId="1" xfId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9" fontId="13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64" fontId="0" fillId="4" borderId="1" xfId="0" quotePrefix="1" applyNumberFormat="1" applyFill="1" applyBorder="1" applyAlignment="1">
      <alignment horizontal="center" vertical="center"/>
    </xf>
    <xf numFmtId="44" fontId="0" fillId="0" borderId="0" xfId="3" applyFont="1"/>
    <xf numFmtId="44" fontId="9" fillId="13" borderId="0" xfId="3" applyFont="1" applyFill="1"/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10" fontId="9" fillId="12" borderId="1" xfId="1" applyNumberFormat="1" applyFont="1" applyFill="1" applyBorder="1" applyAlignment="1">
      <alignment horizontal="center"/>
    </xf>
    <xf numFmtId="164" fontId="0" fillId="4" borderId="1" xfId="3" applyNumberFormat="1" applyFont="1" applyFill="1" applyBorder="1" applyAlignment="1">
      <alignment horizontal="center"/>
    </xf>
    <xf numFmtId="164" fontId="9" fillId="12" borderId="1" xfId="3" applyNumberFormat="1" applyFont="1" applyFill="1" applyBorder="1" applyAlignment="1">
      <alignment horizontal="center"/>
    </xf>
    <xf numFmtId="44" fontId="0" fillId="4" borderId="8" xfId="3" applyFont="1" applyFill="1" applyBorder="1" applyAlignment="1">
      <alignment horizontal="center"/>
    </xf>
    <xf numFmtId="1" fontId="9" fillId="4" borderId="1" xfId="3" applyNumberFormat="1" applyFont="1" applyFill="1" applyBorder="1" applyAlignment="1">
      <alignment horizontal="center" vertical="center"/>
    </xf>
    <xf numFmtId="1" fontId="7" fillId="4" borderId="1" xfId="3" applyNumberFormat="1" applyFont="1" applyFill="1" applyBorder="1" applyAlignment="1">
      <alignment horizontal="center" vertical="center"/>
    </xf>
    <xf numFmtId="16" fontId="0" fillId="0" borderId="0" xfId="0" applyNumberFormat="1"/>
    <xf numFmtId="0" fontId="15" fillId="9" borderId="31" xfId="0" applyFont="1" applyFill="1" applyBorder="1" applyAlignment="1">
      <alignment vertical="top"/>
    </xf>
    <xf numFmtId="0" fontId="15" fillId="9" borderId="21" xfId="0" applyFont="1" applyFill="1" applyBorder="1" applyAlignment="1">
      <alignment vertical="top"/>
    </xf>
    <xf numFmtId="14" fontId="0" fillId="0" borderId="0" xfId="0" applyNumberFormat="1"/>
    <xf numFmtId="17" fontId="0" fillId="0" borderId="0" xfId="0" applyNumberFormat="1"/>
    <xf numFmtId="2" fontId="0" fillId="4" borderId="1" xfId="0" applyNumberFormat="1" applyFill="1" applyBorder="1"/>
    <xf numFmtId="0" fontId="3" fillId="3" borderId="0" xfId="0" applyFont="1" applyFill="1"/>
    <xf numFmtId="0" fontId="0" fillId="4" borderId="30" xfId="0" applyFill="1" applyBorder="1" applyAlignment="1">
      <alignment horizontal="left" vertical="center" wrapText="1"/>
    </xf>
    <xf numFmtId="0" fontId="0" fillId="4" borderId="22" xfId="0" applyFill="1" applyBorder="1" applyAlignment="1">
      <alignment horizontal="left" vertical="center" wrapText="1"/>
    </xf>
    <xf numFmtId="0" fontId="0" fillId="4" borderId="23" xfId="0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/>
    </xf>
    <xf numFmtId="14" fontId="0" fillId="4" borderId="6" xfId="0" applyNumberFormat="1" applyFill="1" applyBorder="1" applyAlignment="1">
      <alignment horizontal="left" vertical="center"/>
    </xf>
    <xf numFmtId="14" fontId="0" fillId="4" borderId="7" xfId="0" applyNumberFormat="1" applyFill="1" applyBorder="1" applyAlignment="1">
      <alignment horizontal="left" vertical="center"/>
    </xf>
    <xf numFmtId="14" fontId="0" fillId="4" borderId="20" xfId="0" applyNumberFormat="1" applyFill="1" applyBorder="1" applyAlignment="1">
      <alignment horizontal="left" vertical="center"/>
    </xf>
    <xf numFmtId="0" fontId="9" fillId="9" borderId="3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left" vertical="center"/>
    </xf>
    <xf numFmtId="0" fontId="13" fillId="9" borderId="7" xfId="0" applyFont="1" applyFill="1" applyBorder="1" applyAlignment="1">
      <alignment horizontal="left" vertical="center"/>
    </xf>
    <xf numFmtId="0" fontId="13" fillId="9" borderId="8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right" vertical="center"/>
    </xf>
    <xf numFmtId="164" fontId="0" fillId="4" borderId="4" xfId="0" applyNumberFormat="1" applyFill="1" applyBorder="1" applyAlignment="1">
      <alignment horizontal="right" vertical="center"/>
    </xf>
    <xf numFmtId="164" fontId="0" fillId="4" borderId="3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left" vertical="center"/>
    </xf>
    <xf numFmtId="0" fontId="3" fillId="3" borderId="36" xfId="0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4" borderId="20" xfId="0" applyFill="1" applyBorder="1" applyAlignment="1">
      <alignment horizontal="left" vertical="center"/>
    </xf>
    <xf numFmtId="16" fontId="0" fillId="4" borderId="30" xfId="0" applyNumberFormat="1" applyFill="1" applyBorder="1" applyAlignment="1">
      <alignment horizontal="left" vertical="center" wrapText="1"/>
    </xf>
    <xf numFmtId="0" fontId="0" fillId="4" borderId="41" xfId="0" applyFill="1" applyBorder="1" applyAlignment="1">
      <alignment horizontal="left" vertical="center"/>
    </xf>
    <xf numFmtId="0" fontId="0" fillId="4" borderId="42" xfId="0" applyFill="1" applyBorder="1" applyAlignment="1">
      <alignment horizontal="left" vertical="center"/>
    </xf>
    <xf numFmtId="0" fontId="0" fillId="4" borderId="43" xfId="0" applyFill="1" applyBorder="1" applyAlignment="1">
      <alignment horizontal="left" vertical="center"/>
    </xf>
    <xf numFmtId="0" fontId="27" fillId="15" borderId="32" xfId="0" applyFont="1" applyFill="1" applyBorder="1" applyAlignment="1">
      <alignment horizontal="left"/>
    </xf>
    <xf numFmtId="0" fontId="27" fillId="15" borderId="33" xfId="0" applyFont="1" applyFill="1" applyBorder="1" applyAlignment="1">
      <alignment horizontal="left"/>
    </xf>
    <xf numFmtId="0" fontId="27" fillId="15" borderId="34" xfId="0" applyFont="1" applyFill="1" applyBorder="1" applyAlignment="1">
      <alignment horizontal="left"/>
    </xf>
    <xf numFmtId="0" fontId="0" fillId="4" borderId="38" xfId="0" applyFill="1" applyBorder="1" applyAlignment="1">
      <alignment horizontal="left" vertical="center"/>
    </xf>
    <xf numFmtId="0" fontId="0" fillId="4" borderId="39" xfId="0" applyFill="1" applyBorder="1" applyAlignment="1">
      <alignment horizontal="left" vertical="center"/>
    </xf>
    <xf numFmtId="0" fontId="0" fillId="4" borderId="40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8" xfId="0" applyFill="1" applyBorder="1" applyAlignment="1">
      <alignment horizontal="left" vertical="center"/>
    </xf>
    <xf numFmtId="0" fontId="23" fillId="15" borderId="32" xfId="0" applyFont="1" applyFill="1" applyBorder="1" applyAlignment="1">
      <alignment horizontal="left"/>
    </xf>
    <xf numFmtId="0" fontId="23" fillId="15" borderId="33" xfId="0" applyFont="1" applyFill="1" applyBorder="1" applyAlignment="1">
      <alignment horizontal="left"/>
    </xf>
    <xf numFmtId="0" fontId="23" fillId="15" borderId="34" xfId="0" applyFont="1" applyFill="1" applyBorder="1" applyAlignment="1">
      <alignment horizontal="left"/>
    </xf>
    <xf numFmtId="16" fontId="0" fillId="4" borderId="22" xfId="0" applyNumberFormat="1" applyFill="1" applyBorder="1" applyAlignment="1">
      <alignment horizontal="left" vertical="center" wrapText="1"/>
    </xf>
    <xf numFmtId="16" fontId="0" fillId="4" borderId="23" xfId="0" applyNumberForma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horizontal="left" vertical="center"/>
    </xf>
    <xf numFmtId="0" fontId="9" fillId="9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/>
    </xf>
    <xf numFmtId="0" fontId="7" fillId="9" borderId="6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/>
    </xf>
    <xf numFmtId="0" fontId="7" fillId="9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2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5" fillId="3" borderId="0" xfId="0" applyFont="1" applyFill="1" applyAlignment="1">
      <alignment horizontal="center"/>
    </xf>
  </cellXfs>
  <cellStyles count="9">
    <cellStyle name="Bad" xfId="2" builtinId="27"/>
    <cellStyle name="Currency" xfId="3" builtinId="4"/>
    <cellStyle name="Currency 2" xfId="6" xr:uid="{C6F60E0A-6C15-4A35-8A75-9CED9B1B2D3E}"/>
    <cellStyle name="Currency 3" xfId="7" xr:uid="{ACCE358E-89A1-4054-823F-438A31F6FA6F}"/>
    <cellStyle name="Currency 4" xfId="8" xr:uid="{68EAFF68-F51A-4BF2-9240-7E23760C4F38}"/>
    <cellStyle name="Good" xfId="4" builtinId="26"/>
    <cellStyle name="Hyperlink" xfId="5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0</xdr:row>
      <xdr:rowOff>114300</xdr:rowOff>
    </xdr:from>
    <xdr:to>
      <xdr:col>11</xdr:col>
      <xdr:colOff>173354</xdr:colOff>
      <xdr:row>38</xdr:row>
      <xdr:rowOff>15524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57020A93-6336-447D-94B3-691BF9D56F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15" r="3953" b="5421"/>
        <a:stretch/>
      </xdr:blipFill>
      <xdr:spPr>
        <a:xfrm>
          <a:off x="3695700" y="114300"/>
          <a:ext cx="5526404" cy="689384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342900</xdr:colOff>
      <xdr:row>0</xdr:row>
      <xdr:rowOff>133390</xdr:rowOff>
    </xdr:from>
    <xdr:to>
      <xdr:col>20</xdr:col>
      <xdr:colOff>607059</xdr:colOff>
      <xdr:row>36</xdr:row>
      <xdr:rowOff>153892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342860C3-D2E2-4CD6-B090-48CB601FC7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23" t="7483" r="3720" b="13666"/>
        <a:stretch/>
      </xdr:blipFill>
      <xdr:spPr>
        <a:xfrm>
          <a:off x="9410700" y="133390"/>
          <a:ext cx="5750559" cy="664990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</xdr:colOff>
      <xdr:row>1</xdr:row>
      <xdr:rowOff>19050</xdr:rowOff>
    </xdr:from>
    <xdr:to>
      <xdr:col>12</xdr:col>
      <xdr:colOff>19050</xdr:colOff>
      <xdr:row>17</xdr:row>
      <xdr:rowOff>0</xdr:rowOff>
    </xdr:to>
    <xdr:pic>
      <xdr:nvPicPr>
        <xdr:cNvPr id="2" name="Picture 1" descr="Richie rail 18 prod 1">
          <a:extLst>
            <a:ext uri="{FF2B5EF4-FFF2-40B4-BE49-F238E27FC236}">
              <a16:creationId xmlns:a16="http://schemas.microsoft.com/office/drawing/2014/main" id="{4D86557F-EA1C-FF5B-7D3E-B969891B8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209550"/>
          <a:ext cx="3057525" cy="305752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</xdr:row>
      <xdr:rowOff>19049</xdr:rowOff>
    </xdr:from>
    <xdr:to>
      <xdr:col>16</xdr:col>
      <xdr:colOff>596900</xdr:colOff>
      <xdr:row>17</xdr:row>
      <xdr:rowOff>0</xdr:rowOff>
    </xdr:to>
    <xdr:pic>
      <xdr:nvPicPr>
        <xdr:cNvPr id="3" name="Picture 2" descr="Richie rail 18 prod 1">
          <a:extLst>
            <a:ext uri="{FF2B5EF4-FFF2-40B4-BE49-F238E27FC236}">
              <a16:creationId xmlns:a16="http://schemas.microsoft.com/office/drawing/2014/main" id="{D188179D-7EDE-AB85-1957-CF9ED7143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209549"/>
          <a:ext cx="3009900" cy="3057526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</xdr:colOff>
      <xdr:row>17</xdr:row>
      <xdr:rowOff>19050</xdr:rowOff>
    </xdr:from>
    <xdr:to>
      <xdr:col>16</xdr:col>
      <xdr:colOff>596900</xdr:colOff>
      <xdr:row>33</xdr:row>
      <xdr:rowOff>0</xdr:rowOff>
    </xdr:to>
    <xdr:pic>
      <xdr:nvPicPr>
        <xdr:cNvPr id="5" name="Picture 4" descr="Richie rail 18 prod 1">
          <a:extLst>
            <a:ext uri="{FF2B5EF4-FFF2-40B4-BE49-F238E27FC236}">
              <a16:creationId xmlns:a16="http://schemas.microsoft.com/office/drawing/2014/main" id="{C23F4340-6A84-80C8-FCD8-829AC4B34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6950" y="3286125"/>
          <a:ext cx="3009900" cy="30861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hyperlink" Target="https://www.dropbox.com/scl/fo/lbdizykkr7fm0hvhzqggb/h?rlkey=vwn835vkplqivp0o6qs5tbn9k&amp;dl=0" TargetMode="External"/><Relationship Id="rId4" Type="http://schemas.openxmlformats.org/officeDocument/2006/relationships/comments" Target="../comments1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19CC-253F-4ECA-B88A-1B9275B554A1}">
  <sheetPr codeName="Sheet1">
    <tabColor rgb="FF00B0F0"/>
  </sheetPr>
  <dimension ref="A1:R36"/>
  <sheetViews>
    <sheetView zoomScaleNormal="100" workbookViewId="0">
      <selection activeCell="O26" sqref="O26"/>
    </sheetView>
  </sheetViews>
  <sheetFormatPr defaultRowHeight="15" x14ac:dyDescent="0.25"/>
  <cols>
    <col min="1" max="1" width="2.85546875" customWidth="1"/>
    <col min="2" max="2" width="16.140625" bestFit="1" customWidth="1"/>
    <col min="3" max="3" width="26.140625" style="3" bestFit="1" customWidth="1"/>
    <col min="4" max="4" width="19.85546875" style="3" bestFit="1" customWidth="1"/>
    <col min="5" max="5" width="15.5703125" style="1" bestFit="1" customWidth="1"/>
    <col min="6" max="6" width="10.85546875" style="1" bestFit="1" customWidth="1"/>
    <col min="7" max="7" width="9.85546875" bestFit="1" customWidth="1"/>
    <col min="8" max="8" width="10.140625" customWidth="1"/>
    <col min="9" max="9" width="5.5703125" customWidth="1"/>
    <col min="10" max="10" width="8.85546875" customWidth="1"/>
    <col min="11" max="11" width="11.140625" bestFit="1" customWidth="1"/>
    <col min="12" max="13" width="8.85546875" customWidth="1"/>
    <col min="14" max="14" width="2.85546875" customWidth="1"/>
    <col min="15" max="15" width="11.140625" bestFit="1" customWidth="1"/>
    <col min="16" max="17" width="8.85546875" customWidth="1"/>
    <col min="18" max="19" width="8.140625" bestFit="1" customWidth="1"/>
  </cols>
  <sheetData>
    <row r="1" spans="1:17" x14ac:dyDescent="0.25">
      <c r="A1" s="204"/>
      <c r="B1" s="205" t="s">
        <v>0</v>
      </c>
      <c r="C1" s="205"/>
      <c r="D1" s="205"/>
      <c r="E1" s="205"/>
      <c r="F1" s="205"/>
      <c r="G1" s="205"/>
      <c r="H1" s="205"/>
      <c r="I1" s="206"/>
      <c r="K1" s="94" t="s">
        <v>1</v>
      </c>
      <c r="L1" s="153" t="s">
        <v>2</v>
      </c>
      <c r="M1" s="153" t="s">
        <v>3</v>
      </c>
      <c r="O1" s="94" t="s">
        <v>4</v>
      </c>
      <c r="P1" s="153" t="s">
        <v>2</v>
      </c>
      <c r="Q1" s="153" t="s">
        <v>3</v>
      </c>
    </row>
    <row r="2" spans="1:17" ht="14.25" customHeight="1" x14ac:dyDescent="0.25">
      <c r="A2" s="86"/>
      <c r="B2" s="84"/>
      <c r="C2" s="239" t="s">
        <v>5</v>
      </c>
      <c r="D2" s="239" t="s">
        <v>6</v>
      </c>
      <c r="E2" s="239" t="s">
        <v>7</v>
      </c>
      <c r="F2" s="87" t="s">
        <v>8</v>
      </c>
      <c r="G2" s="88"/>
      <c r="H2" s="89"/>
      <c r="I2" s="86"/>
      <c r="K2" s="153" t="s">
        <v>9</v>
      </c>
      <c r="L2" s="8"/>
      <c r="M2" s="8"/>
      <c r="O2" s="153" t="s">
        <v>9</v>
      </c>
      <c r="P2" s="8"/>
      <c r="Q2" s="8"/>
    </row>
    <row r="3" spans="1:17" x14ac:dyDescent="0.25">
      <c r="A3" s="86"/>
      <c r="B3" s="85"/>
      <c r="C3" s="240"/>
      <c r="D3" s="240"/>
      <c r="E3" s="240"/>
      <c r="F3" s="60" t="s">
        <v>10</v>
      </c>
      <c r="G3" s="59" t="s">
        <v>11</v>
      </c>
      <c r="H3" s="59" t="s">
        <v>12</v>
      </c>
      <c r="I3" s="86"/>
      <c r="K3" s="153" t="s">
        <v>13</v>
      </c>
      <c r="L3" s="8"/>
      <c r="M3" s="8"/>
      <c r="O3" s="153" t="s">
        <v>13</v>
      </c>
      <c r="P3" s="8"/>
      <c r="Q3" s="8"/>
    </row>
    <row r="4" spans="1:17" x14ac:dyDescent="0.25">
      <c r="A4" s="86"/>
      <c r="B4" s="61" t="s">
        <v>1</v>
      </c>
      <c r="C4" s="63" t="s">
        <v>95</v>
      </c>
      <c r="D4" s="63" t="s">
        <v>69</v>
      </c>
      <c r="E4" s="64" t="s">
        <v>87</v>
      </c>
      <c r="F4" s="9">
        <v>18</v>
      </c>
      <c r="G4" s="51">
        <f>SUMIFS(MASTER!D3:D338,MASTER!A3:A338,'CALCULATOR (Hudson)'!$C$4,MASTER!B3:B338,'CALCULATOR (Hudson)'!$D$4,MASTER!C3:C338,'CALCULATOR (Hudson)'!$E$4)</f>
        <v>27.862916111111115</v>
      </c>
      <c r="H4" s="51">
        <f t="shared" ref="H4:H10" si="0">(F4*G4)</f>
        <v>501.53249000000005</v>
      </c>
      <c r="I4" s="86"/>
      <c r="K4" s="153" t="s">
        <v>17</v>
      </c>
      <c r="L4" s="8"/>
      <c r="M4" s="8"/>
      <c r="O4" s="153" t="s">
        <v>17</v>
      </c>
      <c r="P4" s="8"/>
      <c r="Q4" s="8"/>
    </row>
    <row r="5" spans="1:17" x14ac:dyDescent="0.25">
      <c r="A5" s="86"/>
      <c r="B5" s="61" t="s">
        <v>18</v>
      </c>
      <c r="C5" s="63"/>
      <c r="D5" s="63"/>
      <c r="E5" s="64"/>
      <c r="F5" s="9"/>
      <c r="G5" s="51">
        <f>SUMIFS(MASTER!D3:D338,MASTER!A3:A338,'CALCULATOR (Hudson)'!$C$5,MASTER!B3:B338,'CALCULATOR (Hudson)'!$D$5,MASTER!C3:C338,'CALCULATOR (Hudson)'!$E$5)</f>
        <v>0</v>
      </c>
      <c r="H5" s="51">
        <f t="shared" si="0"/>
        <v>0</v>
      </c>
      <c r="I5" s="86"/>
      <c r="K5" s="153" t="s">
        <v>19</v>
      </c>
      <c r="L5" s="8"/>
      <c r="M5" s="8"/>
      <c r="O5" s="153" t="s">
        <v>19</v>
      </c>
      <c r="P5" s="8"/>
      <c r="Q5" s="8"/>
    </row>
    <row r="6" spans="1:17" x14ac:dyDescent="0.25">
      <c r="A6" s="86"/>
      <c r="B6" s="61" t="s">
        <v>20</v>
      </c>
      <c r="C6" s="63" t="s">
        <v>109</v>
      </c>
      <c r="D6" s="63" t="s">
        <v>58</v>
      </c>
      <c r="E6" s="64" t="s">
        <v>110</v>
      </c>
      <c r="F6" s="9">
        <v>1</v>
      </c>
      <c r="G6" s="51">
        <f>SUMIFS(MASTER!D3:D338,MASTER!A3:A338,'CALCULATOR (Hudson)'!$C$6,MASTER!B3:B338,'CALCULATOR (Hudson)'!$D$6,MASTER!C3:C338,'CALCULATOR (Hudson)'!$E$6)</f>
        <v>123.73810000000002</v>
      </c>
      <c r="H6" s="51">
        <f t="shared" si="0"/>
        <v>123.73810000000002</v>
      </c>
      <c r="I6" s="86"/>
      <c r="K6" s="153" t="s">
        <v>21</v>
      </c>
      <c r="L6" s="8"/>
      <c r="M6" s="8"/>
      <c r="O6" s="153" t="s">
        <v>21</v>
      </c>
      <c r="P6" s="8"/>
      <c r="Q6" s="8"/>
    </row>
    <row r="7" spans="1:17" x14ac:dyDescent="0.25">
      <c r="A7" s="86"/>
      <c r="B7" s="61" t="s">
        <v>22</v>
      </c>
      <c r="C7" s="241"/>
      <c r="D7" s="242"/>
      <c r="E7" s="243"/>
      <c r="F7" s="9"/>
      <c r="G7" s="51">
        <v>0</v>
      </c>
      <c r="H7" s="51">
        <f>(F7*G7)</f>
        <v>0</v>
      </c>
      <c r="I7" s="86"/>
      <c r="K7" s="153" t="s">
        <v>23</v>
      </c>
      <c r="L7" s="8"/>
      <c r="M7" s="8"/>
      <c r="O7" s="153" t="s">
        <v>23</v>
      </c>
      <c r="P7" s="8"/>
      <c r="Q7" s="8"/>
    </row>
    <row r="8" spans="1:17" x14ac:dyDescent="0.25">
      <c r="A8" s="86"/>
      <c r="B8" s="61" t="s">
        <v>4</v>
      </c>
      <c r="C8" s="63"/>
      <c r="D8" s="63"/>
      <c r="E8" s="64"/>
      <c r="F8" s="9"/>
      <c r="G8" s="51">
        <f>SUMIFS(MASTER!D3:D338,MASTER!A3:A338,'CALCULATOR (Hudson)'!$C$8,MASTER!B3:B338,'CALCULATOR (Hudson)'!$D$8,MASTER!C3:C338,'CALCULATOR (Hudson)'!$E$8)</f>
        <v>0</v>
      </c>
      <c r="H8" s="51">
        <f t="shared" si="0"/>
        <v>0</v>
      </c>
      <c r="I8" s="86"/>
      <c r="K8" s="153" t="s">
        <v>12</v>
      </c>
      <c r="L8" s="170">
        <f>SUM(L2:L7)</f>
        <v>0</v>
      </c>
      <c r="M8" s="170">
        <f>SUM(M2:M7)</f>
        <v>0</v>
      </c>
      <c r="O8" s="153" t="s">
        <v>12</v>
      </c>
      <c r="P8" s="170">
        <f>SUM(P2:P7)</f>
        <v>0</v>
      </c>
      <c r="Q8" s="170">
        <f>SUM(Q2:Q7)</f>
        <v>0</v>
      </c>
    </row>
    <row r="9" spans="1:17" x14ac:dyDescent="0.25">
      <c r="A9" s="86"/>
      <c r="B9" s="61" t="s">
        <v>18</v>
      </c>
      <c r="C9" s="63"/>
      <c r="D9" s="63"/>
      <c r="E9" s="64"/>
      <c r="F9" s="9"/>
      <c r="G9" s="51">
        <f>SUMIFS(MASTER!D3:D338,MASTER!A3:A338,'CALCULATOR (Hudson)'!$C$9,MASTER!B3:B338,'CALCULATOR (Hudson)'!$D$9,MASTER!C3:C338,'CALCULATOR (Hudson)'!$E$9)</f>
        <v>0</v>
      </c>
      <c r="H9" s="51">
        <f t="shared" si="0"/>
        <v>0</v>
      </c>
      <c r="I9" s="86"/>
      <c r="K9" s="153" t="s">
        <v>24</v>
      </c>
      <c r="L9" s="8"/>
      <c r="M9" s="8"/>
      <c r="O9" s="153" t="s">
        <v>24</v>
      </c>
      <c r="P9" s="8"/>
      <c r="Q9" s="8"/>
    </row>
    <row r="10" spans="1:17" x14ac:dyDescent="0.25">
      <c r="A10" s="86"/>
      <c r="B10" s="61" t="s">
        <v>20</v>
      </c>
      <c r="C10" s="63"/>
      <c r="D10" s="63"/>
      <c r="E10" s="64"/>
      <c r="F10" s="9"/>
      <c r="G10" s="51">
        <f>SUMIFS(MASTER!D3:D338,MASTER!A3:A338,'CALCULATOR (Hudson)'!$C$10,MASTER!B3:B338,'CALCULATOR (Hudson)'!$D$10,MASTER!C3:C338,'CALCULATOR (Hudson)'!$E$10)</f>
        <v>0</v>
      </c>
      <c r="H10" s="51">
        <f t="shared" si="0"/>
        <v>0</v>
      </c>
      <c r="I10" s="86"/>
      <c r="K10" s="153" t="s">
        <v>12</v>
      </c>
      <c r="L10" s="170">
        <f>L8*L9</f>
        <v>0</v>
      </c>
      <c r="M10" s="170">
        <f>M8*M9</f>
        <v>0</v>
      </c>
      <c r="N10" s="71"/>
      <c r="O10" s="153" t="s">
        <v>12</v>
      </c>
      <c r="P10" s="170">
        <f>P8*P9</f>
        <v>0</v>
      </c>
      <c r="Q10" s="170">
        <f>Q8*Q9</f>
        <v>0</v>
      </c>
    </row>
    <row r="11" spans="1:17" x14ac:dyDescent="0.25">
      <c r="A11" s="86"/>
      <c r="B11" s="61" t="s">
        <v>22</v>
      </c>
      <c r="C11" s="241"/>
      <c r="D11" s="242"/>
      <c r="E11" s="243"/>
      <c r="F11" s="9"/>
      <c r="G11" s="51">
        <v>0</v>
      </c>
      <c r="H11" s="51">
        <f>(F11*G11)</f>
        <v>0</v>
      </c>
      <c r="I11" s="86"/>
    </row>
    <row r="12" spans="1:17" x14ac:dyDescent="0.25">
      <c r="A12" s="86"/>
      <c r="B12" s="61" t="s">
        <v>25</v>
      </c>
      <c r="C12" s="73"/>
      <c r="D12" s="74"/>
      <c r="E12" s="74"/>
      <c r="F12" s="9">
        <v>1</v>
      </c>
      <c r="G12" s="51">
        <v>18</v>
      </c>
      <c r="H12" s="51">
        <f>(F12*G12)</f>
        <v>18</v>
      </c>
      <c r="I12" s="86"/>
    </row>
    <row r="13" spans="1:17" x14ac:dyDescent="0.25">
      <c r="A13" s="86"/>
      <c r="B13" s="235" t="s">
        <v>26</v>
      </c>
      <c r="C13" s="174" t="s">
        <v>27</v>
      </c>
      <c r="D13" s="174" t="s">
        <v>28</v>
      </c>
      <c r="E13" s="174" t="s">
        <v>29</v>
      </c>
      <c r="F13" s="244"/>
      <c r="G13" s="246">
        <f>E14</f>
        <v>85</v>
      </c>
      <c r="H13" s="246">
        <f>(F13*G13)</f>
        <v>0</v>
      </c>
      <c r="I13" s="86"/>
      <c r="N13" s="71"/>
      <c r="P13" s="71"/>
      <c r="Q13" s="70"/>
    </row>
    <row r="14" spans="1:17" x14ac:dyDescent="0.25">
      <c r="A14" s="86"/>
      <c r="B14" s="235"/>
      <c r="C14" s="64" t="str">
        <f>F28</f>
        <v>CANTERBURY</v>
      </c>
      <c r="D14" s="64" t="str">
        <f>VLOOKUP(C14,'MEASURE UP''S'!$A$1:$B$31,2,FALSE)</f>
        <v>DKNZ</v>
      </c>
      <c r="E14" s="177">
        <f>VLOOKUP(D14,'MEASURE UP''S'!$B$1:$C$30,2,FALSE)</f>
        <v>85</v>
      </c>
      <c r="F14" s="245"/>
      <c r="G14" s="247"/>
      <c r="H14" s="247"/>
      <c r="I14" s="86"/>
      <c r="N14" s="71"/>
      <c r="P14" s="71"/>
      <c r="Q14" s="70"/>
    </row>
    <row r="15" spans="1:17" x14ac:dyDescent="0.25">
      <c r="A15" s="86"/>
      <c r="B15" s="61" t="s">
        <v>30</v>
      </c>
      <c r="C15" s="66"/>
      <c r="D15" s="202"/>
      <c r="E15" s="202"/>
      <c r="F15" s="9">
        <v>10</v>
      </c>
      <c r="G15" s="51">
        <v>1.58</v>
      </c>
      <c r="H15" s="51">
        <f>(F15*G15)</f>
        <v>15.8</v>
      </c>
      <c r="I15" s="86"/>
      <c r="N15" s="71"/>
      <c r="P15" s="71"/>
    </row>
    <row r="16" spans="1:17" ht="6" customHeight="1" x14ac:dyDescent="0.25">
      <c r="A16" s="86"/>
      <c r="B16" s="90"/>
      <c r="C16" s="203"/>
      <c r="D16" s="203"/>
      <c r="E16" s="203"/>
      <c r="F16" s="203"/>
      <c r="G16" s="203"/>
      <c r="H16" s="91"/>
      <c r="I16" s="86"/>
      <c r="N16" s="71"/>
      <c r="Q16" s="70"/>
    </row>
    <row r="17" spans="1:18" x14ac:dyDescent="0.25">
      <c r="A17" s="86"/>
      <c r="B17" s="92" t="s">
        <v>31</v>
      </c>
      <c r="C17" s="60" t="s">
        <v>32</v>
      </c>
      <c r="D17" s="60" t="s">
        <v>33</v>
      </c>
      <c r="E17" s="60" t="s">
        <v>34</v>
      </c>
      <c r="F17" s="60" t="s">
        <v>24</v>
      </c>
      <c r="G17" s="81"/>
      <c r="H17" s="248">
        <f>(E18/F18)</f>
        <v>1170.3599999999999</v>
      </c>
      <c r="I17" s="86"/>
      <c r="N17" s="71"/>
    </row>
    <row r="18" spans="1:18" x14ac:dyDescent="0.25">
      <c r="A18" s="86"/>
      <c r="B18" s="93"/>
      <c r="C18" s="9">
        <v>3.4980000000000002</v>
      </c>
      <c r="D18" s="9">
        <v>200</v>
      </c>
      <c r="E18" s="78">
        <v>1170.3599999999999</v>
      </c>
      <c r="F18" s="69">
        <v>1</v>
      </c>
      <c r="G18" s="81"/>
      <c r="H18" s="249"/>
      <c r="I18" s="86"/>
      <c r="Q18" s="70"/>
    </row>
    <row r="19" spans="1:18" ht="6" customHeight="1" x14ac:dyDescent="0.25">
      <c r="A19" s="86"/>
      <c r="B19" s="90"/>
      <c r="C19" s="203"/>
      <c r="D19" s="203"/>
      <c r="E19" s="203"/>
      <c r="F19" s="203"/>
      <c r="G19" s="203"/>
      <c r="H19" s="91"/>
      <c r="I19" s="86"/>
    </row>
    <row r="20" spans="1:18" x14ac:dyDescent="0.25">
      <c r="A20" s="86"/>
      <c r="B20" s="62" t="s">
        <v>35</v>
      </c>
      <c r="C20" s="67"/>
      <c r="D20" s="68"/>
      <c r="E20" s="68"/>
      <c r="F20" s="79"/>
      <c r="G20" s="80"/>
      <c r="H20" s="58">
        <f>SUM(H4:H18)</f>
        <v>1829.4305899999999</v>
      </c>
      <c r="I20" s="86"/>
      <c r="P20" s="71"/>
    </row>
    <row r="21" spans="1:18" x14ac:dyDescent="0.25">
      <c r="A21" s="207"/>
      <c r="B21" s="181"/>
      <c r="C21" s="181"/>
      <c r="D21" s="181"/>
      <c r="E21" s="181"/>
      <c r="F21" s="181"/>
      <c r="G21" s="181"/>
      <c r="H21" s="181"/>
      <c r="I21" s="208"/>
      <c r="N21" s="71"/>
    </row>
    <row r="22" spans="1:18" ht="15.75" thickBot="1" x14ac:dyDescent="0.3"/>
    <row r="23" spans="1:18" ht="24" customHeight="1" x14ac:dyDescent="0.25">
      <c r="B23" s="155" t="s">
        <v>36</v>
      </c>
      <c r="C23" s="156" t="s">
        <v>37</v>
      </c>
      <c r="D23"/>
      <c r="E23" s="250" t="s">
        <v>38</v>
      </c>
      <c r="F23" s="251"/>
      <c r="G23" s="251"/>
      <c r="H23" s="251"/>
      <c r="I23" s="252"/>
    </row>
    <row r="24" spans="1:18" x14ac:dyDescent="0.25">
      <c r="B24" s="62" t="s">
        <v>39</v>
      </c>
      <c r="C24" s="95">
        <f>VLOOKUP(F28,REGIONS!$A:$B,2,FALSE)</f>
        <v>0.4</v>
      </c>
      <c r="D24"/>
      <c r="E24" s="97" t="s">
        <v>40</v>
      </c>
      <c r="F24" s="236">
        <v>45964</v>
      </c>
      <c r="G24" s="237"/>
      <c r="H24" s="237"/>
      <c r="I24" s="238"/>
    </row>
    <row r="25" spans="1:18" x14ac:dyDescent="0.25">
      <c r="B25" s="62" t="s">
        <v>41</v>
      </c>
      <c r="C25" s="96">
        <f>(H20/(1-C24))</f>
        <v>3049.0509833333335</v>
      </c>
      <c r="D25"/>
      <c r="E25" s="97" t="s">
        <v>42</v>
      </c>
      <c r="F25" s="253"/>
      <c r="G25" s="254"/>
      <c r="H25" s="254"/>
      <c r="I25" s="255"/>
    </row>
    <row r="26" spans="1:18" ht="15" customHeight="1" x14ac:dyDescent="0.25">
      <c r="E26" s="98" t="s">
        <v>43</v>
      </c>
      <c r="F26" s="253" t="s">
        <v>698</v>
      </c>
      <c r="G26" s="254"/>
      <c r="H26" s="254"/>
      <c r="I26" s="255"/>
    </row>
    <row r="27" spans="1:18" ht="15.75" customHeight="1" thickBot="1" x14ac:dyDescent="0.3">
      <c r="B27" s="94" t="s">
        <v>44</v>
      </c>
      <c r="C27" s="94"/>
      <c r="E27" s="98" t="s">
        <v>45</v>
      </c>
      <c r="F27" s="257" t="s">
        <v>699</v>
      </c>
      <c r="G27" s="258"/>
      <c r="H27" s="258"/>
      <c r="I27" s="259"/>
    </row>
    <row r="28" spans="1:18" ht="15.75" thickBot="1" x14ac:dyDescent="0.3">
      <c r="B28" s="62" t="s">
        <v>39</v>
      </c>
      <c r="C28" s="95">
        <v>0.4</v>
      </c>
      <c r="E28" s="226" t="s">
        <v>46</v>
      </c>
      <c r="F28" s="260" t="s">
        <v>163</v>
      </c>
      <c r="G28" s="261"/>
      <c r="H28" s="261"/>
      <c r="I28" s="262"/>
    </row>
    <row r="29" spans="1:18" ht="15.75" customHeight="1" x14ac:dyDescent="0.25">
      <c r="B29" s="62" t="s">
        <v>41</v>
      </c>
      <c r="C29" s="96">
        <f>(H20/(1-C28))</f>
        <v>3049.0509833333335</v>
      </c>
      <c r="E29" s="98" t="s">
        <v>48</v>
      </c>
      <c r="F29" s="263" t="s">
        <v>63</v>
      </c>
      <c r="G29" s="264"/>
      <c r="H29" s="264"/>
      <c r="I29" s="265"/>
    </row>
    <row r="30" spans="1:18" ht="15.75" thickBot="1" x14ac:dyDescent="0.3">
      <c r="E30" s="151" t="s">
        <v>50</v>
      </c>
      <c r="F30" s="253" t="s">
        <v>51</v>
      </c>
      <c r="G30" s="254"/>
      <c r="H30" s="254"/>
      <c r="I30" s="255"/>
    </row>
    <row r="31" spans="1:18" ht="15.75" customHeight="1" thickBot="1" x14ac:dyDescent="0.3">
      <c r="E31" s="3"/>
      <c r="F31" s="3"/>
      <c r="G31" s="3"/>
      <c r="H31" s="3"/>
      <c r="I31" s="3"/>
      <c r="K31" s="225"/>
      <c r="R31" s="71"/>
    </row>
    <row r="32" spans="1:18" ht="15.75" customHeight="1" thickBot="1" x14ac:dyDescent="0.3">
      <c r="E32" s="227" t="s">
        <v>52</v>
      </c>
      <c r="F32" s="232" t="s">
        <v>700</v>
      </c>
      <c r="G32" s="233"/>
      <c r="H32" s="233"/>
      <c r="I32" s="234"/>
      <c r="R32" s="71"/>
    </row>
    <row r="33" spans="4:18" ht="15.75" customHeight="1" thickBot="1" x14ac:dyDescent="0.3">
      <c r="E33" s="98" t="s">
        <v>52</v>
      </c>
      <c r="F33" s="256" t="s">
        <v>701</v>
      </c>
      <c r="G33" s="233"/>
      <c r="H33" s="233"/>
      <c r="I33" s="234"/>
      <c r="R33" s="71"/>
    </row>
    <row r="34" spans="4:18" ht="15.75" customHeight="1" thickBot="1" x14ac:dyDescent="0.3">
      <c r="D34" s="3" t="s">
        <v>53</v>
      </c>
      <c r="E34" s="98" t="s">
        <v>52</v>
      </c>
      <c r="F34" s="232"/>
      <c r="G34" s="233"/>
      <c r="H34" s="233"/>
      <c r="I34" s="234"/>
      <c r="R34" s="71"/>
    </row>
    <row r="35" spans="4:18" ht="15.75" customHeight="1" thickBot="1" x14ac:dyDescent="0.3">
      <c r="E35" s="151" t="s">
        <v>52</v>
      </c>
      <c r="F35" s="232"/>
      <c r="G35" s="233"/>
      <c r="H35" s="233"/>
      <c r="I35" s="234"/>
      <c r="N35" s="99"/>
      <c r="R35" s="71"/>
    </row>
    <row r="36" spans="4:18" ht="15.75" customHeight="1" thickBot="1" x14ac:dyDescent="0.3">
      <c r="E36" s="151" t="s">
        <v>52</v>
      </c>
      <c r="F36" s="232"/>
      <c r="G36" s="233"/>
      <c r="H36" s="233"/>
      <c r="I36" s="234"/>
    </row>
  </sheetData>
  <mergeCells count="23">
    <mergeCell ref="F32:I32"/>
    <mergeCell ref="F33:I33"/>
    <mergeCell ref="F25:I25"/>
    <mergeCell ref="F26:I26"/>
    <mergeCell ref="F27:I27"/>
    <mergeCell ref="F28:I28"/>
    <mergeCell ref="F29:I29"/>
    <mergeCell ref="F36:I36"/>
    <mergeCell ref="B13:B14"/>
    <mergeCell ref="F24:I24"/>
    <mergeCell ref="C2:C3"/>
    <mergeCell ref="D2:D3"/>
    <mergeCell ref="E2:E3"/>
    <mergeCell ref="C7:E7"/>
    <mergeCell ref="C11:E11"/>
    <mergeCell ref="F13:F14"/>
    <mergeCell ref="G13:G14"/>
    <mergeCell ref="H13:H14"/>
    <mergeCell ref="H17:H18"/>
    <mergeCell ref="E23:I23"/>
    <mergeCell ref="F30:I30"/>
    <mergeCell ref="F34:I34"/>
    <mergeCell ref="F35:I35"/>
  </mergeCells>
  <phoneticPr fontId="6" type="noConversion"/>
  <dataValidations count="9">
    <dataValidation type="list" allowBlank="1" showInputMessage="1" showErrorMessage="1" sqref="F29" xr:uid="{1EFF87D2-6420-47E6-9EEB-4A924DAD0E77}">
      <formula1>"Internal,External"</formula1>
    </dataValidation>
    <dataValidation type="list" allowBlank="1" showInputMessage="1" showErrorMessage="1" sqref="F30" xr:uid="{176A4E18-FA2A-4042-93DA-9C19F20F9A6A}">
      <formula1>"Main,Secondary,Accessible,Service"</formula1>
    </dataValidation>
    <dataValidation type="list" allowBlank="1" showInputMessage="1" showErrorMessage="1" sqref="E4 E8" xr:uid="{66794097-D82B-41D8-BDA8-F0B245FC7343}">
      <formula1>"0.9m,1.0m,1.1m,1.2m,1.4m,1.5m EXT,1.6m,1.8m EXT,2.0m,2.1m EXT,2.4m EXT"</formula1>
    </dataValidation>
    <dataValidation type="list" allowBlank="1" showInputMessage="1" showErrorMessage="1" sqref="E6 E10" xr:uid="{E9BF3513-4E87-4647-A20E-886CA1EE0BF5}">
      <formula1>"1.0m2"</formula1>
    </dataValidation>
    <dataValidation type="list" allowBlank="1" showInputMessage="1" showErrorMessage="1" sqref="D4 D8" xr:uid="{C0D55FF8-2959-4A9F-8DFF-A221D71F9259}">
      <formula1>"Up to 300mm,Over 300mm, OPEN RISE,EX 25MM,EX 50MM"</formula1>
    </dataValidation>
    <dataValidation type="list" allowBlank="1" showInputMessage="1" showErrorMessage="1" sqref="F5 F9" xr:uid="{B0505EFF-9F39-4827-9EF2-388C6B0D4F0D}">
      <formula1>"1,2,3,4"</formula1>
    </dataValidation>
    <dataValidation type="list" allowBlank="1" showInputMessage="1" showErrorMessage="1" sqref="D5 D9" xr:uid="{9B762F7C-0260-42AA-A093-D4AC8B670789}">
      <formula1>"MDF,PLY UT,PLY H3.2,Solid Pine"</formula1>
    </dataValidation>
    <dataValidation type="list" allowBlank="1" showInputMessage="1" showErrorMessage="1" sqref="E5 E9" xr:uid="{0713642B-50C5-4AF8-AB6C-F796BC6DE63C}">
      <formula1>"2 Step,3 Step,3 Step (over 180°),4 Step,5 Step (over 180°),6 Step"</formula1>
    </dataValidation>
    <dataValidation type="list" allowBlank="1" showInputMessage="1" showErrorMessage="1" sqref="D6 D10" xr:uid="{1515217E-4534-4FB9-B53A-213A44E9C9D5}">
      <formula1>"MDF,PLY UT,PLY H3.2,Solid Pine,External"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BBFC666-2EED-4929-B21B-532614C37B04}">
          <x14:formula1>
            <xm:f>'(TYPES)'!$E$3</xm:f>
          </x14:formula1>
          <xm:sqref>C6 C10</xm:sqref>
        </x14:dataValidation>
        <x14:dataValidation type="list" allowBlank="1" showInputMessage="1" showErrorMessage="1" xr:uid="{18EEA261-4A88-48E9-946D-3555E02616F1}">
          <x14:formula1>
            <xm:f>'(TYPES)'!$A$3:$A$22</xm:f>
          </x14:formula1>
          <xm:sqref>C4 C8</xm:sqref>
        </x14:dataValidation>
        <x14:dataValidation type="list" allowBlank="1" showInputMessage="1" showErrorMessage="1" xr:uid="{BACF32B1-FCD2-4D82-BFD4-80782981A9F9}">
          <x14:formula1>
            <xm:f>'(TYPES)'!$C$3:$C$4</xm:f>
          </x14:formula1>
          <xm:sqref>C5 C9</xm:sqref>
        </x14:dataValidation>
        <x14:dataValidation type="list" allowBlank="1" showInputMessage="1" showErrorMessage="1" xr:uid="{8067AA9E-F4D9-4623-9E5A-8C89523A397C}">
          <x14:formula1>
            <xm:f>REGIONS!$A$2:$A$31</xm:f>
          </x14:formula1>
          <xm:sqref>F28:I28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2804-2998-4854-86A9-C4A20538F25A}">
  <sheetPr codeName="Sheet2">
    <tabColor rgb="FF00B0F0"/>
  </sheetPr>
  <dimension ref="A1:Q37"/>
  <sheetViews>
    <sheetView zoomScaleNormal="100" workbookViewId="0">
      <selection activeCell="L21" sqref="L21"/>
    </sheetView>
  </sheetViews>
  <sheetFormatPr defaultRowHeight="15" x14ac:dyDescent="0.25"/>
  <cols>
    <col min="1" max="1" width="2.85546875" customWidth="1"/>
    <col min="2" max="2" width="16.140625" bestFit="1" customWidth="1"/>
    <col min="3" max="3" width="26.140625" style="3" bestFit="1" customWidth="1"/>
    <col min="4" max="4" width="19.85546875" style="3" bestFit="1" customWidth="1"/>
    <col min="5" max="5" width="15.5703125" style="1" bestFit="1" customWidth="1"/>
    <col min="6" max="6" width="10.85546875" style="1" bestFit="1" customWidth="1"/>
    <col min="7" max="7" width="9.85546875" bestFit="1" customWidth="1"/>
    <col min="8" max="8" width="10.140625" customWidth="1"/>
    <col min="9" max="9" width="2.85546875" customWidth="1"/>
    <col min="10" max="10" width="8.85546875" customWidth="1"/>
    <col min="11" max="11" width="11.140625" bestFit="1" customWidth="1"/>
    <col min="12" max="13" width="8.85546875" customWidth="1"/>
    <col min="14" max="14" width="2.85546875" customWidth="1"/>
    <col min="15" max="15" width="11.140625" bestFit="1" customWidth="1"/>
    <col min="16" max="17" width="8.85546875" customWidth="1"/>
    <col min="18" max="19" width="8.140625" bestFit="1" customWidth="1"/>
  </cols>
  <sheetData>
    <row r="1" spans="1:17" x14ac:dyDescent="0.25">
      <c r="A1" s="204"/>
      <c r="B1" s="205" t="s">
        <v>0</v>
      </c>
      <c r="C1" s="205"/>
      <c r="D1" s="205"/>
      <c r="E1" s="205"/>
      <c r="F1" s="205"/>
      <c r="G1" s="205"/>
      <c r="H1" s="205"/>
      <c r="I1" s="206"/>
      <c r="K1" s="94" t="s">
        <v>1</v>
      </c>
      <c r="L1" s="153" t="s">
        <v>2</v>
      </c>
      <c r="M1" s="153" t="s">
        <v>3</v>
      </c>
      <c r="O1" s="94" t="s">
        <v>4</v>
      </c>
      <c r="P1" s="153" t="s">
        <v>2</v>
      </c>
      <c r="Q1" s="153" t="s">
        <v>3</v>
      </c>
    </row>
    <row r="2" spans="1:17" ht="14.25" customHeight="1" x14ac:dyDescent="0.25">
      <c r="A2" s="86"/>
      <c r="B2" s="84"/>
      <c r="C2" s="239" t="s">
        <v>5</v>
      </c>
      <c r="D2" s="239" t="s">
        <v>6</v>
      </c>
      <c r="E2" s="239" t="s">
        <v>7</v>
      </c>
      <c r="F2" s="87" t="s">
        <v>8</v>
      </c>
      <c r="G2" s="88"/>
      <c r="H2" s="89"/>
      <c r="I2" s="86"/>
      <c r="K2" s="153" t="s">
        <v>9</v>
      </c>
      <c r="L2" s="8"/>
      <c r="M2" s="8"/>
      <c r="O2" s="153" t="s">
        <v>9</v>
      </c>
      <c r="P2" s="8"/>
      <c r="Q2" s="8"/>
    </row>
    <row r="3" spans="1:17" x14ac:dyDescent="0.25">
      <c r="A3" s="86"/>
      <c r="B3" s="85"/>
      <c r="C3" s="240"/>
      <c r="D3" s="240"/>
      <c r="E3" s="240"/>
      <c r="F3" s="60" t="s">
        <v>10</v>
      </c>
      <c r="G3" s="59" t="s">
        <v>11</v>
      </c>
      <c r="H3" s="59" t="s">
        <v>12</v>
      </c>
      <c r="I3" s="86"/>
      <c r="K3" s="153" t="s">
        <v>13</v>
      </c>
      <c r="L3" s="8"/>
      <c r="M3" s="8"/>
      <c r="O3" s="153" t="s">
        <v>13</v>
      </c>
      <c r="P3" s="8"/>
      <c r="Q3" s="8"/>
    </row>
    <row r="4" spans="1:17" x14ac:dyDescent="0.25">
      <c r="A4" s="86"/>
      <c r="B4" s="61" t="s">
        <v>1</v>
      </c>
      <c r="C4" s="63" t="s">
        <v>66</v>
      </c>
      <c r="D4" s="63" t="s">
        <v>69</v>
      </c>
      <c r="E4" s="64" t="s">
        <v>70</v>
      </c>
      <c r="F4" s="9">
        <v>15</v>
      </c>
      <c r="G4" s="51">
        <f>SUMIFS(MASTER!D3:D338,MASTER!A3:A338,'CALCULATOR (Jude)'!$C$4,MASTER!B3:B338,'CALCULATOR (Jude)'!$D$4,MASTER!C3:C338,'CALCULATOR (Jude)'!$E$4)</f>
        <v>24.353985555555557</v>
      </c>
      <c r="H4" s="51">
        <f t="shared" ref="H4:H10" si="0">(F4*G4)</f>
        <v>365.30978333333337</v>
      </c>
      <c r="I4" s="86"/>
      <c r="K4" s="153" t="s">
        <v>17</v>
      </c>
      <c r="L4" s="8"/>
      <c r="M4" s="8"/>
      <c r="O4" s="153" t="s">
        <v>17</v>
      </c>
      <c r="P4" s="8"/>
      <c r="Q4" s="8"/>
    </row>
    <row r="5" spans="1:17" x14ac:dyDescent="0.25">
      <c r="A5" s="86"/>
      <c r="B5" s="61" t="s">
        <v>18</v>
      </c>
      <c r="C5" s="63"/>
      <c r="D5" s="63"/>
      <c r="E5" s="64"/>
      <c r="F5" s="9"/>
      <c r="G5" s="51">
        <f>SUMIFS(MASTER!D3:D338,MASTER!A3:A338,'CALCULATOR (Jude)'!$C$5,MASTER!B3:B338,'CALCULATOR (Jude)'!$D$5,MASTER!C3:C338,'CALCULATOR (Jude)'!$E$5)</f>
        <v>0</v>
      </c>
      <c r="H5" s="51">
        <f t="shared" si="0"/>
        <v>0</v>
      </c>
      <c r="I5" s="86"/>
      <c r="K5" s="153" t="s">
        <v>19</v>
      </c>
      <c r="L5" s="8"/>
      <c r="M5" s="8"/>
      <c r="O5" s="153" t="s">
        <v>19</v>
      </c>
      <c r="P5" s="8"/>
      <c r="Q5" s="8"/>
    </row>
    <row r="6" spans="1:17" x14ac:dyDescent="0.25">
      <c r="A6" s="86"/>
      <c r="B6" s="61" t="s">
        <v>20</v>
      </c>
      <c r="C6" s="63"/>
      <c r="D6" s="63"/>
      <c r="E6" s="64"/>
      <c r="F6" s="9"/>
      <c r="G6" s="51">
        <f>SUMIFS(MASTER!D3:D338,MASTER!A3:A338,'CALCULATOR (Jude)'!$C$6,MASTER!B3:B338,'CALCULATOR (Jude)'!$D$6,MASTER!C3:C338,'CALCULATOR (Jude)'!$E$6)</f>
        <v>0</v>
      </c>
      <c r="H6" s="51">
        <f t="shared" si="0"/>
        <v>0</v>
      </c>
      <c r="I6" s="86"/>
      <c r="K6" s="153" t="s">
        <v>21</v>
      </c>
      <c r="L6" s="8"/>
      <c r="M6" s="8"/>
      <c r="O6" s="153" t="s">
        <v>21</v>
      </c>
      <c r="P6" s="8"/>
      <c r="Q6" s="8"/>
    </row>
    <row r="7" spans="1:17" x14ac:dyDescent="0.25">
      <c r="A7" s="86"/>
      <c r="B7" s="61" t="s">
        <v>22</v>
      </c>
      <c r="C7" s="241"/>
      <c r="D7" s="242"/>
      <c r="E7" s="243"/>
      <c r="F7" s="9"/>
      <c r="G7" s="51">
        <v>0</v>
      </c>
      <c r="H7" s="51">
        <f>(F7*G7)</f>
        <v>0</v>
      </c>
      <c r="I7" s="86"/>
      <c r="K7" s="153" t="s">
        <v>23</v>
      </c>
      <c r="L7" s="8"/>
      <c r="M7" s="8"/>
      <c r="O7" s="153" t="s">
        <v>23</v>
      </c>
      <c r="P7" s="8"/>
      <c r="Q7" s="8"/>
    </row>
    <row r="8" spans="1:17" x14ac:dyDescent="0.25">
      <c r="A8" s="86"/>
      <c r="B8" s="61" t="s">
        <v>4</v>
      </c>
      <c r="C8" s="63"/>
      <c r="D8" s="63"/>
      <c r="E8" s="64"/>
      <c r="F8" s="9"/>
      <c r="G8" s="51">
        <f>SUMIFS(MASTER!D3:D338,MASTER!A3:A338,'CALCULATOR (Jude)'!$C$8,MASTER!B3:B338,'CALCULATOR (Jude)'!$D$8,MASTER!C3:C338,'CALCULATOR (Jude)'!$E$8)</f>
        <v>0</v>
      </c>
      <c r="H8" s="51">
        <f t="shared" si="0"/>
        <v>0</v>
      </c>
      <c r="I8" s="86"/>
      <c r="K8" s="153" t="s">
        <v>12</v>
      </c>
      <c r="L8" s="170">
        <f>SUM(L2:L7)</f>
        <v>0</v>
      </c>
      <c r="M8" s="170">
        <f>SUM(M2:M7)</f>
        <v>0</v>
      </c>
      <c r="O8" s="153" t="s">
        <v>12</v>
      </c>
      <c r="P8" s="170">
        <f>SUM(P2:P7)</f>
        <v>0</v>
      </c>
      <c r="Q8" s="170">
        <f>SUM(Q2:Q7)</f>
        <v>0</v>
      </c>
    </row>
    <row r="9" spans="1:17" x14ac:dyDescent="0.25">
      <c r="A9" s="86"/>
      <c r="B9" s="61" t="s">
        <v>18</v>
      </c>
      <c r="C9" s="63"/>
      <c r="D9" s="63"/>
      <c r="E9" s="64"/>
      <c r="F9" s="9"/>
      <c r="G9" s="51">
        <f>SUMIFS(MASTER!D3:D338,MASTER!A3:A338,'CALCULATOR (Jude)'!$C$9,MASTER!B3:B338,'CALCULATOR (Jude)'!$D$9,MASTER!C3:C338,'CALCULATOR (Jude)'!$E$9)</f>
        <v>0</v>
      </c>
      <c r="H9" s="51">
        <f t="shared" si="0"/>
        <v>0</v>
      </c>
      <c r="I9" s="86"/>
      <c r="K9" s="153" t="s">
        <v>24</v>
      </c>
      <c r="L9" s="8"/>
      <c r="M9" s="8"/>
      <c r="O9" s="153" t="s">
        <v>24</v>
      </c>
      <c r="P9" s="8"/>
      <c r="Q9" s="8"/>
    </row>
    <row r="10" spans="1:17" x14ac:dyDescent="0.25">
      <c r="A10" s="86"/>
      <c r="B10" s="61" t="s">
        <v>20</v>
      </c>
      <c r="C10" s="63"/>
      <c r="D10" s="63"/>
      <c r="E10" s="64"/>
      <c r="F10" s="9"/>
      <c r="G10" s="51">
        <f>SUMIFS(MASTER!D3:D338,MASTER!A3:A338,'CALCULATOR (Jude)'!$C$10,MASTER!B3:B338,'CALCULATOR (Jude)'!$D$10,MASTER!C3:C338,'CALCULATOR (Jude)'!$E$10)</f>
        <v>0</v>
      </c>
      <c r="H10" s="51">
        <f t="shared" si="0"/>
        <v>0</v>
      </c>
      <c r="I10" s="86"/>
      <c r="K10" s="153" t="s">
        <v>12</v>
      </c>
      <c r="L10" s="170">
        <f>L8*L9</f>
        <v>0</v>
      </c>
      <c r="M10" s="170">
        <f>M8*M9</f>
        <v>0</v>
      </c>
      <c r="N10" s="71"/>
      <c r="O10" s="153" t="s">
        <v>12</v>
      </c>
      <c r="P10" s="170">
        <f>P8*P9</f>
        <v>0</v>
      </c>
      <c r="Q10" s="170">
        <f>Q8*Q9</f>
        <v>0</v>
      </c>
    </row>
    <row r="11" spans="1:17" x14ac:dyDescent="0.25">
      <c r="A11" s="86"/>
      <c r="B11" s="61" t="s">
        <v>22</v>
      </c>
      <c r="C11" s="241"/>
      <c r="D11" s="242"/>
      <c r="E11" s="243"/>
      <c r="F11" s="9"/>
      <c r="G11" s="51">
        <v>0</v>
      </c>
      <c r="H11" s="51">
        <f>(F11*G11)</f>
        <v>0</v>
      </c>
      <c r="I11" s="86"/>
    </row>
    <row r="12" spans="1:17" x14ac:dyDescent="0.25">
      <c r="A12" s="86"/>
      <c r="B12" s="61" t="s">
        <v>25</v>
      </c>
      <c r="C12" s="73"/>
      <c r="D12" s="74"/>
      <c r="E12" s="74"/>
      <c r="F12" s="9">
        <v>1</v>
      </c>
      <c r="G12" s="51">
        <v>18</v>
      </c>
      <c r="H12" s="51">
        <f>(F12*G12)</f>
        <v>18</v>
      </c>
      <c r="I12" s="86"/>
    </row>
    <row r="13" spans="1:17" x14ac:dyDescent="0.25">
      <c r="A13" s="86"/>
      <c r="B13" s="235" t="s">
        <v>26</v>
      </c>
      <c r="C13" s="174" t="s">
        <v>27</v>
      </c>
      <c r="D13" s="174" t="s">
        <v>28</v>
      </c>
      <c r="E13" s="174" t="s">
        <v>29</v>
      </c>
      <c r="F13" s="244">
        <v>1.5</v>
      </c>
      <c r="G13" s="246">
        <f>E14</f>
        <v>95</v>
      </c>
      <c r="H13" s="246">
        <f>(F13*G13)</f>
        <v>142.5</v>
      </c>
      <c r="I13" s="86"/>
      <c r="N13" s="71"/>
      <c r="P13" s="71"/>
      <c r="Q13" s="70"/>
    </row>
    <row r="14" spans="1:17" x14ac:dyDescent="0.25">
      <c r="A14" s="86"/>
      <c r="B14" s="235"/>
      <c r="C14" s="64" t="str">
        <f>F28</f>
        <v>AUCKLAND</v>
      </c>
      <c r="D14" s="64" t="str">
        <f>VLOOKUP(C14,'MEASURE UP''S'!$A$1:$B$31,2,FALSE)</f>
        <v>TOP FLYTE STAIRS</v>
      </c>
      <c r="E14" s="177">
        <f>VLOOKUP(D14,'MEASURE UP''S'!$B$1:$C$30,2,FALSE)</f>
        <v>95</v>
      </c>
      <c r="F14" s="245"/>
      <c r="G14" s="247"/>
      <c r="H14" s="247"/>
      <c r="I14" s="86"/>
      <c r="N14" s="71"/>
      <c r="P14" s="71"/>
      <c r="Q14" s="70"/>
    </row>
    <row r="15" spans="1:17" x14ac:dyDescent="0.25">
      <c r="A15" s="86"/>
      <c r="B15" s="61" t="s">
        <v>30</v>
      </c>
      <c r="C15" s="66"/>
      <c r="D15" s="202"/>
      <c r="E15" s="202"/>
      <c r="F15" s="9">
        <v>10</v>
      </c>
      <c r="G15" s="51">
        <v>1.58</v>
      </c>
      <c r="H15" s="51">
        <f>(F15*G15)</f>
        <v>15.8</v>
      </c>
      <c r="I15" s="86"/>
      <c r="N15" s="71"/>
      <c r="P15" s="71"/>
    </row>
    <row r="16" spans="1:17" ht="6" customHeight="1" x14ac:dyDescent="0.25">
      <c r="A16" s="86"/>
      <c r="B16" s="90"/>
      <c r="C16" s="203"/>
      <c r="D16" s="203"/>
      <c r="E16" s="203"/>
      <c r="F16" s="203"/>
      <c r="G16" s="203"/>
      <c r="H16" s="91"/>
      <c r="I16" s="86"/>
      <c r="N16" s="71"/>
      <c r="Q16" s="70"/>
    </row>
    <row r="17" spans="1:17" x14ac:dyDescent="0.25">
      <c r="A17" s="86"/>
      <c r="B17" s="92" t="s">
        <v>31</v>
      </c>
      <c r="C17" s="60" t="s">
        <v>32</v>
      </c>
      <c r="D17" s="60" t="s">
        <v>33</v>
      </c>
      <c r="E17" s="60" t="s">
        <v>34</v>
      </c>
      <c r="F17" s="60" t="s">
        <v>24</v>
      </c>
      <c r="G17" s="81"/>
      <c r="H17" s="248">
        <f>(E18/F18)</f>
        <v>436.03</v>
      </c>
      <c r="I17" s="86"/>
      <c r="N17" s="71"/>
    </row>
    <row r="18" spans="1:17" x14ac:dyDescent="0.25">
      <c r="A18" s="86"/>
      <c r="B18" s="93"/>
      <c r="C18" s="9">
        <v>4.62</v>
      </c>
      <c r="D18" s="9">
        <v>380</v>
      </c>
      <c r="E18" s="78">
        <v>872.06</v>
      </c>
      <c r="F18" s="69">
        <v>2</v>
      </c>
      <c r="G18" s="81"/>
      <c r="H18" s="249"/>
      <c r="I18" s="86"/>
      <c r="Q18" s="70"/>
    </row>
    <row r="19" spans="1:17" ht="6" customHeight="1" x14ac:dyDescent="0.25">
      <c r="A19" s="86"/>
      <c r="B19" s="90"/>
      <c r="C19" s="203"/>
      <c r="D19" s="203"/>
      <c r="E19" s="203"/>
      <c r="F19" s="203"/>
      <c r="G19" s="203"/>
      <c r="H19" s="91"/>
      <c r="I19" s="86"/>
    </row>
    <row r="20" spans="1:17" x14ac:dyDescent="0.25">
      <c r="A20" s="86"/>
      <c r="B20" s="62" t="s">
        <v>35</v>
      </c>
      <c r="C20" s="67"/>
      <c r="D20" s="68"/>
      <c r="E20" s="68"/>
      <c r="F20" s="79"/>
      <c r="G20" s="80"/>
      <c r="H20" s="58">
        <f>SUM(H4:H18)</f>
        <v>977.6397833333333</v>
      </c>
      <c r="I20" s="86"/>
      <c r="L20" t="s">
        <v>53</v>
      </c>
      <c r="Q20" s="70"/>
    </row>
    <row r="21" spans="1:17" x14ac:dyDescent="0.25">
      <c r="A21" s="207"/>
      <c r="B21" s="181"/>
      <c r="C21" s="181"/>
      <c r="D21" s="181"/>
      <c r="E21" s="181"/>
      <c r="F21" s="181"/>
      <c r="G21" s="181"/>
      <c r="H21" s="181"/>
      <c r="I21" s="208"/>
      <c r="N21" s="71"/>
      <c r="O21" s="71"/>
      <c r="Q21" s="70"/>
    </row>
    <row r="22" spans="1:17" ht="15.75" thickBot="1" x14ac:dyDescent="0.3"/>
    <row r="23" spans="1:17" ht="24" customHeight="1" x14ac:dyDescent="0.25">
      <c r="B23" s="155" t="s">
        <v>36</v>
      </c>
      <c r="C23" s="156" t="s">
        <v>37</v>
      </c>
      <c r="D23"/>
      <c r="E23" s="250" t="s">
        <v>38</v>
      </c>
      <c r="F23" s="251"/>
      <c r="G23" s="251"/>
      <c r="H23" s="251"/>
      <c r="I23" s="252"/>
    </row>
    <row r="24" spans="1:17" x14ac:dyDescent="0.25">
      <c r="B24" s="62" t="s">
        <v>39</v>
      </c>
      <c r="C24" s="95">
        <f>VLOOKUP(F28,REGIONS!$A:$B,2,FALSE)</f>
        <v>0.35</v>
      </c>
      <c r="D24"/>
      <c r="E24" s="97" t="s">
        <v>40</v>
      </c>
      <c r="F24" s="236">
        <v>45776</v>
      </c>
      <c r="G24" s="237"/>
      <c r="H24" s="237"/>
      <c r="I24" s="238"/>
    </row>
    <row r="25" spans="1:17" x14ac:dyDescent="0.25">
      <c r="B25" s="62" t="s">
        <v>41</v>
      </c>
      <c r="C25" s="96">
        <f>(H20/(1-C24))</f>
        <v>1504.0612051282051</v>
      </c>
      <c r="D25"/>
      <c r="E25" s="97" t="s">
        <v>42</v>
      </c>
      <c r="F25" s="266" t="s">
        <v>60</v>
      </c>
      <c r="G25" s="266"/>
      <c r="H25" s="266"/>
      <c r="I25" s="267"/>
    </row>
    <row r="26" spans="1:17" ht="15" customHeight="1" x14ac:dyDescent="0.25">
      <c r="E26" s="98" t="s">
        <v>43</v>
      </c>
      <c r="F26" s="253"/>
      <c r="G26" s="254"/>
      <c r="H26" s="254"/>
      <c r="I26" s="255"/>
    </row>
    <row r="27" spans="1:17" ht="15.75" customHeight="1" thickBot="1" x14ac:dyDescent="0.3">
      <c r="B27" s="94" t="s">
        <v>44</v>
      </c>
      <c r="C27" s="94"/>
      <c r="E27" s="98" t="s">
        <v>45</v>
      </c>
      <c r="F27" s="257" t="s">
        <v>61</v>
      </c>
      <c r="G27" s="258"/>
      <c r="H27" s="258"/>
      <c r="I27" s="259"/>
    </row>
    <row r="28" spans="1:17" ht="15.75" thickBot="1" x14ac:dyDescent="0.3">
      <c r="B28" s="62" t="s">
        <v>39</v>
      </c>
      <c r="C28" s="95">
        <v>0.5</v>
      </c>
      <c r="E28" s="226" t="s">
        <v>46</v>
      </c>
      <c r="F28" s="268" t="s">
        <v>143</v>
      </c>
      <c r="G28" s="269"/>
      <c r="H28" s="269"/>
      <c r="I28" s="270"/>
    </row>
    <row r="29" spans="1:17" ht="15.75" customHeight="1" x14ac:dyDescent="0.25">
      <c r="B29" s="62" t="s">
        <v>41</v>
      </c>
      <c r="C29" s="96">
        <f>(H20/(1-C28))</f>
        <v>1955.2795666666666</v>
      </c>
      <c r="E29" s="98" t="s">
        <v>48</v>
      </c>
      <c r="F29" s="263" t="s">
        <v>63</v>
      </c>
      <c r="G29" s="264"/>
      <c r="H29" s="264"/>
      <c r="I29" s="265"/>
    </row>
    <row r="30" spans="1:17" ht="15.75" thickBot="1" x14ac:dyDescent="0.3">
      <c r="E30" s="151" t="s">
        <v>50</v>
      </c>
      <c r="F30" s="253" t="s">
        <v>64</v>
      </c>
      <c r="G30" s="254"/>
      <c r="H30" s="254"/>
      <c r="I30" s="255"/>
    </row>
    <row r="31" spans="1:17" ht="15.75" customHeight="1" thickBot="1" x14ac:dyDescent="0.3">
      <c r="E31" s="3"/>
      <c r="F31" s="3"/>
      <c r="G31" s="3"/>
      <c r="H31" s="3"/>
      <c r="I31" s="3"/>
    </row>
    <row r="32" spans="1:17" ht="15.75" customHeight="1" thickBot="1" x14ac:dyDescent="0.3">
      <c r="E32" s="227" t="s">
        <v>52</v>
      </c>
      <c r="F32" s="232" t="s">
        <v>65</v>
      </c>
      <c r="G32" s="233"/>
      <c r="H32" s="233"/>
      <c r="I32" s="234"/>
    </row>
    <row r="33" spans="4:15" ht="15.75" customHeight="1" thickBot="1" x14ac:dyDescent="0.3">
      <c r="E33" s="98" t="s">
        <v>52</v>
      </c>
      <c r="F33" s="232"/>
      <c r="G33" s="233"/>
      <c r="H33" s="233"/>
      <c r="I33" s="234"/>
    </row>
    <row r="34" spans="4:15" ht="15.75" customHeight="1" thickBot="1" x14ac:dyDescent="0.3">
      <c r="D34" s="3" t="s">
        <v>53</v>
      </c>
      <c r="E34" s="98" t="s">
        <v>52</v>
      </c>
      <c r="F34" s="232"/>
      <c r="G34" s="233"/>
      <c r="H34" s="233"/>
      <c r="I34" s="234"/>
      <c r="O34" s="82"/>
    </row>
    <row r="35" spans="4:15" ht="15.75" customHeight="1" thickBot="1" x14ac:dyDescent="0.3">
      <c r="E35" s="151" t="s">
        <v>52</v>
      </c>
      <c r="F35" s="232"/>
      <c r="G35" s="233"/>
      <c r="H35" s="233"/>
      <c r="I35" s="234"/>
      <c r="N35" s="99"/>
    </row>
    <row r="36" spans="4:15" ht="15.75" customHeight="1" thickBot="1" x14ac:dyDescent="0.3">
      <c r="E36" s="151" t="s">
        <v>52</v>
      </c>
      <c r="F36" s="232"/>
      <c r="G36" s="233"/>
      <c r="H36" s="233"/>
      <c r="I36" s="234"/>
    </row>
    <row r="37" spans="4:15" ht="15.75" customHeight="1" thickBot="1" x14ac:dyDescent="0.3">
      <c r="E37" s="151" t="s">
        <v>52</v>
      </c>
      <c r="F37" s="232"/>
      <c r="G37" s="233"/>
      <c r="H37" s="233"/>
      <c r="I37" s="234"/>
    </row>
  </sheetData>
  <mergeCells count="24">
    <mergeCell ref="F37:I37"/>
    <mergeCell ref="F25:I25"/>
    <mergeCell ref="F26:I26"/>
    <mergeCell ref="F27:I27"/>
    <mergeCell ref="F28:I28"/>
    <mergeCell ref="F29:I29"/>
    <mergeCell ref="F30:I30"/>
    <mergeCell ref="F32:I32"/>
    <mergeCell ref="F33:I33"/>
    <mergeCell ref="F34:I34"/>
    <mergeCell ref="F35:I35"/>
    <mergeCell ref="F36:I36"/>
    <mergeCell ref="B13:B14"/>
    <mergeCell ref="F24:I24"/>
    <mergeCell ref="C2:C3"/>
    <mergeCell ref="D2:D3"/>
    <mergeCell ref="E2:E3"/>
    <mergeCell ref="C7:E7"/>
    <mergeCell ref="C11:E11"/>
    <mergeCell ref="F13:F14"/>
    <mergeCell ref="G13:G14"/>
    <mergeCell ref="H13:H14"/>
    <mergeCell ref="H17:H18"/>
    <mergeCell ref="E23:I23"/>
  </mergeCells>
  <dataValidations count="9">
    <dataValidation type="list" allowBlank="1" showInputMessage="1" showErrorMessage="1" sqref="F29" xr:uid="{D3C4C702-4D2D-4EFE-B422-D2D80AB6B90D}">
      <formula1>"Internal,External"</formula1>
    </dataValidation>
    <dataValidation type="list" allowBlank="1" showInputMessage="1" showErrorMessage="1" sqref="F30" xr:uid="{FF7FDE6B-249D-4C98-80AD-BC20481B27A2}">
      <formula1>"Main,Secondary,Accessible,Service"</formula1>
    </dataValidation>
    <dataValidation type="list" allowBlank="1" showInputMessage="1" showErrorMessage="1" sqref="E4 E8" xr:uid="{5187773A-4BCD-49DA-A929-C350B348C962}">
      <formula1>"0.9m,1.0m,1.1m,1.2m,1.4m,1.5m EXT,1.6m,1.8m EXT,2.0m,2.1m EXT,2.4m EXT"</formula1>
    </dataValidation>
    <dataValidation type="list" allowBlank="1" showInputMessage="1" showErrorMessage="1" sqref="E10 E6" xr:uid="{B8D7909B-D9E2-4376-AF25-0165D4DBE08B}">
      <formula1>"1.0m2"</formula1>
    </dataValidation>
    <dataValidation type="list" allowBlank="1" showInputMessage="1" showErrorMessage="1" sqref="D4 D8" xr:uid="{0469A737-04D7-45A3-919B-7E58B9708C7A}">
      <formula1>"Up to 300mm,Over 300mm, OPEN RISE,EX 25MM,EX 50MM"</formula1>
    </dataValidation>
    <dataValidation type="list" allowBlank="1" showInputMessage="1" showErrorMessage="1" sqref="F5 F9" xr:uid="{240466A7-6391-47E5-99BD-7D2AC800DFAF}">
      <formula1>"1,2,3,4"</formula1>
    </dataValidation>
    <dataValidation type="list" allowBlank="1" showInputMessage="1" showErrorMessage="1" sqref="D5 D9" xr:uid="{0AD0559A-32E7-4207-9816-F287311E17E9}">
      <formula1>"MDF,PLY UT,PLY H3.2,Solid Pine"</formula1>
    </dataValidation>
    <dataValidation type="list" allowBlank="1" showInputMessage="1" showErrorMessage="1" sqref="E5 E9" xr:uid="{88458E89-FE6C-4139-8DEC-C8721CB473D6}">
      <formula1>"2 Step,3 Step,3 Step (over 180°),4 Step,5 Step (over 180°),6 Step"</formula1>
    </dataValidation>
    <dataValidation type="list" allowBlank="1" showInputMessage="1" showErrorMessage="1" sqref="D10 D6" xr:uid="{051FCCF3-750A-4021-A57A-5422A1CED5C7}">
      <formula1>"MDF,PLY UT,PLY H3.2,Solid Pine,External"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B89A3E9-3BB1-4B4C-8B1B-A37410DFDAF0}">
          <x14:formula1>
            <xm:f>'(TYPES)'!$E$3</xm:f>
          </x14:formula1>
          <xm:sqref>C10 C6</xm:sqref>
        </x14:dataValidation>
        <x14:dataValidation type="list" allowBlank="1" showInputMessage="1" showErrorMessage="1" xr:uid="{ECA19981-F941-4B3F-9328-6B1221542E21}">
          <x14:formula1>
            <xm:f>'(TYPES)'!$A$3:$A$22</xm:f>
          </x14:formula1>
          <xm:sqref>C4 C8</xm:sqref>
        </x14:dataValidation>
        <x14:dataValidation type="list" allowBlank="1" showInputMessage="1" showErrorMessage="1" xr:uid="{F46AF773-EC91-40EB-8DB9-62A9D29F4044}">
          <x14:formula1>
            <xm:f>'(TYPES)'!$C$3:$C$4</xm:f>
          </x14:formula1>
          <xm:sqref>C5 C9</xm:sqref>
        </x14:dataValidation>
        <x14:dataValidation type="list" allowBlank="1" showInputMessage="1" showErrorMessage="1" xr:uid="{3F3A3D90-99DD-4E57-AA17-4C778AD9793E}">
          <x14:formula1>
            <xm:f>REGIONS!$A$2:$A$31</xm:f>
          </x14:formula1>
          <xm:sqref>F28:I28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3233-AF1F-49E4-9E8A-42AAF73B1BA7}">
  <sheetPr codeName="Sheet3">
    <tabColor rgb="FF00B0F0"/>
  </sheetPr>
  <dimension ref="A1:U37"/>
  <sheetViews>
    <sheetView tabSelected="1" zoomScaleNormal="100" workbookViewId="0">
      <selection activeCell="T16" sqref="S16:T17"/>
    </sheetView>
  </sheetViews>
  <sheetFormatPr defaultRowHeight="15" x14ac:dyDescent="0.25"/>
  <cols>
    <col min="1" max="1" width="2.85546875" customWidth="1"/>
    <col min="2" max="2" width="16.140625" bestFit="1" customWidth="1"/>
    <col min="3" max="3" width="26.140625" style="3" bestFit="1" customWidth="1"/>
    <col min="4" max="4" width="19.85546875" style="3" bestFit="1" customWidth="1"/>
    <col min="5" max="5" width="15.5703125" style="1" bestFit="1" customWidth="1"/>
    <col min="6" max="6" width="10.85546875" style="1" bestFit="1" customWidth="1"/>
    <col min="7" max="7" width="9.85546875" bestFit="1" customWidth="1"/>
    <col min="8" max="8" width="10.140625" customWidth="1"/>
    <col min="9" max="9" width="5.5703125" customWidth="1"/>
    <col min="10" max="10" width="8.85546875" customWidth="1"/>
    <col min="11" max="11" width="11.140625" bestFit="1" customWidth="1"/>
    <col min="12" max="13" width="8.85546875" customWidth="1"/>
    <col min="14" max="14" width="3.42578125" customWidth="1"/>
    <col min="15" max="15" width="11.140625" bestFit="1" customWidth="1"/>
    <col min="16" max="17" width="8.85546875" customWidth="1"/>
    <col min="18" max="18" width="8.140625" bestFit="1" customWidth="1"/>
    <col min="19" max="19" width="17.28515625" customWidth="1"/>
  </cols>
  <sheetData>
    <row r="1" spans="1:17" ht="13.5" customHeight="1" x14ac:dyDescent="0.25">
      <c r="A1" s="204" t="e" cm="1">
        <f t="array" ref="A1">J16A1:J33</f>
        <v>#NAME?</v>
      </c>
      <c r="B1" s="205" t="s">
        <v>0</v>
      </c>
      <c r="C1" s="205"/>
      <c r="D1" s="205"/>
      <c r="E1" s="205"/>
      <c r="F1" s="205"/>
      <c r="G1" s="205"/>
      <c r="H1" s="205"/>
      <c r="I1" s="206"/>
      <c r="K1" s="94" t="s">
        <v>1</v>
      </c>
      <c r="L1" s="153" t="s">
        <v>2</v>
      </c>
      <c r="M1" s="153" t="s">
        <v>3</v>
      </c>
      <c r="O1" s="94" t="s">
        <v>4</v>
      </c>
      <c r="P1" s="153" t="s">
        <v>2</v>
      </c>
      <c r="Q1" s="153" t="s">
        <v>3</v>
      </c>
    </row>
    <row r="2" spans="1:17" ht="14.25" customHeight="1" x14ac:dyDescent="0.25">
      <c r="A2" s="86"/>
      <c r="B2" s="84"/>
      <c r="C2" s="239" t="s">
        <v>5</v>
      </c>
      <c r="D2" s="239" t="s">
        <v>6</v>
      </c>
      <c r="E2" s="239" t="s">
        <v>7</v>
      </c>
      <c r="F2" s="87" t="s">
        <v>8</v>
      </c>
      <c r="G2" s="88"/>
      <c r="H2" s="89"/>
      <c r="I2" s="86"/>
      <c r="K2" s="153" t="s">
        <v>9</v>
      </c>
      <c r="L2" s="8"/>
      <c r="M2" s="8"/>
      <c r="O2" s="153" t="s">
        <v>9</v>
      </c>
      <c r="P2" s="8"/>
      <c r="Q2" s="8"/>
    </row>
    <row r="3" spans="1:17" x14ac:dyDescent="0.25">
      <c r="A3" s="86"/>
      <c r="B3" s="85"/>
      <c r="C3" s="240"/>
      <c r="D3" s="240"/>
      <c r="E3" s="240"/>
      <c r="F3" s="60" t="s">
        <v>10</v>
      </c>
      <c r="G3" s="59" t="s">
        <v>11</v>
      </c>
      <c r="H3" s="59" t="s">
        <v>12</v>
      </c>
      <c r="I3" s="86"/>
      <c r="K3" s="153" t="s">
        <v>13</v>
      </c>
      <c r="L3" s="8"/>
      <c r="M3" s="8"/>
      <c r="O3" s="153" t="s">
        <v>13</v>
      </c>
      <c r="P3" s="8"/>
      <c r="Q3" s="8"/>
    </row>
    <row r="4" spans="1:17" x14ac:dyDescent="0.25">
      <c r="A4" s="86"/>
      <c r="B4" s="61" t="s">
        <v>1</v>
      </c>
      <c r="C4" s="63" t="s">
        <v>66</v>
      </c>
      <c r="D4" s="63" t="s">
        <v>69</v>
      </c>
      <c r="E4" s="64" t="s">
        <v>68</v>
      </c>
      <c r="F4" s="9">
        <v>17</v>
      </c>
      <c r="G4" s="51">
        <f>SUMIFS(MASTER!D3:D338,MASTER!A3:A338,'CALCULATOR (Courtney)'!$C$4,MASTER!B3:B338,'CALCULATOR (Courtney)'!$D$4,MASTER!C3:C338,'CALCULATOR (Courtney)'!$E$4)</f>
        <v>32.983581666666666</v>
      </c>
      <c r="H4" s="51">
        <f t="shared" ref="H4:H11" si="0">(F4*G4)</f>
        <v>560.72088833333328</v>
      </c>
      <c r="I4" s="86"/>
      <c r="K4" s="153" t="s">
        <v>17</v>
      </c>
      <c r="L4" s="8"/>
      <c r="M4" s="8"/>
      <c r="O4" s="153" t="s">
        <v>17</v>
      </c>
      <c r="P4" s="8"/>
      <c r="Q4" s="8"/>
    </row>
    <row r="5" spans="1:17" x14ac:dyDescent="0.25">
      <c r="A5" s="86"/>
      <c r="B5" s="61" t="s">
        <v>18</v>
      </c>
      <c r="C5" s="63"/>
      <c r="D5" s="63"/>
      <c r="E5" s="64"/>
      <c r="F5" s="9"/>
      <c r="G5" s="51">
        <f>SUMIFS(MASTER!D3:D338,MASTER!A3:A338,'CALCULATOR (Courtney)'!$C$5,MASTER!B3:B338,'CALCULATOR (Courtney)'!$D$5,MASTER!C3:C338,'CALCULATOR (Courtney)'!$E$5)</f>
        <v>0</v>
      </c>
      <c r="H5" s="51">
        <f t="shared" si="0"/>
        <v>0</v>
      </c>
      <c r="I5" s="86"/>
      <c r="K5" s="153" t="s">
        <v>19</v>
      </c>
      <c r="L5" s="8"/>
      <c r="M5" s="8"/>
      <c r="O5" s="153" t="s">
        <v>19</v>
      </c>
      <c r="P5" s="8"/>
      <c r="Q5" s="8"/>
    </row>
    <row r="6" spans="1:17" x14ac:dyDescent="0.25">
      <c r="A6" s="86"/>
      <c r="B6" s="61" t="s">
        <v>20</v>
      </c>
      <c r="C6" s="63"/>
      <c r="D6" s="63"/>
      <c r="E6" s="64"/>
      <c r="F6" s="9"/>
      <c r="G6" s="51">
        <f>SUMIFS(MASTER!D3:D338,MASTER!A3:A338,'CALCULATOR (Courtney)'!$C$6,MASTER!B3:B338,'CALCULATOR (Courtney)'!$D$6,MASTER!C3:C338,'CALCULATOR (Courtney)'!$E$6)</f>
        <v>0</v>
      </c>
      <c r="H6" s="51">
        <f t="shared" si="0"/>
        <v>0</v>
      </c>
      <c r="I6" s="86"/>
      <c r="K6" s="153" t="s">
        <v>21</v>
      </c>
      <c r="L6" s="8"/>
      <c r="M6" s="8"/>
      <c r="O6" s="153" t="s">
        <v>21</v>
      </c>
      <c r="P6" s="8"/>
      <c r="Q6" s="8"/>
    </row>
    <row r="7" spans="1:17" x14ac:dyDescent="0.25">
      <c r="A7" s="86"/>
      <c r="B7" s="61" t="s">
        <v>22</v>
      </c>
      <c r="C7" s="241"/>
      <c r="D7" s="242"/>
      <c r="E7" s="243"/>
      <c r="F7" s="9"/>
      <c r="G7" s="51">
        <v>0</v>
      </c>
      <c r="H7" s="51">
        <f t="shared" si="0"/>
        <v>0</v>
      </c>
      <c r="I7" s="86"/>
      <c r="K7" s="153" t="s">
        <v>23</v>
      </c>
      <c r="L7" s="8"/>
      <c r="M7" s="8"/>
      <c r="O7" s="153" t="s">
        <v>23</v>
      </c>
      <c r="P7" s="8"/>
      <c r="Q7" s="8"/>
    </row>
    <row r="8" spans="1:17" x14ac:dyDescent="0.25">
      <c r="A8" s="86"/>
      <c r="B8" s="61" t="s">
        <v>4</v>
      </c>
      <c r="C8" s="63" t="s">
        <v>66</v>
      </c>
      <c r="D8" s="63" t="s">
        <v>69</v>
      </c>
      <c r="E8" s="64" t="s">
        <v>70</v>
      </c>
      <c r="F8" s="9">
        <v>5</v>
      </c>
      <c r="G8" s="51">
        <f>SUMIFS(MASTER!D3:D338,MASTER!A3:A338,'CALCULATOR (Courtney)'!$C$8,MASTER!B3:B338,'CALCULATOR (Courtney)'!$D$8,MASTER!C3:C338,'CALCULATOR (Courtney)'!$E$8)</f>
        <v>24.353985555555557</v>
      </c>
      <c r="H8" s="51">
        <f t="shared" si="0"/>
        <v>121.76992777777778</v>
      </c>
      <c r="I8" s="86"/>
      <c r="K8" s="153" t="s">
        <v>12</v>
      </c>
      <c r="L8" s="170">
        <f>SUM(L2:L7)</f>
        <v>0</v>
      </c>
      <c r="M8" s="170">
        <f>SUM(M2:M7)</f>
        <v>0</v>
      </c>
      <c r="O8" s="153" t="s">
        <v>12</v>
      </c>
      <c r="P8" s="170">
        <f>SUM(P2:P7)</f>
        <v>0</v>
      </c>
      <c r="Q8" s="170">
        <f>SUM(Q2:Q7)</f>
        <v>0</v>
      </c>
    </row>
    <row r="9" spans="1:17" x14ac:dyDescent="0.25">
      <c r="A9" s="86"/>
      <c r="B9" s="61" t="s">
        <v>18</v>
      </c>
      <c r="C9" s="63"/>
      <c r="D9" s="63"/>
      <c r="E9" s="64"/>
      <c r="F9" s="9"/>
      <c r="G9" s="51">
        <f>SUMIFS(MASTER!D3:D338,MASTER!A3:A338,'CALCULATOR (Courtney)'!$C$9,MASTER!B3:B338,'CALCULATOR (Courtney)'!$D$9,MASTER!C3:C338,'CALCULATOR (Courtney)'!$E$9)</f>
        <v>0</v>
      </c>
      <c r="H9" s="51">
        <f t="shared" si="0"/>
        <v>0</v>
      </c>
      <c r="I9" s="86"/>
      <c r="K9" s="153" t="s">
        <v>24</v>
      </c>
      <c r="L9" s="8"/>
      <c r="M9" s="8"/>
      <c r="O9" s="153" t="s">
        <v>24</v>
      </c>
      <c r="P9" s="8"/>
      <c r="Q9" s="8"/>
    </row>
    <row r="10" spans="1:17" x14ac:dyDescent="0.25">
      <c r="A10" s="86"/>
      <c r="B10" s="61" t="s">
        <v>20</v>
      </c>
      <c r="C10" s="63"/>
      <c r="D10" s="63"/>
      <c r="E10" s="64"/>
      <c r="F10" s="9"/>
      <c r="G10" s="51">
        <f>SUMIFS(MASTER!D3:D338,MASTER!A3:A338,'CALCULATOR (Courtney)'!$C$10,MASTER!B3:B338,'CALCULATOR (Courtney)'!$D$10,MASTER!C3:C338,'CALCULATOR (Courtney)'!$E$10)</f>
        <v>0</v>
      </c>
      <c r="H10" s="51">
        <f t="shared" si="0"/>
        <v>0</v>
      </c>
      <c r="I10" s="86"/>
      <c r="K10" s="153" t="s">
        <v>12</v>
      </c>
      <c r="L10" s="170">
        <f>L8*L9</f>
        <v>0</v>
      </c>
      <c r="M10" s="170">
        <f>M8*M9</f>
        <v>0</v>
      </c>
      <c r="N10" s="71"/>
      <c r="O10" s="153" t="s">
        <v>12</v>
      </c>
      <c r="P10" s="170">
        <f>P8*P9</f>
        <v>0</v>
      </c>
      <c r="Q10" s="170">
        <f>Q8*Q9</f>
        <v>0</v>
      </c>
    </row>
    <row r="11" spans="1:17" x14ac:dyDescent="0.25">
      <c r="A11" s="86"/>
      <c r="B11" s="61" t="s">
        <v>22</v>
      </c>
      <c r="C11" s="241"/>
      <c r="D11" s="242"/>
      <c r="E11" s="243"/>
      <c r="F11" s="9"/>
      <c r="G11" s="51">
        <v>0</v>
      </c>
      <c r="H11" s="51">
        <f t="shared" si="0"/>
        <v>0</v>
      </c>
      <c r="I11" s="86"/>
    </row>
    <row r="12" spans="1:17" x14ac:dyDescent="0.25">
      <c r="A12" s="86"/>
      <c r="B12" s="61" t="s">
        <v>25</v>
      </c>
      <c r="C12" s="73"/>
      <c r="D12" s="74"/>
      <c r="E12" s="74"/>
      <c r="F12" s="9">
        <v>1</v>
      </c>
      <c r="G12" s="51">
        <v>18</v>
      </c>
      <c r="H12" s="51">
        <f t="shared" ref="H12:H13" si="1">(F12*G12)</f>
        <v>18</v>
      </c>
      <c r="I12" s="86"/>
    </row>
    <row r="13" spans="1:17" x14ac:dyDescent="0.25">
      <c r="A13" s="86"/>
      <c r="B13" s="273" t="s">
        <v>26</v>
      </c>
      <c r="C13" s="174" t="s">
        <v>27</v>
      </c>
      <c r="D13" s="174" t="s">
        <v>28</v>
      </c>
      <c r="E13" s="174" t="s">
        <v>29</v>
      </c>
      <c r="F13" s="244">
        <v>2</v>
      </c>
      <c r="G13" s="246">
        <f>E14</f>
        <v>95</v>
      </c>
      <c r="H13" s="246">
        <f t="shared" si="1"/>
        <v>190</v>
      </c>
      <c r="I13" s="86"/>
      <c r="N13" s="71"/>
      <c r="P13" s="71"/>
      <c r="Q13" s="70"/>
    </row>
    <row r="14" spans="1:17" x14ac:dyDescent="0.25">
      <c r="A14" s="86"/>
      <c r="B14" s="274"/>
      <c r="C14" s="64" t="str">
        <f>F28</f>
        <v>BAY OF PLENTY</v>
      </c>
      <c r="D14" s="64" t="str">
        <f>VLOOKUP(C14,'MEASURE UP''S'!$A$1:$B$31,2,FALSE)</f>
        <v>TOP FLYTE STAIRS</v>
      </c>
      <c r="E14" s="177">
        <f>VLOOKUP(D14,'MEASURE UP''S'!$B$1:$C$30,2,FALSE)</f>
        <v>95</v>
      </c>
      <c r="F14" s="245"/>
      <c r="G14" s="247"/>
      <c r="H14" s="247"/>
      <c r="I14" s="86"/>
      <c r="N14" s="71"/>
      <c r="P14" s="71"/>
      <c r="Q14" s="70"/>
    </row>
    <row r="15" spans="1:17" x14ac:dyDescent="0.25">
      <c r="A15" s="86"/>
      <c r="B15" s="61" t="s">
        <v>30</v>
      </c>
      <c r="C15" s="66"/>
      <c r="D15" s="202"/>
      <c r="E15" s="202"/>
      <c r="F15" s="9">
        <v>10</v>
      </c>
      <c r="G15" s="51">
        <v>1.58</v>
      </c>
      <c r="H15" s="51">
        <f>(F15*G15)</f>
        <v>15.8</v>
      </c>
      <c r="I15" s="86"/>
      <c r="N15" s="71"/>
      <c r="P15" s="71"/>
    </row>
    <row r="16" spans="1:17" ht="6" customHeight="1" x14ac:dyDescent="0.25">
      <c r="A16" s="86"/>
      <c r="B16" s="90"/>
      <c r="C16" s="203"/>
      <c r="D16" s="203"/>
      <c r="E16" s="203"/>
      <c r="F16" s="203"/>
      <c r="G16" s="203"/>
      <c r="H16" s="91"/>
      <c r="I16" s="86"/>
      <c r="N16" s="71"/>
      <c r="Q16" s="70"/>
    </row>
    <row r="17" spans="1:21" x14ac:dyDescent="0.25">
      <c r="A17" s="86"/>
      <c r="B17" s="92" t="s">
        <v>31</v>
      </c>
      <c r="C17" s="60" t="s">
        <v>32</v>
      </c>
      <c r="D17" s="60" t="s">
        <v>72</v>
      </c>
      <c r="E17" s="60" t="s">
        <v>34</v>
      </c>
      <c r="F17" s="60" t="s">
        <v>24</v>
      </c>
      <c r="G17" s="81"/>
      <c r="H17" s="248">
        <f>(E18/F18)</f>
        <v>84.22</v>
      </c>
      <c r="I17" s="86"/>
      <c r="N17" s="71"/>
      <c r="P17" s="228"/>
    </row>
    <row r="18" spans="1:21" x14ac:dyDescent="0.25">
      <c r="A18" s="86"/>
      <c r="B18" s="93"/>
      <c r="C18" s="9">
        <v>3.5</v>
      </c>
      <c r="D18" s="9">
        <v>220</v>
      </c>
      <c r="E18" s="78">
        <v>84.22</v>
      </c>
      <c r="F18" s="69">
        <v>1</v>
      </c>
      <c r="G18" s="81"/>
      <c r="H18" s="249"/>
      <c r="I18" s="86"/>
      <c r="Q18" s="70"/>
    </row>
    <row r="19" spans="1:21" ht="6" customHeight="1" x14ac:dyDescent="0.25">
      <c r="A19" s="86"/>
      <c r="B19" s="90"/>
      <c r="C19" s="203"/>
      <c r="D19" s="203"/>
      <c r="E19" s="203"/>
      <c r="F19" s="203"/>
      <c r="G19" s="203"/>
      <c r="H19" s="91"/>
      <c r="I19" s="86"/>
    </row>
    <row r="20" spans="1:21" x14ac:dyDescent="0.25">
      <c r="A20" s="86"/>
      <c r="B20" s="62" t="s">
        <v>35</v>
      </c>
      <c r="C20" s="67"/>
      <c r="D20" s="68"/>
      <c r="E20" s="68"/>
      <c r="F20" s="79"/>
      <c r="G20" s="80"/>
      <c r="H20" s="58">
        <f>SUM(H4:H18)</f>
        <v>990.51081611111101</v>
      </c>
      <c r="I20" s="86"/>
      <c r="L20" t="s">
        <v>73</v>
      </c>
      <c r="M20" t="s">
        <v>74</v>
      </c>
      <c r="Q20" s="70"/>
    </row>
    <row r="21" spans="1:21" x14ac:dyDescent="0.25">
      <c r="A21" s="207"/>
      <c r="B21" s="181"/>
      <c r="C21" s="181"/>
      <c r="D21" s="181"/>
      <c r="E21" s="181"/>
      <c r="F21" s="181"/>
      <c r="G21" s="181"/>
      <c r="H21" s="181"/>
      <c r="I21" s="208"/>
      <c r="K21" t="s">
        <v>75</v>
      </c>
      <c r="M21" s="225"/>
      <c r="N21" s="71"/>
      <c r="O21" s="225"/>
      <c r="Q21" s="70"/>
    </row>
    <row r="22" spans="1:21" ht="15.75" thickBot="1" x14ac:dyDescent="0.3"/>
    <row r="23" spans="1:21" ht="24" customHeight="1" x14ac:dyDescent="0.25">
      <c r="B23" s="155" t="s">
        <v>36</v>
      </c>
      <c r="C23" s="156" t="s">
        <v>37</v>
      </c>
      <c r="D23"/>
      <c r="E23" s="250" t="s">
        <v>38</v>
      </c>
      <c r="F23" s="251"/>
      <c r="G23" s="251"/>
      <c r="H23" s="251"/>
      <c r="I23" s="252"/>
      <c r="M23" s="225"/>
      <c r="P23" s="228"/>
    </row>
    <row r="24" spans="1:21" x14ac:dyDescent="0.25">
      <c r="B24" s="62" t="s">
        <v>39</v>
      </c>
      <c r="C24" s="95">
        <f>VLOOKUP(F28,REGIONS!$A:$B,2,FALSE)</f>
        <v>0.6</v>
      </c>
      <c r="D24"/>
      <c r="E24" s="97" t="s">
        <v>40</v>
      </c>
      <c r="F24" s="236">
        <v>45965</v>
      </c>
      <c r="G24" s="237"/>
      <c r="H24" s="237"/>
      <c r="I24" s="238"/>
      <c r="P24" s="225"/>
      <c r="S24" t="s">
        <v>76</v>
      </c>
      <c r="T24">
        <v>19</v>
      </c>
    </row>
    <row r="25" spans="1:21" x14ac:dyDescent="0.25">
      <c r="B25" s="62" t="s">
        <v>41</v>
      </c>
      <c r="C25" s="96">
        <f>(H20/(1-C24))</f>
        <v>2476.2770402777774</v>
      </c>
      <c r="D25"/>
      <c r="E25" s="97" t="s">
        <v>42</v>
      </c>
      <c r="F25" s="253"/>
      <c r="G25" s="254"/>
      <c r="H25" s="254"/>
      <c r="I25" s="255"/>
      <c r="M25" s="225"/>
      <c r="S25" t="s">
        <v>77</v>
      </c>
      <c r="T25">
        <v>4</v>
      </c>
    </row>
    <row r="26" spans="1:21" x14ac:dyDescent="0.25">
      <c r="E26" s="98" t="s">
        <v>43</v>
      </c>
      <c r="F26" s="253" t="s">
        <v>702</v>
      </c>
      <c r="G26" s="254"/>
      <c r="H26" s="254"/>
      <c r="I26" s="255"/>
      <c r="R26" s="225"/>
      <c r="S26" t="s">
        <v>78</v>
      </c>
      <c r="T26">
        <v>2</v>
      </c>
    </row>
    <row r="27" spans="1:21" ht="15.75" thickBot="1" x14ac:dyDescent="0.3">
      <c r="B27" s="94" t="s">
        <v>44</v>
      </c>
      <c r="C27" s="94"/>
      <c r="E27" s="98" t="s">
        <v>45</v>
      </c>
      <c r="F27" s="257" t="s">
        <v>703</v>
      </c>
      <c r="G27" s="258"/>
      <c r="H27" s="258"/>
      <c r="I27" s="259"/>
      <c r="M27" s="225"/>
      <c r="S27" t="s">
        <v>79</v>
      </c>
      <c r="T27">
        <v>2</v>
      </c>
    </row>
    <row r="28" spans="1:21" ht="15.75" thickBot="1" x14ac:dyDescent="0.3">
      <c r="B28" s="62" t="s">
        <v>39</v>
      </c>
      <c r="C28" s="95">
        <v>0.4</v>
      </c>
      <c r="E28" s="226" t="s">
        <v>46</v>
      </c>
      <c r="F28" s="268" t="s">
        <v>47</v>
      </c>
      <c r="G28" s="269"/>
      <c r="H28" s="269"/>
      <c r="I28" s="270"/>
      <c r="M28" s="225"/>
      <c r="P28" s="228"/>
    </row>
    <row r="29" spans="1:21" ht="15.75" customHeight="1" x14ac:dyDescent="0.25">
      <c r="B29" s="62" t="s">
        <v>41</v>
      </c>
      <c r="C29" s="96">
        <f>(H20/(1-C28))</f>
        <v>1650.8513601851851</v>
      </c>
      <c r="E29" s="98" t="s">
        <v>48</v>
      </c>
      <c r="F29" s="263" t="s">
        <v>63</v>
      </c>
      <c r="G29" s="264"/>
      <c r="H29" s="264"/>
      <c r="I29" s="265"/>
      <c r="T29" s="225"/>
    </row>
    <row r="30" spans="1:21" ht="15.75" thickBot="1" x14ac:dyDescent="0.3">
      <c r="E30" s="151" t="s">
        <v>50</v>
      </c>
      <c r="F30" s="253" t="s">
        <v>51</v>
      </c>
      <c r="G30" s="254"/>
      <c r="H30" s="254"/>
      <c r="I30" s="255"/>
      <c r="M30" s="225"/>
      <c r="O30" s="225"/>
      <c r="P30" s="225"/>
      <c r="Q30" s="225"/>
      <c r="U30" s="229"/>
    </row>
    <row r="31" spans="1:21" ht="15.75" thickBot="1" x14ac:dyDescent="0.3">
      <c r="E31" s="3"/>
      <c r="F31" s="3"/>
      <c r="G31" s="3"/>
      <c r="H31" s="3"/>
      <c r="I31" s="3"/>
      <c r="L31" s="225"/>
      <c r="O31" s="229"/>
      <c r="Q31" s="225"/>
    </row>
    <row r="32" spans="1:21" ht="15.75" customHeight="1" thickBot="1" x14ac:dyDescent="0.3">
      <c r="E32" s="227" t="s">
        <v>52</v>
      </c>
      <c r="F32" s="232" t="s">
        <v>704</v>
      </c>
      <c r="G32" s="233"/>
      <c r="H32" s="233"/>
      <c r="I32" s="234"/>
      <c r="K32" s="225"/>
      <c r="M32" s="228"/>
      <c r="N32" s="225"/>
      <c r="O32" s="225"/>
      <c r="P32" s="225"/>
      <c r="R32" s="225"/>
    </row>
    <row r="33" spans="4:16" ht="15.75" thickBot="1" x14ac:dyDescent="0.3">
      <c r="E33" s="98" t="s">
        <v>52</v>
      </c>
      <c r="F33" s="256"/>
      <c r="G33" s="271"/>
      <c r="H33" s="271"/>
      <c r="I33" s="272"/>
      <c r="K33" s="225"/>
      <c r="P33" s="225"/>
    </row>
    <row r="34" spans="4:16" ht="15.75" thickBot="1" x14ac:dyDescent="0.3">
      <c r="D34" s="3" t="s">
        <v>53</v>
      </c>
      <c r="E34" s="98" t="s">
        <v>52</v>
      </c>
      <c r="F34" s="232"/>
      <c r="G34" s="233"/>
      <c r="H34" s="233"/>
      <c r="I34" s="234"/>
      <c r="M34" s="228"/>
      <c r="N34" s="225"/>
      <c r="O34" s="82"/>
      <c r="P34" s="82"/>
    </row>
    <row r="35" spans="4:16" ht="15.75" thickBot="1" x14ac:dyDescent="0.3">
      <c r="E35" s="151" t="s">
        <v>52</v>
      </c>
      <c r="F35" s="232"/>
      <c r="G35" s="233"/>
      <c r="H35" s="233"/>
      <c r="I35" s="234"/>
      <c r="K35" s="225"/>
      <c r="N35" s="99"/>
      <c r="P35" s="228"/>
    </row>
    <row r="36" spans="4:16" ht="15.75" thickBot="1" x14ac:dyDescent="0.3">
      <c r="E36" s="151" t="s">
        <v>52</v>
      </c>
      <c r="F36" s="232"/>
      <c r="G36" s="233"/>
      <c r="H36" s="233"/>
      <c r="I36" s="234"/>
      <c r="K36" s="225"/>
    </row>
    <row r="37" spans="4:16" x14ac:dyDescent="0.25">
      <c r="K37" s="225"/>
    </row>
  </sheetData>
  <mergeCells count="23">
    <mergeCell ref="B13:B14"/>
    <mergeCell ref="F13:F14"/>
    <mergeCell ref="G13:G14"/>
    <mergeCell ref="H13:H14"/>
    <mergeCell ref="F30:I30"/>
    <mergeCell ref="E23:I23"/>
    <mergeCell ref="F25:I25"/>
    <mergeCell ref="F26:I26"/>
    <mergeCell ref="H17:H18"/>
    <mergeCell ref="F24:I24"/>
    <mergeCell ref="F27:I27"/>
    <mergeCell ref="F28:I28"/>
    <mergeCell ref="F35:I35"/>
    <mergeCell ref="F36:I36"/>
    <mergeCell ref="F29:I29"/>
    <mergeCell ref="F34:I34"/>
    <mergeCell ref="F33:I33"/>
    <mergeCell ref="F32:I32"/>
    <mergeCell ref="C2:C3"/>
    <mergeCell ref="D2:D3"/>
    <mergeCell ref="E2:E3"/>
    <mergeCell ref="C7:E7"/>
    <mergeCell ref="C11:E11"/>
  </mergeCells>
  <phoneticPr fontId="6" type="noConversion"/>
  <dataValidations count="9">
    <dataValidation type="list" allowBlank="1" showInputMessage="1" showErrorMessage="1" sqref="D10 D6" xr:uid="{9B16F6E0-6AE7-4113-AB1A-D4FA44BB6444}">
      <formula1>"MDF,PLY UT,PLY H3.2,Solid Pine,External"</formula1>
    </dataValidation>
    <dataValidation type="list" allowBlank="1" showInputMessage="1" showErrorMessage="1" sqref="E5 E9" xr:uid="{908500E9-0C1B-4FFF-8570-A485A7F89E1D}">
      <formula1>"2 Step,3 Step,3 Step (over 180°),4 Step,5 Step (over 180°),6 Step"</formula1>
    </dataValidation>
    <dataValidation type="list" allowBlank="1" showInputMessage="1" showErrorMessage="1" sqref="D5 D9" xr:uid="{2F7447B3-436C-4BBE-A119-F20ABEA18B68}">
      <formula1>"MDF,PLY UT,PLY H3.2,Solid Pine"</formula1>
    </dataValidation>
    <dataValidation type="list" allowBlank="1" showInputMessage="1" showErrorMessage="1" sqref="F9 F5" xr:uid="{CAC4D255-5C83-485A-901B-6F33AD5D1FFE}">
      <formula1>"1,2,3,4"</formula1>
    </dataValidation>
    <dataValidation type="list" allowBlank="1" showInputMessage="1" showErrorMessage="1" sqref="D4 D8" xr:uid="{E9819F99-3DD7-49CA-8870-54E80BC9C171}">
      <formula1>"Up to 300mm,Over 300mm, OPEN RISE,EX 25MM,EX 50MM"</formula1>
    </dataValidation>
    <dataValidation type="list" allowBlank="1" showInputMessage="1" showErrorMessage="1" sqref="E10 E6" xr:uid="{D8719337-D357-4FD6-A6DC-4D2380AA108D}">
      <formula1>"1.0m2"</formula1>
    </dataValidation>
    <dataValidation type="list" allowBlank="1" showInputMessage="1" showErrorMessage="1" sqref="E4 E8" xr:uid="{4E34DBBD-A866-45D4-AD9B-D940B3BC91B8}">
      <formula1>"0.9m,1.0m,1.1m,1.2m,1.4m,1.5m EXT,1.6m,1.8m EXT,2.0m,2.1m EXT,2.4m EXT"</formula1>
    </dataValidation>
    <dataValidation type="list" allowBlank="1" showInputMessage="1" showErrorMessage="1" sqref="F30" xr:uid="{9882AE01-0291-4716-97C8-B133CCF18F2C}">
      <formula1>"Main,Secondary,Accessible,Service"</formula1>
    </dataValidation>
    <dataValidation type="list" allowBlank="1" showInputMessage="1" showErrorMessage="1" sqref="F29" xr:uid="{4F845A3D-0E3E-4383-8913-50E38856D8FF}">
      <formula1>"Internal,External"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249556B-7B50-4F8B-9BAC-E8AAE370ED45}">
          <x14:formula1>
            <xm:f>'(TYPES)'!$C$3:$C$4</xm:f>
          </x14:formula1>
          <xm:sqref>C9 C5</xm:sqref>
        </x14:dataValidation>
        <x14:dataValidation type="list" allowBlank="1" showInputMessage="1" showErrorMessage="1" xr:uid="{DFB24FF5-E2AF-4510-95ED-857FBD4872C9}">
          <x14:formula1>
            <xm:f>'(TYPES)'!$A$3:$A$22</xm:f>
          </x14:formula1>
          <xm:sqref>C8 C4</xm:sqref>
        </x14:dataValidation>
        <x14:dataValidation type="list" allowBlank="1" showInputMessage="1" showErrorMessage="1" xr:uid="{08CC10DD-652A-4ED5-AD0D-62A65FCE05BE}">
          <x14:formula1>
            <xm:f>'(TYPES)'!$E$3</xm:f>
          </x14:formula1>
          <xm:sqref>C10 C6</xm:sqref>
        </x14:dataValidation>
        <x14:dataValidation type="list" allowBlank="1" showInputMessage="1" showErrorMessage="1" xr:uid="{FC9C36D8-80BD-40B7-BA79-C122F5508A2C}">
          <x14:formula1>
            <xm:f>REGIONS!$A$2:$A$31</xm:f>
          </x14:formula1>
          <xm:sqref>F28:I28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C3977-E0CA-4A9B-A535-0C430F91DDD7}">
  <sheetPr codeName="Sheet4">
    <tabColor rgb="FFFFC000"/>
  </sheetPr>
  <dimension ref="A1:H344"/>
  <sheetViews>
    <sheetView topLeftCell="A207" workbookViewId="0">
      <selection activeCell="M228" sqref="M228"/>
    </sheetView>
  </sheetViews>
  <sheetFormatPr defaultRowHeight="15" x14ac:dyDescent="0.25"/>
  <cols>
    <col min="1" max="1" width="28.140625" style="55" bestFit="1" customWidth="1"/>
    <col min="2" max="2" width="12.42578125" bestFit="1" customWidth="1"/>
    <col min="3" max="3" width="15.85546875" style="1" customWidth="1"/>
    <col min="4" max="4" width="31.85546875" style="1" bestFit="1" customWidth="1"/>
    <col min="5" max="6" width="11.85546875" customWidth="1"/>
    <col min="9" max="9" width="11.42578125" bestFit="1" customWidth="1"/>
    <col min="10" max="10" width="10.140625" bestFit="1" customWidth="1"/>
  </cols>
  <sheetData>
    <row r="1" spans="1:6" x14ac:dyDescent="0.25">
      <c r="A1" s="275" t="s">
        <v>81</v>
      </c>
      <c r="B1" s="275" t="s">
        <v>82</v>
      </c>
      <c r="C1" s="275" t="s">
        <v>83</v>
      </c>
      <c r="D1" s="276" t="s">
        <v>84</v>
      </c>
      <c r="E1" s="275" t="s">
        <v>85</v>
      </c>
      <c r="F1" s="275" t="s">
        <v>86</v>
      </c>
    </row>
    <row r="2" spans="1:6" x14ac:dyDescent="0.25">
      <c r="A2" s="275"/>
      <c r="B2" s="275"/>
      <c r="C2" s="275"/>
      <c r="D2" s="277"/>
      <c r="E2" s="275"/>
      <c r="F2" s="275"/>
    </row>
    <row r="3" spans="1:6" x14ac:dyDescent="0.25">
      <c r="A3" s="56" t="s">
        <v>66</v>
      </c>
      <c r="B3" s="52" t="s">
        <v>69</v>
      </c>
      <c r="C3" s="54" t="s">
        <v>16</v>
      </c>
      <c r="D3" s="15">
        <f>'BPSC. (+ Ply)'!G6</f>
        <v>23.084652222222225</v>
      </c>
      <c r="E3" s="65">
        <f>'BPSC (+ Ply)'!D6</f>
        <v>73.553683499999991</v>
      </c>
      <c r="F3" s="65">
        <f>'BPSC (+ Ply)'!F6</f>
        <v>81.726314999999985</v>
      </c>
    </row>
    <row r="4" spans="1:6" x14ac:dyDescent="0.25">
      <c r="A4" s="56" t="s">
        <v>66</v>
      </c>
      <c r="B4" s="52" t="s">
        <v>69</v>
      </c>
      <c r="C4" s="54" t="s">
        <v>70</v>
      </c>
      <c r="D4" s="15">
        <f>'BPSC. (+ Ply)'!G7</f>
        <v>24.353985555555557</v>
      </c>
      <c r="E4" s="65">
        <f>'BPSC (+ Ply)'!D7</f>
        <v>76.841959499999987</v>
      </c>
      <c r="F4" s="65">
        <f>'BPSC (+ Ply)'!F7</f>
        <v>85.379954999999981</v>
      </c>
    </row>
    <row r="5" spans="1:6" x14ac:dyDescent="0.25">
      <c r="A5" s="56" t="s">
        <v>66</v>
      </c>
      <c r="B5" s="52" t="s">
        <v>69</v>
      </c>
      <c r="C5" s="54" t="s">
        <v>87</v>
      </c>
      <c r="D5" s="15">
        <f>'BPSC. (+ Ply)'!G8</f>
        <v>24.683985555555559</v>
      </c>
      <c r="E5" s="65">
        <f>'BPSC (+ Ply)'!D8</f>
        <v>79.246376999999995</v>
      </c>
      <c r="F5" s="65">
        <f>'BPSC (+ Ply)'!F8</f>
        <v>88.05153</v>
      </c>
    </row>
    <row r="6" spans="1:6" x14ac:dyDescent="0.25">
      <c r="A6" s="56" t="s">
        <v>66</v>
      </c>
      <c r="B6" s="52" t="s">
        <v>69</v>
      </c>
      <c r="C6" s="54" t="s">
        <v>88</v>
      </c>
      <c r="D6" s="15">
        <f>'BPSC. (+ Ply)'!G9</f>
        <v>24.683985555555559</v>
      </c>
      <c r="E6" s="65">
        <f>'BPSC (+ Ply)'!D9</f>
        <v>81.523185749999982</v>
      </c>
      <c r="F6" s="65">
        <f>'BPSC (+ Ply)'!F9</f>
        <v>90.581317499999983</v>
      </c>
    </row>
    <row r="7" spans="1:6" x14ac:dyDescent="0.25">
      <c r="A7" s="56" t="s">
        <v>66</v>
      </c>
      <c r="B7" s="52" t="s">
        <v>69</v>
      </c>
      <c r="C7" s="54" t="s">
        <v>68</v>
      </c>
      <c r="D7" s="15">
        <f>'BPSC. (+ Ply)'!G10</f>
        <v>32.983581666666666</v>
      </c>
      <c r="E7" s="65">
        <f>'BPSC (+ Ply)'!D10</f>
        <v>89.073593999999986</v>
      </c>
      <c r="F7" s="65">
        <f>'BPSC (+ Ply)'!F10</f>
        <v>98.970659999999981</v>
      </c>
    </row>
    <row r="8" spans="1:6" x14ac:dyDescent="0.25">
      <c r="A8" s="56" t="s">
        <v>66</v>
      </c>
      <c r="B8" s="52" t="s">
        <v>69</v>
      </c>
      <c r="C8" s="54" t="s">
        <v>56</v>
      </c>
      <c r="D8" s="15">
        <f>'BPSC. (+ Ply)'!G11</f>
        <v>38.290241666666674</v>
      </c>
      <c r="E8" s="65">
        <f>'BPSC (+ Ply)'!D11</f>
        <v>92.826634499999983</v>
      </c>
      <c r="F8" s="65">
        <f>'BPSC (+ Ply)'!F11</f>
        <v>103.14070499999998</v>
      </c>
    </row>
    <row r="9" spans="1:6" x14ac:dyDescent="0.25">
      <c r="A9" s="56" t="s">
        <v>66</v>
      </c>
      <c r="B9" s="52" t="s">
        <v>69</v>
      </c>
      <c r="C9" s="54" t="s">
        <v>89</v>
      </c>
      <c r="D9" s="15">
        <f>'BPSC. (+ Ply)'!G12</f>
        <v>45.041568333333331</v>
      </c>
      <c r="E9" s="65">
        <f>'BPSC (+ Ply)'!D12</f>
        <v>117.9204075</v>
      </c>
      <c r="F9" s="65">
        <f>'BPSC (+ Ply)'!F12</f>
        <v>131.02267499999999</v>
      </c>
    </row>
    <row r="10" spans="1:6" ht="6" customHeight="1" x14ac:dyDescent="0.25"/>
    <row r="11" spans="1:6" x14ac:dyDescent="0.25">
      <c r="A11" s="56" t="s">
        <v>66</v>
      </c>
      <c r="B11" s="52" t="s">
        <v>67</v>
      </c>
      <c r="C11" s="54" t="s">
        <v>16</v>
      </c>
      <c r="D11" s="15">
        <f>'BPSC. (+ Ply)'!G17</f>
        <v>25.249985555555558</v>
      </c>
      <c r="E11" s="65">
        <f>'BPSC (+ Ply)'!D17</f>
        <v>79.163095499999983</v>
      </c>
      <c r="F11" s="65">
        <f>'BPSC (+ Ply)'!F17</f>
        <v>87.958994999999987</v>
      </c>
    </row>
    <row r="12" spans="1:6" x14ac:dyDescent="0.25">
      <c r="A12" s="56" t="s">
        <v>66</v>
      </c>
      <c r="B12" s="52" t="s">
        <v>67</v>
      </c>
      <c r="C12" s="54" t="s">
        <v>70</v>
      </c>
      <c r="D12" s="15">
        <f>'BPSC. (+ Ply)'!G18</f>
        <v>25.249985555555558</v>
      </c>
      <c r="E12" s="65">
        <f>'BPSC (+ Ply)'!D18</f>
        <v>79.29569699999999</v>
      </c>
      <c r="F12" s="65">
        <f>'BPSC (+ Ply)'!F18</f>
        <v>88.106329999999986</v>
      </c>
    </row>
    <row r="13" spans="1:6" x14ac:dyDescent="0.25">
      <c r="A13" s="56" t="s">
        <v>66</v>
      </c>
      <c r="B13" s="52" t="s">
        <v>67</v>
      </c>
      <c r="C13" s="54" t="s">
        <v>87</v>
      </c>
      <c r="D13" s="15">
        <f>'BPSC. (+ Ply)'!G19</f>
        <v>25.579985555555556</v>
      </c>
      <c r="E13" s="65">
        <f>'BPSC (+ Ply)'!D19</f>
        <v>81.567513000000005</v>
      </c>
      <c r="F13" s="65">
        <f>'BPSC (+ Ply)'!F19</f>
        <v>90.630570000000006</v>
      </c>
    </row>
    <row r="14" spans="1:6" x14ac:dyDescent="0.25">
      <c r="A14" s="56" t="s">
        <v>66</v>
      </c>
      <c r="B14" s="52" t="s">
        <v>67</v>
      </c>
      <c r="C14" s="54" t="s">
        <v>88</v>
      </c>
      <c r="D14" s="15">
        <f>'BPSC. (+ Ply)'!G20</f>
        <v>25.579985555555556</v>
      </c>
      <c r="E14" s="65">
        <f>'BPSC (+ Ply)'!D20</f>
        <v>83.844321750000006</v>
      </c>
      <c r="F14" s="65">
        <f>'BPSC (+ Ply)'!F20</f>
        <v>93.160357500000003</v>
      </c>
    </row>
    <row r="15" spans="1:6" x14ac:dyDescent="0.25">
      <c r="A15" s="56" t="s">
        <v>66</v>
      </c>
      <c r="B15" s="52" t="s">
        <v>67</v>
      </c>
      <c r="C15" s="54" t="s">
        <v>68</v>
      </c>
      <c r="D15" s="15">
        <f>'BPSC. (+ Ply)'!G21</f>
        <v>35.447581666666672</v>
      </c>
      <c r="E15" s="65">
        <f>'BPSC (+ Ply)'!D21</f>
        <v>95.456717999999981</v>
      </c>
      <c r="F15" s="65">
        <f>'BPSC (+ Ply)'!F21</f>
        <v>106.06301999999998</v>
      </c>
    </row>
    <row r="16" spans="1:6" x14ac:dyDescent="0.25">
      <c r="A16" s="56" t="s">
        <v>66</v>
      </c>
      <c r="B16" s="52" t="s">
        <v>67</v>
      </c>
      <c r="C16" s="54" t="s">
        <v>56</v>
      </c>
      <c r="D16" s="15">
        <f>'BPSC. (+ Ply)'!G22</f>
        <v>41.099575000000002</v>
      </c>
      <c r="E16" s="65">
        <f>'BPSC (+ Ply)'!D22</f>
        <v>100.10436299999999</v>
      </c>
      <c r="F16" s="65">
        <f>'BPSC (+ Ply)'!F22</f>
        <v>111.22707</v>
      </c>
    </row>
    <row r="17" spans="1:8" x14ac:dyDescent="0.25">
      <c r="A17" s="56" t="s">
        <v>66</v>
      </c>
      <c r="B17" s="52" t="s">
        <v>67</v>
      </c>
      <c r="C17" s="54" t="s">
        <v>89</v>
      </c>
      <c r="D17" s="15">
        <f>'BPSC. (+ Ply)'!G23</f>
        <v>48.550901666666661</v>
      </c>
      <c r="E17" s="65">
        <f>'BPSC (+ Ply)'!D23</f>
        <v>127.51404749999998</v>
      </c>
      <c r="F17" s="65">
        <f>'BPSC (+ Ply)'!F23</f>
        <v>141.68227499999998</v>
      </c>
    </row>
    <row r="18" spans="1:8" ht="6" customHeight="1" x14ac:dyDescent="0.25"/>
    <row r="19" spans="1:8" x14ac:dyDescent="0.25">
      <c r="A19" s="56" t="s">
        <v>90</v>
      </c>
      <c r="B19" s="52" t="s">
        <v>69</v>
      </c>
      <c r="C19" s="54" t="s">
        <v>16</v>
      </c>
      <c r="D19" s="15">
        <f>'BPSC. (+ Ply)'!O6</f>
        <v>26.930652222222225</v>
      </c>
      <c r="E19" s="65">
        <f>'BPSC (+ Ply)'!P6</f>
        <v>79.881795000000011</v>
      </c>
      <c r="F19" s="65">
        <f>'BPSC (+ Ply)'!R6</f>
        <v>88.757550000000009</v>
      </c>
    </row>
    <row r="20" spans="1:8" x14ac:dyDescent="0.25">
      <c r="A20" s="56" t="s">
        <v>90</v>
      </c>
      <c r="B20" s="52" t="s">
        <v>69</v>
      </c>
      <c r="C20" s="54" t="s">
        <v>70</v>
      </c>
      <c r="D20" s="15">
        <f>'BPSC. (+ Ply)'!O7</f>
        <v>28.76931888888889</v>
      </c>
      <c r="E20" s="65">
        <f>'BPSC (+ Ply)'!P7</f>
        <v>85.942889999999977</v>
      </c>
      <c r="F20" s="65">
        <f>'BPSC (+ Ply)'!R7</f>
        <v>95.492099999999979</v>
      </c>
    </row>
    <row r="21" spans="1:8" x14ac:dyDescent="0.25">
      <c r="A21" s="56" t="s">
        <v>90</v>
      </c>
      <c r="B21" s="52" t="s">
        <v>69</v>
      </c>
      <c r="C21" s="54" t="s">
        <v>87</v>
      </c>
      <c r="D21" s="15">
        <f>'BPSC. (+ Ply)'!O8</f>
        <v>29.359318888888886</v>
      </c>
      <c r="E21" s="65">
        <f>'BPSC (+ Ply)'!P8</f>
        <v>87.392115000000004</v>
      </c>
      <c r="F21" s="65">
        <f>'BPSC (+ Ply)'!R8</f>
        <v>97.102350000000001</v>
      </c>
    </row>
    <row r="22" spans="1:8" x14ac:dyDescent="0.25">
      <c r="A22" s="56" t="s">
        <v>90</v>
      </c>
      <c r="B22" s="52" t="s">
        <v>69</v>
      </c>
      <c r="C22" s="54" t="s">
        <v>88</v>
      </c>
      <c r="D22" s="15">
        <f>'BPSC. (+ Ply)'!O9</f>
        <v>29.359318888888886</v>
      </c>
      <c r="E22" s="65">
        <f>'BPSC (+ Ply)'!P9</f>
        <v>89.56595249999998</v>
      </c>
      <c r="F22" s="65">
        <f>'BPSC (+ Ply)'!R9</f>
        <v>99.517724999999984</v>
      </c>
    </row>
    <row r="23" spans="1:8" x14ac:dyDescent="0.25">
      <c r="A23" s="56" t="s">
        <v>90</v>
      </c>
      <c r="B23" s="52" t="s">
        <v>69</v>
      </c>
      <c r="C23" s="54" t="s">
        <v>68</v>
      </c>
      <c r="D23" s="15">
        <f>'BPSC. (+ Ply)'!O10</f>
        <v>38.434248333333336</v>
      </c>
      <c r="E23" s="65">
        <f>'BPSC (+ Ply)'!P10</f>
        <v>98.719155000000001</v>
      </c>
      <c r="F23" s="65">
        <f>'BPSC (+ Ply)'!R10</f>
        <v>109.68795</v>
      </c>
    </row>
    <row r="24" spans="1:8" x14ac:dyDescent="0.25">
      <c r="A24" s="56" t="s">
        <v>90</v>
      </c>
      <c r="B24" s="52" t="s">
        <v>69</v>
      </c>
      <c r="C24" s="54" t="s">
        <v>56</v>
      </c>
      <c r="D24" s="15">
        <f>'BPSC. (+ Ply)'!O11</f>
        <v>44.526908333333338</v>
      </c>
      <c r="E24" s="65">
        <f>'BPSC (+ Ply)'!P11</f>
        <v>104.274945</v>
      </c>
      <c r="F24" s="65">
        <f>'BPSC (+ Ply)'!R11</f>
        <v>115.86105000000001</v>
      </c>
    </row>
    <row r="25" spans="1:8" x14ac:dyDescent="0.25">
      <c r="A25" s="56" t="s">
        <v>90</v>
      </c>
      <c r="B25" s="52" t="s">
        <v>69</v>
      </c>
      <c r="C25" s="54" t="s">
        <v>89</v>
      </c>
      <c r="D25" s="15">
        <f>'BPSC. (+ Ply)'!O12</f>
        <v>52.830234999999995</v>
      </c>
      <c r="E25" s="65">
        <f>'BPSC (+ Ply)'!P12</f>
        <v>126.2300625</v>
      </c>
      <c r="F25" s="65">
        <f>'BPSC (+ Ply)'!R12</f>
        <v>140.25562500000001</v>
      </c>
    </row>
    <row r="26" spans="1:8" ht="6" customHeight="1" x14ac:dyDescent="0.25">
      <c r="E26" s="1"/>
      <c r="F26" s="1"/>
      <c r="G26" s="1"/>
      <c r="H26" s="1"/>
    </row>
    <row r="27" spans="1:8" x14ac:dyDescent="0.25">
      <c r="A27" s="56" t="s">
        <v>90</v>
      </c>
      <c r="B27" s="52" t="s">
        <v>67</v>
      </c>
      <c r="C27" s="54" t="s">
        <v>16</v>
      </c>
      <c r="D27" s="15">
        <f>'BPSC. (+ Ply)'!O17</f>
        <v>30.075985555555558</v>
      </c>
      <c r="E27" s="65">
        <f>'BPSC (+ Ply)'!P17</f>
        <v>87.661439999999999</v>
      </c>
      <c r="F27" s="65">
        <f>'BPSC (+ Ply)'!R17</f>
        <v>97.401600000000002</v>
      </c>
    </row>
    <row r="28" spans="1:8" x14ac:dyDescent="0.25">
      <c r="A28" s="56" t="s">
        <v>90</v>
      </c>
      <c r="B28" s="52" t="s">
        <v>67</v>
      </c>
      <c r="C28" s="54" t="s">
        <v>70</v>
      </c>
      <c r="D28" s="15">
        <f>'BPSC. (+ Ply)'!O18</f>
        <v>30.075985555555558</v>
      </c>
      <c r="E28" s="65">
        <f>'BPSC (+ Ply)'!P18</f>
        <v>89.174789999999987</v>
      </c>
      <c r="F28" s="65">
        <f>'BPSC (+ Ply)'!R18</f>
        <v>99.083099999999988</v>
      </c>
    </row>
    <row r="29" spans="1:8" x14ac:dyDescent="0.25">
      <c r="A29" s="56" t="s">
        <v>90</v>
      </c>
      <c r="B29" s="52" t="s">
        <v>67</v>
      </c>
      <c r="C29" s="54" t="s">
        <v>87</v>
      </c>
      <c r="D29" s="15">
        <f>'BPSC. (+ Ply)'!O19</f>
        <v>30.665985555555554</v>
      </c>
      <c r="E29" s="65">
        <f>'BPSC (+ Ply)'!P19</f>
        <v>90.624015000000014</v>
      </c>
      <c r="F29" s="65">
        <f>'BPSC (+ Ply)'!R19</f>
        <v>100.69335000000001</v>
      </c>
    </row>
    <row r="30" spans="1:8" x14ac:dyDescent="0.25">
      <c r="A30" s="56" t="s">
        <v>90</v>
      </c>
      <c r="B30" s="52" t="s">
        <v>67</v>
      </c>
      <c r="C30" s="54" t="s">
        <v>88</v>
      </c>
      <c r="D30" s="15">
        <f>'BPSC. (+ Ply)'!O20</f>
        <v>30.665985555555554</v>
      </c>
      <c r="E30" s="65">
        <f>'BPSC (+ Ply)'!P20</f>
        <v>92.797852500000005</v>
      </c>
      <c r="F30" s="65">
        <f>'BPSC (+ Ply)'!R20</f>
        <v>103.10872500000001</v>
      </c>
    </row>
    <row r="31" spans="1:8" x14ac:dyDescent="0.25">
      <c r="A31" s="56" t="s">
        <v>90</v>
      </c>
      <c r="B31" s="52" t="s">
        <v>67</v>
      </c>
      <c r="C31" s="54" t="s">
        <v>68</v>
      </c>
      <c r="D31" s="15">
        <f>'BPSC. (+ Ply)'!O21</f>
        <v>41.999581666666671</v>
      </c>
      <c r="E31" s="65">
        <f>'BPSC (+ Ply)'!P21</f>
        <v>107.53762499999999</v>
      </c>
      <c r="F31" s="65">
        <f>'BPSC (+ Ply)'!R21</f>
        <v>119.48625</v>
      </c>
    </row>
    <row r="32" spans="1:8" x14ac:dyDescent="0.25">
      <c r="A32" s="56" t="s">
        <v>90</v>
      </c>
      <c r="B32" s="52" t="s">
        <v>67</v>
      </c>
      <c r="C32" s="54" t="s">
        <v>56</v>
      </c>
      <c r="D32" s="15">
        <f>'BPSC. (+ Ply)'!O22</f>
        <v>48.605575000000002</v>
      </c>
      <c r="E32" s="65">
        <f>'BPSC (+ Ply)'!P22</f>
        <v>114.36309</v>
      </c>
      <c r="F32" s="65">
        <f>'BPSC (+ Ply)'!R22</f>
        <v>127.0701</v>
      </c>
    </row>
    <row r="33" spans="1:6" x14ac:dyDescent="0.25">
      <c r="A33" s="56" t="s">
        <v>90</v>
      </c>
      <c r="B33" s="52" t="s">
        <v>67</v>
      </c>
      <c r="C33" s="54" t="s">
        <v>89</v>
      </c>
      <c r="D33" s="15">
        <f>'BPSC. (+ Ply)'!O23</f>
        <v>57.926234999999998</v>
      </c>
      <c r="E33" s="65">
        <f>'BPSC (+ Ply)'!P23</f>
        <v>138.8344725</v>
      </c>
      <c r="F33" s="65">
        <f>'BPSC (+ Ply)'!R23</f>
        <v>154.260525</v>
      </c>
    </row>
    <row r="34" spans="1:6" ht="6" customHeight="1" x14ac:dyDescent="0.25"/>
    <row r="35" spans="1:6" ht="14.85" customHeight="1" x14ac:dyDescent="0.25">
      <c r="A35" s="56" t="s">
        <v>91</v>
      </c>
      <c r="B35" s="52" t="s">
        <v>69</v>
      </c>
      <c r="C35" s="54" t="s">
        <v>16</v>
      </c>
      <c r="D35" s="15">
        <f>'BPSC. (+ Ply)'!G31</f>
        <v>24.650252222222221</v>
      </c>
      <c r="E35" s="65">
        <f>'BPSC (+ Ply)'!D31</f>
        <v>77.844626865671643</v>
      </c>
      <c r="F35" s="65">
        <f>'BPSC (+ Ply)'!F31</f>
        <v>86.494029850746273</v>
      </c>
    </row>
    <row r="36" spans="1:6" ht="14.85" customHeight="1" x14ac:dyDescent="0.25">
      <c r="A36" s="56" t="s">
        <v>91</v>
      </c>
      <c r="B36" s="52" t="s">
        <v>69</v>
      </c>
      <c r="C36" s="54" t="s">
        <v>70</v>
      </c>
      <c r="D36" s="15">
        <f>'BPSC. (+ Ply)'!G32</f>
        <v>25.919585555555557</v>
      </c>
      <c r="E36" s="65">
        <f>'BPSC (+ Ply)'!D32</f>
        <v>81.132985074626887</v>
      </c>
      <c r="F36" s="65">
        <f>'BPSC (+ Ply)'!F32</f>
        <v>90.147761194029869</v>
      </c>
    </row>
    <row r="37" spans="1:6" ht="14.85" customHeight="1" x14ac:dyDescent="0.25">
      <c r="A37" s="56" t="s">
        <v>91</v>
      </c>
      <c r="B37" s="52" t="s">
        <v>69</v>
      </c>
      <c r="C37" s="54" t="s">
        <v>87</v>
      </c>
      <c r="D37" s="15">
        <f>'BPSC. (+ Ply)'!G33</f>
        <v>26.249585555555555</v>
      </c>
      <c r="E37" s="65">
        <f>'BPSC (+ Ply)'!D33</f>
        <v>83.537462686567167</v>
      </c>
      <c r="F37" s="65">
        <f>'BPSC (+ Ply)'!F33</f>
        <v>92.819402985074632</v>
      </c>
    </row>
    <row r="38" spans="1:6" ht="14.85" customHeight="1" x14ac:dyDescent="0.25">
      <c r="A38" s="56" t="s">
        <v>91</v>
      </c>
      <c r="B38" s="52" t="s">
        <v>69</v>
      </c>
      <c r="C38" s="54" t="s">
        <v>88</v>
      </c>
      <c r="D38" s="15">
        <f>'BPSC. (+ Ply)'!G34</f>
        <v>26.249585555555555</v>
      </c>
      <c r="E38" s="65">
        <f>'BPSC (+ Ply)'!D34</f>
        <v>85.814328358208954</v>
      </c>
      <c r="F38" s="65">
        <f>'BPSC (+ Ply)'!F34</f>
        <v>95.349253731343282</v>
      </c>
    </row>
    <row r="39" spans="1:6" ht="14.85" customHeight="1" x14ac:dyDescent="0.25">
      <c r="A39" s="56" t="s">
        <v>91</v>
      </c>
      <c r="B39" s="52" t="s">
        <v>69</v>
      </c>
      <c r="C39" s="54" t="s">
        <v>68</v>
      </c>
      <c r="D39" s="15">
        <f>'BPSC. (+ Ply)'!G35</f>
        <v>34.549181666666669</v>
      </c>
      <c r="E39" s="65">
        <f>'BPSC (+ Ply)'!D35</f>
        <v>93.364925373134326</v>
      </c>
      <c r="F39" s="65">
        <f>'BPSC (+ Ply)'!F35</f>
        <v>103.73880597014926</v>
      </c>
    </row>
    <row r="40" spans="1:6" ht="14.85" customHeight="1" x14ac:dyDescent="0.25">
      <c r="A40" s="56" t="s">
        <v>91</v>
      </c>
      <c r="B40" s="52" t="s">
        <v>69</v>
      </c>
      <c r="C40" s="54" t="s">
        <v>56</v>
      </c>
      <c r="D40" s="15">
        <f>'BPSC. (+ Ply)'!G36</f>
        <v>39.85584166666667</v>
      </c>
      <c r="E40" s="65">
        <f>'BPSC (+ Ply)'!D36</f>
        <v>97.11805970149257</v>
      </c>
      <c r="F40" s="65">
        <f>'BPSC (+ Ply)'!F36</f>
        <v>107.90895522388062</v>
      </c>
    </row>
    <row r="41" spans="1:6" ht="14.85" customHeight="1" x14ac:dyDescent="0.25">
      <c r="A41" s="56" t="s">
        <v>91</v>
      </c>
      <c r="B41" s="52" t="s">
        <v>69</v>
      </c>
      <c r="C41" s="54" t="s">
        <v>89</v>
      </c>
      <c r="D41" s="15">
        <f>'BPSC. (+ Ply)'!G37</f>
        <v>46.607168333333334</v>
      </c>
      <c r="E41" s="65">
        <f>'BPSC (+ Ply)'!D37</f>
        <v>116.03552238805969</v>
      </c>
      <c r="F41" s="65">
        <f>'BPSC (+ Ply)'!F37</f>
        <v>128.92835820895522</v>
      </c>
    </row>
    <row r="42" spans="1:6" ht="6" customHeight="1" x14ac:dyDescent="0.25"/>
    <row r="43" spans="1:6" ht="14.85" customHeight="1" x14ac:dyDescent="0.25">
      <c r="A43" s="56" t="s">
        <v>91</v>
      </c>
      <c r="B43" s="52" t="s">
        <v>67</v>
      </c>
      <c r="C43" s="54" t="s">
        <v>16</v>
      </c>
      <c r="D43" s="15">
        <f>'BPSC. (+ Ply)'!G42</f>
        <v>26.815585555555558</v>
      </c>
      <c r="E43" s="65">
        <f>'BPSC (+ Ply)'!D42</f>
        <v>83.454179104477618</v>
      </c>
      <c r="F43" s="65">
        <f>'BPSC (+ Ply)'!F42</f>
        <v>92.726865671641789</v>
      </c>
    </row>
    <row r="44" spans="1:6" ht="14.85" customHeight="1" x14ac:dyDescent="0.25">
      <c r="A44" s="56" t="s">
        <v>91</v>
      </c>
      <c r="B44" s="52" t="s">
        <v>67</v>
      </c>
      <c r="C44" s="54" t="s">
        <v>70</v>
      </c>
      <c r="D44" s="15">
        <f>'BPSC. (+ Ply)'!G43</f>
        <v>26.815585555555558</v>
      </c>
      <c r="E44" s="65">
        <f>'BPSC (+ Ply)'!D43</f>
        <v>83.454179104477618</v>
      </c>
      <c r="F44" s="65">
        <f>'BPSC (+ Ply)'!F43</f>
        <v>92.726865671641789</v>
      </c>
    </row>
    <row r="45" spans="1:6" ht="14.85" customHeight="1" x14ac:dyDescent="0.25">
      <c r="A45" s="56" t="s">
        <v>91</v>
      </c>
      <c r="B45" s="52" t="s">
        <v>67</v>
      </c>
      <c r="C45" s="54" t="s">
        <v>87</v>
      </c>
      <c r="D45" s="15">
        <f>'BPSC. (+ Ply)'!G44</f>
        <v>27.145585555555556</v>
      </c>
      <c r="E45" s="65">
        <f>'BPSC (+ Ply)'!D44</f>
        <v>85.85865671641794</v>
      </c>
      <c r="F45" s="65">
        <f>'BPSC (+ Ply)'!F44</f>
        <v>95.398507462686595</v>
      </c>
    </row>
    <row r="46" spans="1:6" ht="14.85" customHeight="1" x14ac:dyDescent="0.25">
      <c r="A46" s="56" t="s">
        <v>91</v>
      </c>
      <c r="B46" s="52" t="s">
        <v>67</v>
      </c>
      <c r="C46" s="54" t="s">
        <v>88</v>
      </c>
      <c r="D46" s="15">
        <f>'BPSC. (+ Ply)'!G45</f>
        <v>27.145585555555556</v>
      </c>
      <c r="E46" s="65">
        <f>'BPSC (+ Ply)'!D45</f>
        <v>88.135522388059712</v>
      </c>
      <c r="F46" s="65">
        <f>'BPSC (+ Ply)'!F45</f>
        <v>97.928358208955231</v>
      </c>
    </row>
    <row r="47" spans="1:6" ht="14.85" customHeight="1" x14ac:dyDescent="0.25">
      <c r="A47" s="56" t="s">
        <v>91</v>
      </c>
      <c r="B47" s="52" t="s">
        <v>67</v>
      </c>
      <c r="C47" s="54" t="s">
        <v>68</v>
      </c>
      <c r="D47" s="15">
        <f>'BPSC. (+ Ply)'!G46</f>
        <v>37.013181666666668</v>
      </c>
      <c r="E47" s="65">
        <f>'BPSC (+ Ply)'!D46</f>
        <v>99.748208955223873</v>
      </c>
      <c r="F47" s="65">
        <f>'BPSC (+ Ply)'!F46</f>
        <v>110.83134328358209</v>
      </c>
    </row>
    <row r="48" spans="1:6" ht="14.85" customHeight="1" x14ac:dyDescent="0.25">
      <c r="A48" s="56" t="s">
        <v>91</v>
      </c>
      <c r="B48" s="52" t="s">
        <v>67</v>
      </c>
      <c r="C48" s="54" t="s">
        <v>56</v>
      </c>
      <c r="D48" s="15">
        <f>'BPSC. (+ Ply)'!G47</f>
        <v>42.665174999999998</v>
      </c>
      <c r="E48" s="65">
        <f>'BPSC (+ Ply)'!D47</f>
        <v>104.39597014925374</v>
      </c>
      <c r="F48" s="65">
        <f>'BPSC (+ Ply)'!F47</f>
        <v>115.99552238805971</v>
      </c>
    </row>
    <row r="49" spans="1:6" ht="14.85" customHeight="1" x14ac:dyDescent="0.25">
      <c r="A49" s="56" t="s">
        <v>91</v>
      </c>
      <c r="B49" s="52" t="s">
        <v>67</v>
      </c>
      <c r="C49" s="54" t="s">
        <v>89</v>
      </c>
      <c r="D49" s="15">
        <f>'BPSC. (+ Ply)'!G48</f>
        <v>50.116501666666665</v>
      </c>
      <c r="E49" s="65">
        <f>'BPSC (+ Ply)'!D48</f>
        <v>125.1268656716418</v>
      </c>
      <c r="F49" s="65">
        <f>'BPSC (+ Ply)'!F48</f>
        <v>139.02985074626866</v>
      </c>
    </row>
    <row r="50" spans="1:6" ht="6" customHeight="1" x14ac:dyDescent="0.25"/>
    <row r="51" spans="1:6" ht="14.85" customHeight="1" x14ac:dyDescent="0.25">
      <c r="A51" s="56" t="s">
        <v>92</v>
      </c>
      <c r="B51" s="52" t="s">
        <v>69</v>
      </c>
      <c r="C51" s="54" t="s">
        <v>16</v>
      </c>
      <c r="D51" s="15">
        <f>'BPSC. (+ Ply)'!O31</f>
        <v>28.496252222222221</v>
      </c>
      <c r="E51" s="65">
        <f>'BPSC (+ Ply)'!P31</f>
        <v>83.947435897435909</v>
      </c>
      <c r="F51" s="65">
        <f>'BPSC (+ Ply)'!R31</f>
        <v>93.274928774928782</v>
      </c>
    </row>
    <row r="52" spans="1:6" ht="14.85" customHeight="1" x14ac:dyDescent="0.25">
      <c r="A52" s="56" t="s">
        <v>92</v>
      </c>
      <c r="B52" s="52" t="s">
        <v>69</v>
      </c>
      <c r="C52" s="54" t="s">
        <v>70</v>
      </c>
      <c r="D52" s="15">
        <f>'BPSC. (+ Ply)'!O32</f>
        <v>30.33491888888889</v>
      </c>
      <c r="E52" s="65">
        <f>'BPSC (+ Ply)'!P32</f>
        <v>90.006410256410263</v>
      </c>
      <c r="F52" s="65">
        <f>'BPSC (+ Ply)'!R32</f>
        <v>100.00712250712252</v>
      </c>
    </row>
    <row r="53" spans="1:6" ht="14.85" customHeight="1" x14ac:dyDescent="0.25">
      <c r="A53" s="56" t="s">
        <v>92</v>
      </c>
      <c r="B53" s="52" t="s">
        <v>69</v>
      </c>
      <c r="C53" s="54" t="s">
        <v>87</v>
      </c>
      <c r="D53" s="15">
        <f>'BPSC. (+ Ply)'!O33</f>
        <v>30.92491888888889</v>
      </c>
      <c r="E53" s="65">
        <f>'BPSC (+ Ply)'!P33</f>
        <v>91.455128205128219</v>
      </c>
      <c r="F53" s="65">
        <f>'BPSC (+ Ply)'!R33</f>
        <v>101.61680911680914</v>
      </c>
    </row>
    <row r="54" spans="1:6" ht="14.85" customHeight="1" x14ac:dyDescent="0.25">
      <c r="A54" s="56" t="s">
        <v>92</v>
      </c>
      <c r="B54" s="52" t="s">
        <v>69</v>
      </c>
      <c r="C54" s="54" t="s">
        <v>88</v>
      </c>
      <c r="D54" s="15">
        <f>'BPSC. (+ Ply)'!O34</f>
        <v>30.92491888888889</v>
      </c>
      <c r="E54" s="65">
        <f>'BPSC (+ Ply)'!P34</f>
        <v>93.628205128205138</v>
      </c>
      <c r="F54" s="65">
        <f>'BPSC (+ Ply)'!R34</f>
        <v>104.03133903133904</v>
      </c>
    </row>
    <row r="55" spans="1:6" ht="14.85" customHeight="1" x14ac:dyDescent="0.25">
      <c r="A55" s="56" t="s">
        <v>92</v>
      </c>
      <c r="B55" s="52" t="s">
        <v>69</v>
      </c>
      <c r="C55" s="54" t="s">
        <v>68</v>
      </c>
      <c r="D55" s="15">
        <f>'BPSC. (+ Ply)'!O35</f>
        <v>39.999848333333333</v>
      </c>
      <c r="E55" s="65">
        <f>'BPSC (+ Ply)'!P35</f>
        <v>102.77820512820513</v>
      </c>
      <c r="F55" s="65">
        <f>'BPSC (+ Ply)'!R35</f>
        <v>114.1980056980057</v>
      </c>
    </row>
    <row r="56" spans="1:6" ht="14.85" customHeight="1" x14ac:dyDescent="0.25">
      <c r="A56" s="56" t="s">
        <v>92</v>
      </c>
      <c r="B56" s="52" t="s">
        <v>69</v>
      </c>
      <c r="C56" s="54" t="s">
        <v>56</v>
      </c>
      <c r="D56" s="15">
        <f>'BPSC. (+ Ply)'!O36</f>
        <v>46.092508333333328</v>
      </c>
      <c r="E56" s="65">
        <f>'BPSC (+ Ply)'!P36</f>
        <v>108.33205128205128</v>
      </c>
      <c r="F56" s="65">
        <f>'BPSC (+ Ply)'!R36</f>
        <v>120.36894586894587</v>
      </c>
    </row>
    <row r="57" spans="1:6" ht="14.85" customHeight="1" x14ac:dyDescent="0.25">
      <c r="A57" s="56" t="s">
        <v>92</v>
      </c>
      <c r="B57" s="52" t="s">
        <v>69</v>
      </c>
      <c r="C57" s="54" t="s">
        <v>89</v>
      </c>
      <c r="D57" s="15">
        <f>'BPSC. (+ Ply)'!O37</f>
        <v>54.395835000000005</v>
      </c>
      <c r="E57" s="65">
        <f>'BPSC (+ Ply)'!P37</f>
        <v>130.27948717948721</v>
      </c>
      <c r="F57" s="65">
        <f>'BPSC (+ Ply)'!R37</f>
        <v>144.75498575498577</v>
      </c>
    </row>
    <row r="58" spans="1:6" ht="6" customHeight="1" x14ac:dyDescent="0.25">
      <c r="E58" s="1"/>
      <c r="F58" s="1"/>
    </row>
    <row r="59" spans="1:6" ht="14.85" customHeight="1" x14ac:dyDescent="0.25">
      <c r="A59" s="56" t="s">
        <v>92</v>
      </c>
      <c r="B59" s="52" t="s">
        <v>67</v>
      </c>
      <c r="C59" s="54" t="s">
        <v>16</v>
      </c>
      <c r="D59" s="15">
        <f>'BPSC. (+ Ply)'!O42</f>
        <v>31.641585555555558</v>
      </c>
      <c r="E59" s="65">
        <f>'BPSC (+ Ply)'!P42</f>
        <v>91.724358974358964</v>
      </c>
      <c r="F59" s="65">
        <f>'BPSC (+ Ply)'!R42</f>
        <v>101.9159544159544</v>
      </c>
    </row>
    <row r="60" spans="1:6" ht="14.85" customHeight="1" x14ac:dyDescent="0.25">
      <c r="A60" s="56" t="s">
        <v>92</v>
      </c>
      <c r="B60" s="52" t="s">
        <v>67</v>
      </c>
      <c r="C60" s="54" t="s">
        <v>70</v>
      </c>
      <c r="D60" s="15">
        <f>'BPSC. (+ Ply)'!O43</f>
        <v>31.641585555555558</v>
      </c>
      <c r="E60" s="65">
        <f>'BPSC (+ Ply)'!P43</f>
        <v>93.237179487179489</v>
      </c>
      <c r="F60" s="65">
        <f>'BPSC (+ Ply)'!R43</f>
        <v>103.59686609686609</v>
      </c>
    </row>
    <row r="61" spans="1:6" ht="14.85" customHeight="1" x14ac:dyDescent="0.25">
      <c r="A61" s="56" t="s">
        <v>92</v>
      </c>
      <c r="B61" s="52" t="s">
        <v>67</v>
      </c>
      <c r="C61" s="54" t="s">
        <v>87</v>
      </c>
      <c r="D61" s="15">
        <f>'BPSC. (+ Ply)'!O44</f>
        <v>32.231585555555554</v>
      </c>
      <c r="E61" s="65">
        <f>'BPSC (+ Ply)'!P44</f>
        <v>94.685897435897431</v>
      </c>
      <c r="F61" s="65">
        <f>'BPSC (+ Ply)'!R44</f>
        <v>105.2065527065527</v>
      </c>
    </row>
    <row r="62" spans="1:6" ht="14.85" customHeight="1" x14ac:dyDescent="0.25">
      <c r="A62" s="56" t="s">
        <v>92</v>
      </c>
      <c r="B62" s="52" t="s">
        <v>67</v>
      </c>
      <c r="C62" s="54" t="s">
        <v>88</v>
      </c>
      <c r="D62" s="15">
        <f>'BPSC. (+ Ply)'!O45</f>
        <v>32.231585555555554</v>
      </c>
      <c r="E62" s="65">
        <f>'BPSC (+ Ply)'!P45</f>
        <v>96.858974358974365</v>
      </c>
      <c r="F62" s="65">
        <f>'BPSC (+ Ply)'!R45</f>
        <v>107.62108262108262</v>
      </c>
    </row>
    <row r="63" spans="1:6" ht="14.85" customHeight="1" x14ac:dyDescent="0.25">
      <c r="A63" s="56" t="s">
        <v>92</v>
      </c>
      <c r="B63" s="52" t="s">
        <v>67</v>
      </c>
      <c r="C63" s="54" t="s">
        <v>68</v>
      </c>
      <c r="D63" s="15">
        <f>'BPSC. (+ Ply)'!O46</f>
        <v>43.565181666666668</v>
      </c>
      <c r="E63" s="65">
        <f>'BPSC (+ Ply)'!P46</f>
        <v>111.59358974358973</v>
      </c>
      <c r="F63" s="65">
        <f>'BPSC (+ Ply)'!R46</f>
        <v>123.99287749287748</v>
      </c>
    </row>
    <row r="64" spans="1:6" ht="14.85" customHeight="1" x14ac:dyDescent="0.25">
      <c r="A64" s="56" t="s">
        <v>92</v>
      </c>
      <c r="B64" s="52" t="s">
        <v>67</v>
      </c>
      <c r="C64" s="54" t="s">
        <v>56</v>
      </c>
      <c r="D64" s="15">
        <f>'BPSC. (+ Ply)'!O47</f>
        <v>50.171174999999998</v>
      </c>
      <c r="E64" s="65">
        <f>'BPSC (+ Ply)'!P47</f>
        <v>118.41666666666667</v>
      </c>
      <c r="F64" s="65">
        <f>'BPSC (+ Ply)'!R47</f>
        <v>131.57407407407408</v>
      </c>
    </row>
    <row r="65" spans="1:6" ht="14.85" customHeight="1" x14ac:dyDescent="0.25">
      <c r="A65" s="56" t="s">
        <v>92</v>
      </c>
      <c r="B65" s="52" t="s">
        <v>67</v>
      </c>
      <c r="C65" s="54" t="s">
        <v>89</v>
      </c>
      <c r="D65" s="15">
        <f>'BPSC. (+ Ply)'!O48</f>
        <v>59.491835000000009</v>
      </c>
      <c r="E65" s="65">
        <f>'BPSC (+ Ply)'!P48</f>
        <v>142.8794871794872</v>
      </c>
      <c r="F65" s="65">
        <f>'BPSC (+ Ply)'!R48</f>
        <v>158.75498575498577</v>
      </c>
    </row>
    <row r="66" spans="1:6" ht="6" customHeight="1" x14ac:dyDescent="0.25"/>
    <row r="67" spans="1:6" x14ac:dyDescent="0.25">
      <c r="A67" s="56" t="s">
        <v>93</v>
      </c>
      <c r="B67" s="52" t="s">
        <v>69</v>
      </c>
      <c r="C67" s="54" t="s">
        <v>16</v>
      </c>
      <c r="D67" s="15">
        <f>'BPSC. (+ Ply)'!G56</f>
        <v>26.915052222222226</v>
      </c>
      <c r="E67" s="65">
        <f>'BPSC (+ Ply)'!D56</f>
        <v>84.447000000000003</v>
      </c>
      <c r="F67" s="65">
        <f>'BPSC (+ Ply)'!F56</f>
        <v>93.83</v>
      </c>
    </row>
    <row r="68" spans="1:6" ht="14.85" customHeight="1" x14ac:dyDescent="0.25">
      <c r="A68" s="56" t="s">
        <v>93</v>
      </c>
      <c r="B68" s="52" t="s">
        <v>69</v>
      </c>
      <c r="C68" s="54" t="s">
        <v>70</v>
      </c>
      <c r="D68" s="15">
        <f>'BPSC. (+ Ply)'!G57</f>
        <v>28.184385555555554</v>
      </c>
      <c r="E68" s="65">
        <f>'BPSC (+ Ply)'!D57</f>
        <v>87.731999999999999</v>
      </c>
      <c r="F68" s="65">
        <f>'BPSC (+ Ply)'!F57</f>
        <v>97.48</v>
      </c>
    </row>
    <row r="69" spans="1:6" ht="14.85" customHeight="1" x14ac:dyDescent="0.25">
      <c r="A69" s="56" t="s">
        <v>93</v>
      </c>
      <c r="B69" s="52" t="s">
        <v>69</v>
      </c>
      <c r="C69" s="54" t="s">
        <v>87</v>
      </c>
      <c r="D69" s="15">
        <f>'BPSC. (+ Ply)'!G58</f>
        <v>28.514385555555556</v>
      </c>
      <c r="E69" s="65">
        <f>'BPSC (+ Ply)'!D58</f>
        <v>90.144000000000005</v>
      </c>
      <c r="F69" s="65">
        <f>'BPSC (+ Ply)'!F58</f>
        <v>100.16000000000001</v>
      </c>
    </row>
    <row r="70" spans="1:6" ht="14.85" customHeight="1" x14ac:dyDescent="0.25">
      <c r="A70" s="56" t="s">
        <v>93</v>
      </c>
      <c r="B70" s="52" t="s">
        <v>69</v>
      </c>
      <c r="C70" s="54" t="s">
        <v>88</v>
      </c>
      <c r="D70" s="15">
        <f>'BPSC. (+ Ply)'!G59</f>
        <v>28.514385555555556</v>
      </c>
      <c r="E70" s="65">
        <f>'BPSC (+ Ply)'!D59</f>
        <v>92.421000000000006</v>
      </c>
      <c r="F70" s="65">
        <f>'BPSC (+ Ply)'!F59</f>
        <v>102.69000000000001</v>
      </c>
    </row>
    <row r="71" spans="1:6" ht="14.85" customHeight="1" x14ac:dyDescent="0.25">
      <c r="A71" s="56" t="s">
        <v>93</v>
      </c>
      <c r="B71" s="52" t="s">
        <v>69</v>
      </c>
      <c r="C71" s="54" t="s">
        <v>68</v>
      </c>
      <c r="D71" s="15">
        <f>'BPSC. (+ Ply)'!G60</f>
        <v>37.961581666666667</v>
      </c>
      <c r="E71" s="65">
        <f>'BPSC (+ Ply)'!D60</f>
        <v>99.963000000000008</v>
      </c>
      <c r="F71" s="65">
        <f>'BPSC (+ Ply)'!F60</f>
        <v>111.07000000000001</v>
      </c>
    </row>
    <row r="72" spans="1:6" ht="14.85" customHeight="1" x14ac:dyDescent="0.25">
      <c r="A72" s="56" t="s">
        <v>93</v>
      </c>
      <c r="B72" s="52" t="s">
        <v>69</v>
      </c>
      <c r="C72" s="54" t="s">
        <v>56</v>
      </c>
      <c r="D72" s="15">
        <f>'BPSC. (+ Ply)'!G61</f>
        <v>43.268241666666668</v>
      </c>
      <c r="E72" s="65">
        <f>'BPSC (+ Ply)'!D61</f>
        <v>103.71600000000001</v>
      </c>
      <c r="F72" s="65">
        <f>'BPSC (+ Ply)'!F61</f>
        <v>115.24000000000001</v>
      </c>
    </row>
    <row r="73" spans="1:6" x14ac:dyDescent="0.25">
      <c r="A73" s="56" t="s">
        <v>93</v>
      </c>
      <c r="B73" s="52" t="s">
        <v>69</v>
      </c>
      <c r="C73" s="54" t="s">
        <v>89</v>
      </c>
      <c r="D73" s="15">
        <f>'BPSC. (+ Ply)'!G62</f>
        <v>50.019568333333339</v>
      </c>
      <c r="E73" s="65">
        <f>'BPSC (+ Ply)'!D62</f>
        <v>129.41999999999999</v>
      </c>
      <c r="F73" s="65">
        <f>'BPSC (+ Ply)'!F62</f>
        <v>143.79999999999998</v>
      </c>
    </row>
    <row r="74" spans="1:6" ht="6" customHeight="1" x14ac:dyDescent="0.25"/>
    <row r="75" spans="1:6" x14ac:dyDescent="0.25">
      <c r="A75" s="56" t="s">
        <v>93</v>
      </c>
      <c r="B75" s="52" t="s">
        <v>67</v>
      </c>
      <c r="C75" s="54" t="s">
        <v>16</v>
      </c>
      <c r="D75" s="15">
        <f>'BPSC. (+ Ply)'!G67</f>
        <v>29.080385555555559</v>
      </c>
      <c r="E75" s="65">
        <f>'BPSC (+ Ply)'!D67</f>
        <v>90.054000000000002</v>
      </c>
      <c r="F75" s="65">
        <f>'BPSC (+ Ply)'!F67</f>
        <v>100.06</v>
      </c>
    </row>
    <row r="76" spans="1:6" ht="14.85" customHeight="1" x14ac:dyDescent="0.25">
      <c r="A76" s="56" t="s">
        <v>93</v>
      </c>
      <c r="B76" s="52" t="s">
        <v>67</v>
      </c>
      <c r="C76" s="54" t="s">
        <v>70</v>
      </c>
      <c r="D76" s="15">
        <f>'BPSC. (+ Ply)'!G68</f>
        <v>29.080385555555559</v>
      </c>
      <c r="E76" s="65">
        <f>'BPSC (+ Ply)'!D68</f>
        <v>90.054402985074631</v>
      </c>
      <c r="F76" s="65">
        <f>'BPSC (+ Ply)'!F68</f>
        <v>100.06044776119403</v>
      </c>
    </row>
    <row r="77" spans="1:6" ht="14.85" customHeight="1" x14ac:dyDescent="0.25">
      <c r="A77" s="56" t="s">
        <v>93</v>
      </c>
      <c r="B77" s="52" t="s">
        <v>67</v>
      </c>
      <c r="C77" s="54" t="s">
        <v>87</v>
      </c>
      <c r="D77" s="15">
        <f>'BPSC. (+ Ply)'!G69</f>
        <v>29.410385555555557</v>
      </c>
      <c r="E77" s="65">
        <f>'BPSC (+ Ply)'!D69</f>
        <v>92.457000000000008</v>
      </c>
      <c r="F77" s="65">
        <f>'BPSC (+ Ply)'!F69</f>
        <v>102.73</v>
      </c>
    </row>
    <row r="78" spans="1:6" ht="14.85" customHeight="1" x14ac:dyDescent="0.25">
      <c r="A78" s="56" t="s">
        <v>93</v>
      </c>
      <c r="B78" s="52" t="s">
        <v>67</v>
      </c>
      <c r="C78" s="54" t="s">
        <v>88</v>
      </c>
      <c r="D78" s="15">
        <f>'BPSC. (+ Ply)'!G70</f>
        <v>29.410385555555557</v>
      </c>
      <c r="E78" s="65">
        <f>'BPSC (+ Ply)'!D70</f>
        <v>94.734000000000009</v>
      </c>
      <c r="F78" s="65">
        <f>'BPSC (+ Ply)'!F70</f>
        <v>105.26</v>
      </c>
    </row>
    <row r="79" spans="1:6" x14ac:dyDescent="0.25">
      <c r="A79" s="56" t="s">
        <v>93</v>
      </c>
      <c r="B79" s="52" t="s">
        <v>67</v>
      </c>
      <c r="C79" s="54" t="s">
        <v>68</v>
      </c>
      <c r="D79" s="15">
        <f>'BPSC. (+ Ply)'!G71</f>
        <v>40.425581666666666</v>
      </c>
      <c r="E79" s="65">
        <f>'BPSC (+ Ply)'!D71</f>
        <v>106.35300000000001</v>
      </c>
      <c r="F79" s="65">
        <f>'BPSC (+ Ply)'!F71</f>
        <v>118.17</v>
      </c>
    </row>
    <row r="80" spans="1:6" x14ac:dyDescent="0.25">
      <c r="A80" s="56" t="s">
        <v>93</v>
      </c>
      <c r="B80" s="52" t="s">
        <v>67</v>
      </c>
      <c r="C80" s="54" t="s">
        <v>56</v>
      </c>
      <c r="D80" s="15">
        <f>'BPSC. (+ Ply)'!G72</f>
        <v>46.077575000000003</v>
      </c>
      <c r="E80" s="65">
        <f>'BPSC (+ Ply)'!D72</f>
        <v>110.997</v>
      </c>
      <c r="F80" s="65">
        <f>'BPSC (+ Ply)'!F72</f>
        <v>123.33</v>
      </c>
    </row>
    <row r="81" spans="1:6" x14ac:dyDescent="0.25">
      <c r="A81" s="56" t="s">
        <v>93</v>
      </c>
      <c r="B81" s="52" t="s">
        <v>67</v>
      </c>
      <c r="C81" s="54" t="s">
        <v>89</v>
      </c>
      <c r="D81" s="15">
        <f>'BPSC. (+ Ply)'!G73</f>
        <v>53.528901666666663</v>
      </c>
      <c r="E81" s="65">
        <f>'BPSC (+ Ply)'!D73</f>
        <v>139.01399999999998</v>
      </c>
      <c r="F81" s="65">
        <f>'BPSC (+ Ply)'!F73</f>
        <v>154.45999999999998</v>
      </c>
    </row>
    <row r="82" spans="1:6" ht="6" customHeight="1" x14ac:dyDescent="0.25"/>
    <row r="83" spans="1:6" ht="14.85" customHeight="1" x14ac:dyDescent="0.25">
      <c r="A83" s="56" t="s">
        <v>94</v>
      </c>
      <c r="B83" s="52" t="s">
        <v>69</v>
      </c>
      <c r="C83" s="54" t="s">
        <v>16</v>
      </c>
      <c r="D83" s="15">
        <f>'BPSC. (+ Ply)'!O56</f>
        <v>30.761052222222226</v>
      </c>
      <c r="E83" s="65">
        <f>'BPSC (+ Ply)'!P56</f>
        <v>90.278999999999996</v>
      </c>
      <c r="F83" s="65">
        <f>'BPSC (+ Ply)'!R56</f>
        <v>100.31</v>
      </c>
    </row>
    <row r="84" spans="1:6" ht="14.85" customHeight="1" x14ac:dyDescent="0.25">
      <c r="A84" s="56" t="s">
        <v>94</v>
      </c>
      <c r="B84" s="52" t="s">
        <v>69</v>
      </c>
      <c r="C84" s="54" t="s">
        <v>70</v>
      </c>
      <c r="D84" s="15">
        <f>'BPSC. (+ Ply)'!O57</f>
        <v>32.599718888888887</v>
      </c>
      <c r="E84" s="65">
        <f>'BPSC (+ Ply)'!P57</f>
        <v>96.345000000000013</v>
      </c>
      <c r="F84" s="65">
        <f>'BPSC (+ Ply)'!R57</f>
        <v>107.05000000000001</v>
      </c>
    </row>
    <row r="85" spans="1:6" ht="14.85" customHeight="1" x14ac:dyDescent="0.25">
      <c r="A85" s="56" t="s">
        <v>94</v>
      </c>
      <c r="B85" s="52" t="s">
        <v>69</v>
      </c>
      <c r="C85" s="54" t="s">
        <v>87</v>
      </c>
      <c r="D85" s="15">
        <f>'BPSC. (+ Ply)'!O58</f>
        <v>33.189718888888891</v>
      </c>
      <c r="E85" s="65">
        <f>'BPSC (+ Ply)'!P58</f>
        <v>97.794000000000011</v>
      </c>
      <c r="F85" s="65">
        <f>'BPSC (+ Ply)'!R58</f>
        <v>108.66000000000001</v>
      </c>
    </row>
    <row r="86" spans="1:6" x14ac:dyDescent="0.25">
      <c r="A86" s="56" t="s">
        <v>94</v>
      </c>
      <c r="B86" s="52" t="s">
        <v>69</v>
      </c>
      <c r="C86" s="54" t="s">
        <v>88</v>
      </c>
      <c r="D86" s="15">
        <f>'BPSC. (+ Ply)'!O59</f>
        <v>33.189718888888891</v>
      </c>
      <c r="E86" s="65">
        <f>'BPSC (+ Ply)'!P59</f>
        <v>99.963000000000008</v>
      </c>
      <c r="F86" s="65">
        <f>'BPSC (+ Ply)'!R59</f>
        <v>111.07000000000001</v>
      </c>
    </row>
    <row r="87" spans="1:6" x14ac:dyDescent="0.25">
      <c r="A87" s="56" t="s">
        <v>94</v>
      </c>
      <c r="B87" s="52" t="s">
        <v>69</v>
      </c>
      <c r="C87" s="54" t="s">
        <v>68</v>
      </c>
      <c r="D87" s="15">
        <f>'BPSC. (+ Ply)'!O60</f>
        <v>43.412248333333338</v>
      </c>
      <c r="E87" s="65">
        <f>'BPSC (+ Ply)'!P60</f>
        <v>109.11600000000001</v>
      </c>
      <c r="F87" s="65">
        <f>'BPSC (+ Ply)'!R60</f>
        <v>121.24000000000001</v>
      </c>
    </row>
    <row r="88" spans="1:6" x14ac:dyDescent="0.25">
      <c r="A88" s="56" t="s">
        <v>94</v>
      </c>
      <c r="B88" s="52" t="s">
        <v>69</v>
      </c>
      <c r="C88" s="54" t="s">
        <v>56</v>
      </c>
      <c r="D88" s="15">
        <f>'BPSC. (+ Ply)'!O61</f>
        <v>49.504908333333326</v>
      </c>
      <c r="E88" s="65">
        <f>'BPSC (+ Ply)'!P61</f>
        <v>114.678</v>
      </c>
      <c r="F88" s="65">
        <f>'BPSC (+ Ply)'!R61</f>
        <v>127.42</v>
      </c>
    </row>
    <row r="89" spans="1:6" x14ac:dyDescent="0.25">
      <c r="A89" s="56" t="s">
        <v>94</v>
      </c>
      <c r="B89" s="52" t="s">
        <v>69</v>
      </c>
      <c r="C89" s="54" t="s">
        <v>89</v>
      </c>
      <c r="D89" s="15">
        <f>'BPSC. (+ Ply)'!O62</f>
        <v>57.808234999999996</v>
      </c>
      <c r="E89" s="65">
        <f>'BPSC (+ Ply)'!P62</f>
        <v>136.62899999999999</v>
      </c>
      <c r="F89" s="65">
        <f>'BPSC (+ Ply)'!R62</f>
        <v>151.81</v>
      </c>
    </row>
    <row r="90" spans="1:6" ht="6" customHeight="1" x14ac:dyDescent="0.25">
      <c r="E90" s="1"/>
      <c r="F90" s="1"/>
    </row>
    <row r="91" spans="1:6" ht="14.85" customHeight="1" x14ac:dyDescent="0.25">
      <c r="A91" s="56" t="s">
        <v>94</v>
      </c>
      <c r="B91" s="52" t="s">
        <v>67</v>
      </c>
      <c r="C91" s="54" t="s">
        <v>16</v>
      </c>
      <c r="D91" s="15">
        <f>'BPSC. (+ Ply)'!O67</f>
        <v>33.906385555555559</v>
      </c>
      <c r="E91" s="65">
        <f>'BPSC (+ Ply)'!P67</f>
        <v>98.064000000000007</v>
      </c>
      <c r="F91" s="65">
        <f>'BPSC (+ Ply)'!R67</f>
        <v>108.96000000000001</v>
      </c>
    </row>
    <row r="92" spans="1:6" ht="14.85" customHeight="1" x14ac:dyDescent="0.25">
      <c r="A92" s="56" t="s">
        <v>94</v>
      </c>
      <c r="B92" s="52" t="s">
        <v>67</v>
      </c>
      <c r="C92" s="54" t="s">
        <v>70</v>
      </c>
      <c r="D92" s="15">
        <f>'BPSC. (+ Ply)'!O68</f>
        <v>33.906385555555559</v>
      </c>
      <c r="E92" s="65">
        <f>'BPSC (+ Ply)'!P68</f>
        <v>99.575999999999993</v>
      </c>
      <c r="F92" s="65">
        <f>'BPSC (+ Ply)'!R68</f>
        <v>110.64</v>
      </c>
    </row>
    <row r="93" spans="1:6" ht="14.85" customHeight="1" x14ac:dyDescent="0.25">
      <c r="A93" s="56" t="s">
        <v>94</v>
      </c>
      <c r="B93" s="52" t="s">
        <v>67</v>
      </c>
      <c r="C93" s="54" t="s">
        <v>87</v>
      </c>
      <c r="D93" s="15">
        <f>'BPSC. (+ Ply)'!O69</f>
        <v>34.496385555555555</v>
      </c>
      <c r="E93" s="65">
        <f>'BPSC (+ Ply)'!P69</f>
        <v>101.02500000000001</v>
      </c>
      <c r="F93" s="65">
        <f>'BPSC (+ Ply)'!R69</f>
        <v>112.25</v>
      </c>
    </row>
    <row r="94" spans="1:6" ht="14.85" customHeight="1" x14ac:dyDescent="0.25">
      <c r="A94" s="56" t="s">
        <v>94</v>
      </c>
      <c r="B94" s="52" t="s">
        <v>67</v>
      </c>
      <c r="C94" s="54" t="s">
        <v>88</v>
      </c>
      <c r="D94" s="15">
        <f>'BPSC. (+ Ply)'!O70</f>
        <v>34.496385555555555</v>
      </c>
      <c r="E94" s="65">
        <f>'BPSC (+ Ply)'!P70</f>
        <v>103.203</v>
      </c>
      <c r="F94" s="65">
        <f>'BPSC (+ Ply)'!R70</f>
        <v>114.67</v>
      </c>
    </row>
    <row r="95" spans="1:6" ht="14.85" customHeight="1" x14ac:dyDescent="0.25">
      <c r="A95" s="56" t="s">
        <v>94</v>
      </c>
      <c r="B95" s="52" t="s">
        <v>67</v>
      </c>
      <c r="C95" s="54" t="s">
        <v>68</v>
      </c>
      <c r="D95" s="15">
        <f>'BPSC. (+ Ply)'!O71</f>
        <v>46.977581666666673</v>
      </c>
      <c r="E95" s="65">
        <f>'BPSC (+ Ply)'!P71</f>
        <v>117.93599999999999</v>
      </c>
      <c r="F95" s="65">
        <f>'BPSC (+ Ply)'!R71</f>
        <v>131.04</v>
      </c>
    </row>
    <row r="96" spans="1:6" ht="14.85" customHeight="1" x14ac:dyDescent="0.25">
      <c r="A96" s="56" t="s">
        <v>94</v>
      </c>
      <c r="B96" s="52" t="s">
        <v>67</v>
      </c>
      <c r="C96" s="54" t="s">
        <v>56</v>
      </c>
      <c r="D96" s="15">
        <f>'BPSC. (+ Ply)'!O72</f>
        <v>53.583574999999996</v>
      </c>
      <c r="E96" s="65">
        <f>'BPSC (+ Ply)'!P72</f>
        <v>124.767</v>
      </c>
      <c r="F96" s="65">
        <f>'BPSC (+ Ply)'!R72</f>
        <v>138.63</v>
      </c>
    </row>
    <row r="97" spans="1:7" ht="14.85" customHeight="1" x14ac:dyDescent="0.25">
      <c r="A97" s="56" t="s">
        <v>94</v>
      </c>
      <c r="B97" s="52" t="s">
        <v>67</v>
      </c>
      <c r="C97" s="54" t="s">
        <v>89</v>
      </c>
      <c r="D97" s="15">
        <f>'BPSC. (+ Ply)'!O73</f>
        <v>62.904235</v>
      </c>
      <c r="E97" s="65">
        <f>'BPSC (+ Ply)'!P73</f>
        <v>149.238</v>
      </c>
      <c r="F97" s="65">
        <f>'BPSC (+ Ply)'!R73</f>
        <v>165.82</v>
      </c>
    </row>
    <row r="98" spans="1:7" ht="6" customHeight="1" x14ac:dyDescent="0.25"/>
    <row r="99" spans="1:7" x14ac:dyDescent="0.25">
      <c r="A99" s="56" t="s">
        <v>95</v>
      </c>
      <c r="B99" s="52" t="s">
        <v>69</v>
      </c>
      <c r="C99" s="54" t="s">
        <v>16</v>
      </c>
      <c r="D99" s="15">
        <f>'BPSC. (+ Ply)'!G81</f>
        <v>26.263582777777781</v>
      </c>
      <c r="E99" s="65">
        <f>'BPSC (+ Ply)'!D81</f>
        <v>84.356999999999999</v>
      </c>
      <c r="F99" s="65">
        <f>'BPSC (+ Ply)'!F81</f>
        <v>93.73</v>
      </c>
    </row>
    <row r="100" spans="1:7" x14ac:dyDescent="0.25">
      <c r="A100" s="56" t="s">
        <v>95</v>
      </c>
      <c r="B100" s="52" t="s">
        <v>69</v>
      </c>
      <c r="C100" s="54" t="s">
        <v>70</v>
      </c>
      <c r="D100" s="15">
        <f>'BPSC. (+ Ply)'!G82</f>
        <v>27.53291611111111</v>
      </c>
      <c r="E100" s="65">
        <f>'BPSC (+ Ply)'!D82</f>
        <v>87.64200000000001</v>
      </c>
      <c r="F100" s="65">
        <f>'BPSC (+ Ply)'!F82</f>
        <v>97.38000000000001</v>
      </c>
    </row>
    <row r="101" spans="1:7" x14ac:dyDescent="0.25">
      <c r="A101" s="56" t="s">
        <v>95</v>
      </c>
      <c r="B101" s="52" t="s">
        <v>69</v>
      </c>
      <c r="C101" s="54" t="s">
        <v>87</v>
      </c>
      <c r="D101" s="15">
        <f>'BPSC. (+ Ply)'!G83</f>
        <v>27.862916111111115</v>
      </c>
      <c r="E101" s="65">
        <f>'BPSC (+ Ply)'!D83</f>
        <v>90.054000000000002</v>
      </c>
      <c r="F101" s="65">
        <f>'BPSC (+ Ply)'!F83</f>
        <v>100.06</v>
      </c>
    </row>
    <row r="102" spans="1:7" x14ac:dyDescent="0.25">
      <c r="A102" s="56" t="s">
        <v>95</v>
      </c>
      <c r="B102" s="52" t="s">
        <v>69</v>
      </c>
      <c r="C102" s="54" t="s">
        <v>88</v>
      </c>
      <c r="D102" s="15">
        <f>'BPSC. (+ Ply)'!G84</f>
        <v>27.862916111111115</v>
      </c>
      <c r="E102" s="65">
        <f>'BPSC (+ Ply)'!D84</f>
        <v>92.331000000000003</v>
      </c>
      <c r="F102" s="65">
        <f>'BPSC (+ Ply)'!F84</f>
        <v>102.59</v>
      </c>
      <c r="G102" s="1"/>
    </row>
    <row r="103" spans="1:7" x14ac:dyDescent="0.25">
      <c r="A103" s="56" t="s">
        <v>95</v>
      </c>
      <c r="B103" s="52" t="s">
        <v>69</v>
      </c>
      <c r="C103" s="54" t="s">
        <v>68</v>
      </c>
      <c r="D103" s="15">
        <f>'BPSC. (+ Ply)'!G85</f>
        <v>36.177712222222226</v>
      </c>
      <c r="E103" s="65">
        <f>'BPSC (+ Ply)'!D85</f>
        <v>99.882000000000005</v>
      </c>
      <c r="F103" s="65">
        <f>'BPSC (+ Ply)'!F85</f>
        <v>110.98</v>
      </c>
    </row>
    <row r="104" spans="1:7" ht="14.85" customHeight="1" x14ac:dyDescent="0.25">
      <c r="A104" s="56" t="s">
        <v>95</v>
      </c>
      <c r="B104" s="52" t="s">
        <v>69</v>
      </c>
      <c r="C104" s="54" t="s">
        <v>56</v>
      </c>
      <c r="D104" s="15">
        <f>'BPSC. (+ Ply)'!G86</f>
        <v>41.48437222222222</v>
      </c>
      <c r="E104" s="65">
        <f>'BPSC (+ Ply)'!D86</f>
        <v>103.63500000000001</v>
      </c>
      <c r="F104" s="65">
        <f>'BPSC (+ Ply)'!F86</f>
        <v>115.15</v>
      </c>
    </row>
    <row r="105" spans="1:7" x14ac:dyDescent="0.25">
      <c r="A105" s="56" t="s">
        <v>95</v>
      </c>
      <c r="B105" s="52" t="s">
        <v>69</v>
      </c>
      <c r="C105" s="54" t="s">
        <v>89</v>
      </c>
      <c r="D105" s="15">
        <f>'BPSC. (+ Ply)'!G87</f>
        <v>48.235698888888891</v>
      </c>
      <c r="E105" s="65">
        <f>'BPSC (+ Ply)'!D87</f>
        <v>128.727</v>
      </c>
      <c r="F105" s="65">
        <f>'BPSC (+ Ply)'!F87</f>
        <v>143.03</v>
      </c>
    </row>
    <row r="106" spans="1:7" ht="6" customHeight="1" x14ac:dyDescent="0.25"/>
    <row r="107" spans="1:7" x14ac:dyDescent="0.25">
      <c r="A107" s="56" t="s">
        <v>95</v>
      </c>
      <c r="B107" s="52" t="s">
        <v>67</v>
      </c>
      <c r="C107" s="54" t="s">
        <v>16</v>
      </c>
      <c r="D107" s="15">
        <f>'BPSC. (+ Ply)'!G92</f>
        <v>28.428916111111114</v>
      </c>
      <c r="E107" s="65">
        <f>'BPSC (+ Ply)'!D92</f>
        <v>89.963999999999999</v>
      </c>
      <c r="F107" s="65">
        <f>'BPSC (+ Ply)'!F92</f>
        <v>99.960000000000008</v>
      </c>
    </row>
    <row r="108" spans="1:7" x14ac:dyDescent="0.25">
      <c r="A108" s="56" t="s">
        <v>95</v>
      </c>
      <c r="B108" s="52" t="s">
        <v>67</v>
      </c>
      <c r="C108" s="54" t="s">
        <v>70</v>
      </c>
      <c r="D108" s="15">
        <f>'BPSC. (+ Ply)'!G93</f>
        <v>28.428916111111114</v>
      </c>
      <c r="E108" s="65">
        <f>'BPSC (+ Ply)'!D93</f>
        <v>90.099000000000004</v>
      </c>
      <c r="F108" s="65">
        <f>'BPSC (+ Ply)'!F93</f>
        <v>100.11</v>
      </c>
    </row>
    <row r="109" spans="1:7" x14ac:dyDescent="0.25">
      <c r="A109" s="56" t="s">
        <v>95</v>
      </c>
      <c r="B109" s="52" t="s">
        <v>67</v>
      </c>
      <c r="C109" s="54" t="s">
        <v>87</v>
      </c>
      <c r="D109" s="15">
        <f>'BPSC. (+ Ply)'!G94</f>
        <v>28.758916111111109</v>
      </c>
      <c r="E109" s="65">
        <f>'BPSC (+ Ply)'!D94</f>
        <v>92.376000000000005</v>
      </c>
      <c r="F109" s="65">
        <f>'BPSC (+ Ply)'!F94</f>
        <v>102.64</v>
      </c>
    </row>
    <row r="110" spans="1:7" x14ac:dyDescent="0.25">
      <c r="A110" s="56" t="s">
        <v>95</v>
      </c>
      <c r="B110" s="52" t="s">
        <v>67</v>
      </c>
      <c r="C110" s="54" t="s">
        <v>88</v>
      </c>
      <c r="D110" s="15">
        <f>'BPSC. (+ Ply)'!G95</f>
        <v>28.758916111111109</v>
      </c>
      <c r="E110" s="65">
        <f>'BPSC (+ Ply)'!D95</f>
        <v>94.653000000000006</v>
      </c>
      <c r="F110" s="65">
        <f>'BPSC (+ Ply)'!F95</f>
        <v>105.17</v>
      </c>
    </row>
    <row r="111" spans="1:7" ht="14.85" customHeight="1" x14ac:dyDescent="0.25">
      <c r="A111" s="56" t="s">
        <v>95</v>
      </c>
      <c r="B111" s="52" t="s">
        <v>67</v>
      </c>
      <c r="C111" s="54" t="s">
        <v>68</v>
      </c>
      <c r="D111" s="15">
        <f>'BPSC. (+ Ply)'!G96</f>
        <v>38.641712222222218</v>
      </c>
      <c r="E111" s="65">
        <f>'BPSC (+ Ply)'!D96</f>
        <v>106.26300000000001</v>
      </c>
      <c r="F111" s="65">
        <f>'BPSC (+ Ply)'!F96</f>
        <v>118.07000000000001</v>
      </c>
    </row>
    <row r="112" spans="1:7" x14ac:dyDescent="0.25">
      <c r="A112" s="56" t="s">
        <v>95</v>
      </c>
      <c r="B112" s="52" t="s">
        <v>67</v>
      </c>
      <c r="C112" s="54" t="s">
        <v>56</v>
      </c>
      <c r="D112" s="15">
        <f>'BPSC. (+ Ply)'!G97</f>
        <v>44.293705555555562</v>
      </c>
      <c r="E112" s="65">
        <f>'BPSC (+ Ply)'!D97</f>
        <v>110.90700000000001</v>
      </c>
      <c r="F112" s="65">
        <f>'BPSC (+ Ply)'!F97</f>
        <v>123.23</v>
      </c>
    </row>
    <row r="113" spans="1:6" x14ac:dyDescent="0.25">
      <c r="A113" s="56" t="s">
        <v>95</v>
      </c>
      <c r="B113" s="52" t="s">
        <v>67</v>
      </c>
      <c r="C113" s="54" t="s">
        <v>89</v>
      </c>
      <c r="D113" s="15">
        <f>'BPSC. (+ Ply)'!G98</f>
        <v>51.745032222222228</v>
      </c>
      <c r="E113" s="65">
        <f>'BPSC (+ Ply)'!D98</f>
        <v>138.321</v>
      </c>
      <c r="F113" s="65">
        <f>'BPSC (+ Ply)'!F98</f>
        <v>153.69</v>
      </c>
    </row>
    <row r="114" spans="1:6" ht="6" customHeight="1" x14ac:dyDescent="0.25"/>
    <row r="115" spans="1:6" x14ac:dyDescent="0.25">
      <c r="A115" s="56" t="s">
        <v>96</v>
      </c>
      <c r="B115" s="52" t="s">
        <v>69</v>
      </c>
      <c r="C115" s="54" t="s">
        <v>16</v>
      </c>
      <c r="D115" s="15">
        <f>'BPSC. (+ Ply)'!O81</f>
        <v>30.109582777777778</v>
      </c>
      <c r="E115" s="65">
        <f>'BPSC (+ Ply)'!P81</f>
        <v>90.683999999999997</v>
      </c>
      <c r="F115" s="65">
        <f>'BPSC (+ Ply)'!R81</f>
        <v>100.76</v>
      </c>
    </row>
    <row r="116" spans="1:6" x14ac:dyDescent="0.25">
      <c r="A116" s="56" t="s">
        <v>96</v>
      </c>
      <c r="B116" s="52" t="s">
        <v>69</v>
      </c>
      <c r="C116" s="54" t="s">
        <v>70</v>
      </c>
      <c r="D116" s="15">
        <f>'BPSC. (+ Ply)'!O82</f>
        <v>31.948249444444446</v>
      </c>
      <c r="E116" s="65">
        <f>'BPSC (+ Ply)'!P82</f>
        <v>96.75</v>
      </c>
      <c r="F116" s="65">
        <f>'BPSC (+ Ply)'!R82</f>
        <v>107.5</v>
      </c>
    </row>
    <row r="117" spans="1:6" x14ac:dyDescent="0.25">
      <c r="A117" s="56" t="s">
        <v>96</v>
      </c>
      <c r="B117" s="52" t="s">
        <v>69</v>
      </c>
      <c r="C117" s="54" t="s">
        <v>87</v>
      </c>
      <c r="D117" s="15">
        <f>'BPSC. (+ Ply)'!O83</f>
        <v>32.538249444444446</v>
      </c>
      <c r="E117" s="65">
        <f>'BPSC (+ Ply)'!P83</f>
        <v>98.198999999999998</v>
      </c>
      <c r="F117" s="65">
        <f>'BPSC (+ Ply)'!R83</f>
        <v>109.11</v>
      </c>
    </row>
    <row r="118" spans="1:6" x14ac:dyDescent="0.25">
      <c r="A118" s="56" t="s">
        <v>96</v>
      </c>
      <c r="B118" s="52" t="s">
        <v>69</v>
      </c>
      <c r="C118" s="54" t="s">
        <v>88</v>
      </c>
      <c r="D118" s="15">
        <f>'BPSC. (+ Ply)'!O84</f>
        <v>32.538249444444446</v>
      </c>
      <c r="E118" s="65">
        <f>'BPSC (+ Ply)'!P84</f>
        <v>100.36800000000001</v>
      </c>
      <c r="F118" s="65">
        <f>'BPSC (+ Ply)'!R84</f>
        <v>111.52000000000001</v>
      </c>
    </row>
    <row r="119" spans="1:6" x14ac:dyDescent="0.25">
      <c r="A119" s="56" t="s">
        <v>96</v>
      </c>
      <c r="B119" s="52" t="s">
        <v>69</v>
      </c>
      <c r="C119" s="54" t="s">
        <v>68</v>
      </c>
      <c r="D119" s="15">
        <f>'BPSC. (+ Ply)'!O85</f>
        <v>41.628378888888882</v>
      </c>
      <c r="E119" s="65">
        <f>'BPSC (+ Ply)'!P85</f>
        <v>109.52100000000002</v>
      </c>
      <c r="F119" s="65">
        <f>'BPSC (+ Ply)'!R85</f>
        <v>121.69000000000001</v>
      </c>
    </row>
    <row r="120" spans="1:6" x14ac:dyDescent="0.25">
      <c r="A120" s="56" t="s">
        <v>96</v>
      </c>
      <c r="B120" s="52" t="s">
        <v>69</v>
      </c>
      <c r="C120" s="54" t="s">
        <v>56</v>
      </c>
      <c r="D120" s="15">
        <f>'BPSC. (+ Ply)'!O86</f>
        <v>47.721038888888884</v>
      </c>
      <c r="E120" s="65">
        <f>'BPSC (+ Ply)'!P86</f>
        <v>115.083</v>
      </c>
      <c r="F120" s="65">
        <f>'BPSC (+ Ply)'!R86</f>
        <v>127.87</v>
      </c>
    </row>
    <row r="121" spans="1:6" x14ac:dyDescent="0.25">
      <c r="A121" s="56" t="s">
        <v>96</v>
      </c>
      <c r="B121" s="52" t="s">
        <v>69</v>
      </c>
      <c r="C121" s="54" t="s">
        <v>89</v>
      </c>
      <c r="D121" s="15">
        <f>'BPSC. (+ Ply)'!O87</f>
        <v>56.024365555555548</v>
      </c>
      <c r="E121" s="65">
        <f>'BPSC (+ Ply)'!P87</f>
        <v>137.03399999999999</v>
      </c>
      <c r="F121" s="65">
        <f>'BPSC (+ Ply)'!R87</f>
        <v>152.26</v>
      </c>
    </row>
    <row r="122" spans="1:6" ht="6" customHeight="1" x14ac:dyDescent="0.25">
      <c r="E122" s="1"/>
      <c r="F122" s="1"/>
    </row>
    <row r="123" spans="1:6" x14ac:dyDescent="0.25">
      <c r="A123" s="56" t="s">
        <v>96</v>
      </c>
      <c r="B123" s="52" t="s">
        <v>67</v>
      </c>
      <c r="C123" s="54" t="s">
        <v>16</v>
      </c>
      <c r="D123" s="15">
        <f>'BPSC. (+ Ply)'!O92</f>
        <v>33.254916111111115</v>
      </c>
      <c r="E123" s="65">
        <f>'BPSC (+ Ply)'!P92</f>
        <v>98.469000000000008</v>
      </c>
      <c r="F123" s="65">
        <f>'BPSC (+ Ply)'!R92</f>
        <v>109.41000000000001</v>
      </c>
    </row>
    <row r="124" spans="1:6" x14ac:dyDescent="0.25">
      <c r="A124" s="56" t="s">
        <v>96</v>
      </c>
      <c r="B124" s="52" t="s">
        <v>67</v>
      </c>
      <c r="C124" s="54" t="s">
        <v>70</v>
      </c>
      <c r="D124" s="15">
        <f>'BPSC. (+ Ply)'!O93</f>
        <v>33.254916111111115</v>
      </c>
      <c r="E124" s="65">
        <f>'BPSC (+ Ply)'!P93</f>
        <v>99.980999999999995</v>
      </c>
      <c r="F124" s="65">
        <f>'BPSC (+ Ply)'!R93</f>
        <v>111.09</v>
      </c>
    </row>
    <row r="125" spans="1:6" x14ac:dyDescent="0.25">
      <c r="A125" s="56" t="s">
        <v>96</v>
      </c>
      <c r="B125" s="52" t="s">
        <v>67</v>
      </c>
      <c r="C125" s="54" t="s">
        <v>87</v>
      </c>
      <c r="D125" s="15">
        <f>'BPSC. (+ Ply)'!O94</f>
        <v>33.844916111111118</v>
      </c>
      <c r="E125" s="65">
        <f>'BPSC (+ Ply)'!P94</f>
        <v>101.43</v>
      </c>
      <c r="F125" s="65">
        <f>'BPSC (+ Ply)'!R94</f>
        <v>112.7</v>
      </c>
    </row>
    <row r="126" spans="1:6" x14ac:dyDescent="0.25">
      <c r="A126" s="56" t="s">
        <v>96</v>
      </c>
      <c r="B126" s="52" t="s">
        <v>67</v>
      </c>
      <c r="C126" s="54" t="s">
        <v>88</v>
      </c>
      <c r="D126" s="15">
        <f>'BPSC. (+ Ply)'!O95</f>
        <v>33.844916111111118</v>
      </c>
      <c r="E126" s="65">
        <f>'BPSC (+ Ply)'!P95</f>
        <v>103.599</v>
      </c>
      <c r="F126" s="65">
        <f>'BPSC (+ Ply)'!R95</f>
        <v>115.11</v>
      </c>
    </row>
    <row r="127" spans="1:6" x14ac:dyDescent="0.25">
      <c r="A127" s="56" t="s">
        <v>96</v>
      </c>
      <c r="B127" s="52" t="s">
        <v>67</v>
      </c>
      <c r="C127" s="54" t="s">
        <v>68</v>
      </c>
      <c r="D127" s="15">
        <f>'BPSC. (+ Ply)'!O96</f>
        <v>45.193712222222217</v>
      </c>
      <c r="E127" s="65">
        <f>'BPSC (+ Ply)'!P96</f>
        <v>118.34099999999998</v>
      </c>
      <c r="F127" s="65">
        <f>'BPSC (+ Ply)'!R96</f>
        <v>131.48999999999998</v>
      </c>
    </row>
    <row r="128" spans="1:6" x14ac:dyDescent="0.25">
      <c r="A128" s="56" t="s">
        <v>96</v>
      </c>
      <c r="B128" s="52" t="s">
        <v>67</v>
      </c>
      <c r="C128" s="54" t="s">
        <v>56</v>
      </c>
      <c r="D128" s="15">
        <f>'BPSC. (+ Ply)'!O97</f>
        <v>51.799705555555555</v>
      </c>
      <c r="E128" s="65">
        <f>'BPSC (+ Ply)'!P97</f>
        <v>125.17199999999998</v>
      </c>
      <c r="F128" s="65">
        <f>'BPSC (+ Ply)'!R97</f>
        <v>139.07999999999998</v>
      </c>
    </row>
    <row r="129" spans="1:7" x14ac:dyDescent="0.25">
      <c r="A129" s="56" t="s">
        <v>96</v>
      </c>
      <c r="B129" s="52" t="s">
        <v>67</v>
      </c>
      <c r="C129" s="54" t="s">
        <v>89</v>
      </c>
      <c r="D129" s="15">
        <f>'BPSC. (+ Ply)'!O98</f>
        <v>61.120365555555551</v>
      </c>
      <c r="E129" s="65">
        <f>'BPSC (+ Ply)'!P98</f>
        <v>149.64299999999997</v>
      </c>
      <c r="F129" s="65">
        <f>'BPSC (+ Ply)'!R98</f>
        <v>166.26999999999998</v>
      </c>
    </row>
    <row r="130" spans="1:7" ht="6" customHeight="1" x14ac:dyDescent="0.25"/>
    <row r="131" spans="1:7" x14ac:dyDescent="0.25">
      <c r="A131" s="56" t="s">
        <v>97</v>
      </c>
      <c r="B131" s="52" t="s">
        <v>69</v>
      </c>
      <c r="C131" s="54" t="s">
        <v>16</v>
      </c>
      <c r="D131" s="15">
        <f>'BPSC. (+ Ply)'!G106</f>
        <v>28.528382777777779</v>
      </c>
      <c r="E131" s="65">
        <f>'BPSC (+ Ply)'!D106</f>
        <v>90.486000000000004</v>
      </c>
      <c r="F131" s="65">
        <f>'BPSC (+ Ply)'!F106</f>
        <v>100.54</v>
      </c>
    </row>
    <row r="132" spans="1:7" x14ac:dyDescent="0.25">
      <c r="A132" s="56" t="s">
        <v>97</v>
      </c>
      <c r="B132" s="52" t="s">
        <v>69</v>
      </c>
      <c r="C132" s="54" t="s">
        <v>70</v>
      </c>
      <c r="D132" s="15">
        <f>'BPSC. (+ Ply)'!G107</f>
        <v>29.797716111111111</v>
      </c>
      <c r="E132" s="65">
        <f>'BPSC (+ Ply)'!D107</f>
        <v>93.78</v>
      </c>
      <c r="F132" s="65">
        <f>'BPSC (+ Ply)'!F107</f>
        <v>104.2</v>
      </c>
    </row>
    <row r="133" spans="1:7" x14ac:dyDescent="0.25">
      <c r="A133" s="56" t="s">
        <v>97</v>
      </c>
      <c r="B133" s="52" t="s">
        <v>69</v>
      </c>
      <c r="C133" s="54" t="s">
        <v>87</v>
      </c>
      <c r="D133" s="15">
        <f>'BPSC. (+ Ply)'!G108</f>
        <v>30.127716111111113</v>
      </c>
      <c r="E133" s="65">
        <f>'BPSC (+ Ply)'!D108</f>
        <v>96.192000000000007</v>
      </c>
      <c r="F133" s="65">
        <f>'BPSC (+ Ply)'!F108</f>
        <v>106.88000000000001</v>
      </c>
    </row>
    <row r="134" spans="1:7" x14ac:dyDescent="0.25">
      <c r="A134" s="56" t="s">
        <v>97</v>
      </c>
      <c r="B134" s="52" t="s">
        <v>69</v>
      </c>
      <c r="C134" s="54" t="s">
        <v>88</v>
      </c>
      <c r="D134" s="15">
        <f>'BPSC. (+ Ply)'!G109</f>
        <v>30.127716111111113</v>
      </c>
      <c r="E134" s="65">
        <f>'BPSC (+ Ply)'!D109</f>
        <v>98.469000000000008</v>
      </c>
      <c r="F134" s="65">
        <f>'BPSC (+ Ply)'!F109</f>
        <v>109.41000000000001</v>
      </c>
      <c r="G134" s="1"/>
    </row>
    <row r="135" spans="1:7" x14ac:dyDescent="0.25">
      <c r="A135" s="56" t="s">
        <v>97</v>
      </c>
      <c r="B135" s="52" t="s">
        <v>69</v>
      </c>
      <c r="C135" s="54" t="s">
        <v>68</v>
      </c>
      <c r="D135" s="15">
        <f>'BPSC. (+ Ply)'!G110</f>
        <v>39.574912222222224</v>
      </c>
      <c r="E135" s="65">
        <f>'BPSC (+ Ply)'!D110</f>
        <v>106.029</v>
      </c>
      <c r="F135" s="65">
        <f>'BPSC (+ Ply)'!F110</f>
        <v>117.81</v>
      </c>
    </row>
    <row r="136" spans="1:7" ht="14.85" customHeight="1" x14ac:dyDescent="0.25">
      <c r="A136" s="56" t="s">
        <v>97</v>
      </c>
      <c r="B136" s="52" t="s">
        <v>69</v>
      </c>
      <c r="C136" s="54" t="s">
        <v>56</v>
      </c>
      <c r="D136" s="15">
        <f>'BPSC. (+ Ply)'!G111</f>
        <v>44.881572222222225</v>
      </c>
      <c r="E136" s="65">
        <f>'BPSC (+ Ply)'!D111</f>
        <v>109.78200000000001</v>
      </c>
      <c r="F136" s="65">
        <f>'BPSC (+ Ply)'!F111</f>
        <v>121.98</v>
      </c>
    </row>
    <row r="137" spans="1:7" x14ac:dyDescent="0.25">
      <c r="A137" s="56" t="s">
        <v>97</v>
      </c>
      <c r="B137" s="52" t="s">
        <v>69</v>
      </c>
      <c r="C137" s="54" t="s">
        <v>89</v>
      </c>
      <c r="D137" s="15">
        <f>'BPSC. (+ Ply)'!G112</f>
        <v>51.632898888888896</v>
      </c>
      <c r="E137" s="65">
        <f>'BPSC (+ Ply)'!D112</f>
        <v>135.18899999999999</v>
      </c>
      <c r="F137" s="65">
        <f>'BPSC (+ Ply)'!F112</f>
        <v>150.20999999999998</v>
      </c>
    </row>
    <row r="138" spans="1:7" ht="6" customHeight="1" x14ac:dyDescent="0.25"/>
    <row r="139" spans="1:7" x14ac:dyDescent="0.25">
      <c r="A139" s="56" t="s">
        <v>97</v>
      </c>
      <c r="B139" s="52" t="s">
        <v>67</v>
      </c>
      <c r="C139" s="54" t="s">
        <v>16</v>
      </c>
      <c r="D139" s="15">
        <f>'BPSC. (+ Ply)'!G117</f>
        <v>30.693716111111112</v>
      </c>
      <c r="E139" s="65">
        <f>'BPSC (+ Ply)'!D117</f>
        <v>96.102000000000004</v>
      </c>
      <c r="F139" s="65">
        <f>'BPSC (+ Ply)'!F117</f>
        <v>106.78</v>
      </c>
    </row>
    <row r="140" spans="1:7" x14ac:dyDescent="0.25">
      <c r="A140" s="56" t="s">
        <v>97</v>
      </c>
      <c r="B140" s="52" t="s">
        <v>67</v>
      </c>
      <c r="C140" s="54" t="s">
        <v>70</v>
      </c>
      <c r="D140" s="15">
        <f>'BPSC. (+ Ply)'!G118</f>
        <v>30.693716111111112</v>
      </c>
      <c r="E140" s="65">
        <f>'BPSC (+ Ply)'!D118</f>
        <v>96.246000000000009</v>
      </c>
      <c r="F140" s="65">
        <f>'BPSC (+ Ply)'!F118</f>
        <v>106.94000000000001</v>
      </c>
    </row>
    <row r="141" spans="1:7" x14ac:dyDescent="0.25">
      <c r="A141" s="56" t="s">
        <v>97</v>
      </c>
      <c r="B141" s="52" t="s">
        <v>67</v>
      </c>
      <c r="C141" s="54" t="s">
        <v>87</v>
      </c>
      <c r="D141" s="15">
        <f>'BPSC. (+ Ply)'!G119</f>
        <v>31.023716111111117</v>
      </c>
      <c r="E141" s="65">
        <f>'BPSC (+ Ply)'!D119</f>
        <v>98.51400000000001</v>
      </c>
      <c r="F141" s="65">
        <f>'BPSC (+ Ply)'!F119</f>
        <v>109.46000000000001</v>
      </c>
    </row>
    <row r="142" spans="1:7" x14ac:dyDescent="0.25">
      <c r="A142" s="56" t="s">
        <v>97</v>
      </c>
      <c r="B142" s="52" t="s">
        <v>67</v>
      </c>
      <c r="C142" s="54" t="s">
        <v>88</v>
      </c>
      <c r="D142" s="15">
        <f>'BPSC. (+ Ply)'!G120</f>
        <v>31.023716111111117</v>
      </c>
      <c r="E142" s="65">
        <f>'BPSC (+ Ply)'!D120</f>
        <v>100.79100000000001</v>
      </c>
      <c r="F142" s="65">
        <f>'BPSC (+ Ply)'!F120</f>
        <v>111.99000000000001</v>
      </c>
    </row>
    <row r="143" spans="1:7" ht="14.85" customHeight="1" x14ac:dyDescent="0.25">
      <c r="A143" s="56" t="s">
        <v>97</v>
      </c>
      <c r="B143" s="52" t="s">
        <v>67</v>
      </c>
      <c r="C143" s="54" t="s">
        <v>68</v>
      </c>
      <c r="D143" s="15">
        <f>'BPSC. (+ Ply)'!G121</f>
        <v>42.038912222222216</v>
      </c>
      <c r="E143" s="65">
        <f>'BPSC (+ Ply)'!D121</f>
        <v>112.41</v>
      </c>
      <c r="F143" s="65">
        <f>'BPSC (+ Ply)'!F121</f>
        <v>124.9</v>
      </c>
    </row>
    <row r="144" spans="1:7" x14ac:dyDescent="0.25">
      <c r="A144" s="56" t="s">
        <v>97</v>
      </c>
      <c r="B144" s="52" t="s">
        <v>67</v>
      </c>
      <c r="C144" s="54" t="s">
        <v>56</v>
      </c>
      <c r="D144" s="15">
        <f>'BPSC. (+ Ply)'!G122</f>
        <v>47.690905555555553</v>
      </c>
      <c r="E144" s="65">
        <f>'BPSC (+ Ply)'!D122</f>
        <v>117.054</v>
      </c>
      <c r="F144" s="65">
        <f>'BPSC (+ Ply)'!F122</f>
        <v>130.06</v>
      </c>
    </row>
    <row r="145" spans="1:6" x14ac:dyDescent="0.25">
      <c r="A145" s="56" t="s">
        <v>97</v>
      </c>
      <c r="B145" s="52" t="s">
        <v>67</v>
      </c>
      <c r="C145" s="54" t="s">
        <v>89</v>
      </c>
      <c r="D145" s="15">
        <f>'BPSC. (+ Ply)'!G123</f>
        <v>55.142232222222219</v>
      </c>
      <c r="E145" s="65">
        <f>'BPSC (+ Ply)'!D123</f>
        <v>144.792</v>
      </c>
      <c r="F145" s="65">
        <f>'BPSC (+ Ply)'!F123</f>
        <v>160.88</v>
      </c>
    </row>
    <row r="146" spans="1:6" ht="6" customHeight="1" x14ac:dyDescent="0.25"/>
    <row r="147" spans="1:6" x14ac:dyDescent="0.25">
      <c r="A147" s="56" t="s">
        <v>98</v>
      </c>
      <c r="B147" s="52" t="s">
        <v>69</v>
      </c>
      <c r="C147" s="54" t="s">
        <v>16</v>
      </c>
      <c r="D147" s="15">
        <f>'BPSC. (+ Ply)'!O106</f>
        <v>32.374382777777782</v>
      </c>
      <c r="E147" s="65">
        <f>'BPSC (+ Ply)'!P106</f>
        <v>96.579000000000008</v>
      </c>
      <c r="F147" s="65">
        <f>'BPSC (+ Ply)'!R106</f>
        <v>107.31</v>
      </c>
    </row>
    <row r="148" spans="1:6" x14ac:dyDescent="0.25">
      <c r="A148" s="56" t="s">
        <v>98</v>
      </c>
      <c r="B148" s="52" t="s">
        <v>69</v>
      </c>
      <c r="C148" s="54" t="s">
        <v>70</v>
      </c>
      <c r="D148" s="15">
        <f>'BPSC. (+ Ply)'!O107</f>
        <v>34.213049444444444</v>
      </c>
      <c r="E148" s="65">
        <f>'BPSC (+ Ply)'!P107</f>
        <v>102.64500000000001</v>
      </c>
      <c r="F148" s="65">
        <f>'BPSC (+ Ply)'!R107</f>
        <v>114.05000000000001</v>
      </c>
    </row>
    <row r="149" spans="1:6" x14ac:dyDescent="0.25">
      <c r="A149" s="56" t="s">
        <v>98</v>
      </c>
      <c r="B149" s="52" t="s">
        <v>69</v>
      </c>
      <c r="C149" s="54" t="s">
        <v>87</v>
      </c>
      <c r="D149" s="15">
        <f>'BPSC. (+ Ply)'!O108</f>
        <v>34.803049444444447</v>
      </c>
      <c r="E149" s="65">
        <f>'BPSC (+ Ply)'!P108</f>
        <v>104.09400000000001</v>
      </c>
      <c r="F149" s="65">
        <f>'BPSC (+ Ply)'!R108</f>
        <v>115.66000000000001</v>
      </c>
    </row>
    <row r="150" spans="1:6" x14ac:dyDescent="0.25">
      <c r="A150" s="56" t="s">
        <v>98</v>
      </c>
      <c r="B150" s="52" t="s">
        <v>69</v>
      </c>
      <c r="C150" s="54" t="s">
        <v>88</v>
      </c>
      <c r="D150" s="15">
        <f>'BPSC. (+ Ply)'!O109</f>
        <v>34.803049444444447</v>
      </c>
      <c r="E150" s="65">
        <f>'BPSC (+ Ply)'!P109</f>
        <v>106.26300000000001</v>
      </c>
      <c r="F150" s="65">
        <f>'BPSC (+ Ply)'!R109</f>
        <v>118.07000000000001</v>
      </c>
    </row>
    <row r="151" spans="1:6" x14ac:dyDescent="0.25">
      <c r="A151" s="56" t="s">
        <v>98</v>
      </c>
      <c r="B151" s="52" t="s">
        <v>69</v>
      </c>
      <c r="C151" s="54" t="s">
        <v>68</v>
      </c>
      <c r="D151" s="15">
        <f>'BPSC. (+ Ply)'!O110</f>
        <v>45.025578888888887</v>
      </c>
      <c r="E151" s="65">
        <f>'BPSC (+ Ply)'!P110</f>
        <v>115.41599999999998</v>
      </c>
      <c r="F151" s="65">
        <f>'BPSC (+ Ply)'!R110</f>
        <v>128.23999999999998</v>
      </c>
    </row>
    <row r="152" spans="1:6" x14ac:dyDescent="0.25">
      <c r="A152" s="56" t="s">
        <v>98</v>
      </c>
      <c r="B152" s="52" t="s">
        <v>69</v>
      </c>
      <c r="C152" s="54" t="s">
        <v>56</v>
      </c>
      <c r="D152" s="15">
        <f>'BPSC. (+ Ply)'!O111</f>
        <v>51.118238888888882</v>
      </c>
      <c r="E152" s="65">
        <f>'BPSC (+ Ply)'!P111</f>
        <v>120.98699999999998</v>
      </c>
      <c r="F152" s="65">
        <f>'BPSC (+ Ply)'!R111</f>
        <v>134.42999999999998</v>
      </c>
    </row>
    <row r="153" spans="1:6" x14ac:dyDescent="0.25">
      <c r="A153" s="56" t="s">
        <v>98</v>
      </c>
      <c r="B153" s="52" t="s">
        <v>69</v>
      </c>
      <c r="C153" s="54" t="s">
        <v>89</v>
      </c>
      <c r="D153" s="15">
        <f>'BPSC. (+ Ply)'!O112</f>
        <v>59.421565555555553</v>
      </c>
      <c r="E153" s="65">
        <f>'BPSC (+ Ply)'!P112</f>
        <v>142.93799999999999</v>
      </c>
      <c r="F153" s="65">
        <f>'BPSC (+ Ply)'!R112</f>
        <v>158.82</v>
      </c>
    </row>
    <row r="154" spans="1:6" ht="6" customHeight="1" x14ac:dyDescent="0.25">
      <c r="E154" s="1"/>
      <c r="F154" s="1"/>
    </row>
    <row r="155" spans="1:6" x14ac:dyDescent="0.25">
      <c r="A155" s="56" t="s">
        <v>98</v>
      </c>
      <c r="B155" s="52" t="s">
        <v>67</v>
      </c>
      <c r="C155" s="54" t="s">
        <v>16</v>
      </c>
      <c r="D155" s="15">
        <f>'BPSC. (+ Ply)'!O117</f>
        <v>35.519716111111116</v>
      </c>
      <c r="E155" s="65">
        <f>'BPSC (+ Ply)'!P117</f>
        <v>104.364</v>
      </c>
      <c r="F155" s="65">
        <f>'BPSC (+ Ply)'!R117</f>
        <v>115.96000000000001</v>
      </c>
    </row>
    <row r="156" spans="1:6" x14ac:dyDescent="0.25">
      <c r="A156" s="56" t="s">
        <v>98</v>
      </c>
      <c r="B156" s="52" t="s">
        <v>67</v>
      </c>
      <c r="C156" s="54" t="s">
        <v>70</v>
      </c>
      <c r="D156" s="15">
        <f>'BPSC. (+ Ply)'!O118</f>
        <v>35.519716111111116</v>
      </c>
      <c r="E156" s="65">
        <f>'BPSC (+ Ply)'!P118</f>
        <v>105.876</v>
      </c>
      <c r="F156" s="65">
        <f>'BPSC (+ Ply)'!R118</f>
        <v>117.64</v>
      </c>
    </row>
    <row r="157" spans="1:6" x14ac:dyDescent="0.25">
      <c r="A157" s="56" t="s">
        <v>98</v>
      </c>
      <c r="B157" s="52" t="s">
        <v>67</v>
      </c>
      <c r="C157" s="54" t="s">
        <v>87</v>
      </c>
      <c r="D157" s="15">
        <f>'BPSC. (+ Ply)'!O119</f>
        <v>36.109716111111112</v>
      </c>
      <c r="E157" s="65">
        <f>'BPSC (+ Ply)'!P119</f>
        <v>107.325</v>
      </c>
      <c r="F157" s="65">
        <f>'BPSC (+ Ply)'!R119</f>
        <v>119.25</v>
      </c>
    </row>
    <row r="158" spans="1:6" x14ac:dyDescent="0.25">
      <c r="A158" s="56" t="s">
        <v>98</v>
      </c>
      <c r="B158" s="52" t="s">
        <v>67</v>
      </c>
      <c r="C158" s="54" t="s">
        <v>88</v>
      </c>
      <c r="D158" s="15">
        <f>'BPSC. (+ Ply)'!O120</f>
        <v>36.109716111111112</v>
      </c>
      <c r="E158" s="65">
        <f>'BPSC (+ Ply)'!P120</f>
        <v>109.49400000000001</v>
      </c>
      <c r="F158" s="65">
        <f>'BPSC (+ Ply)'!R120</f>
        <v>121.66000000000001</v>
      </c>
    </row>
    <row r="159" spans="1:6" x14ac:dyDescent="0.25">
      <c r="A159" s="56" t="s">
        <v>98</v>
      </c>
      <c r="B159" s="52" t="s">
        <v>67</v>
      </c>
      <c r="C159" s="54" t="s">
        <v>68</v>
      </c>
      <c r="D159" s="15">
        <f>'BPSC. (+ Ply)'!O121</f>
        <v>48.590912222222222</v>
      </c>
      <c r="E159" s="65">
        <f>'BPSC (+ Ply)'!P121</f>
        <v>124.24499999999998</v>
      </c>
      <c r="F159" s="65">
        <f>'BPSC (+ Ply)'!R121</f>
        <v>138.04999999999998</v>
      </c>
    </row>
    <row r="160" spans="1:6" x14ac:dyDescent="0.25">
      <c r="A160" s="56" t="s">
        <v>98</v>
      </c>
      <c r="B160" s="52" t="s">
        <v>67</v>
      </c>
      <c r="C160" s="54" t="s">
        <v>56</v>
      </c>
      <c r="D160" s="15">
        <f>'BPSC. (+ Ply)'!O122</f>
        <v>55.196905555555553</v>
      </c>
      <c r="E160" s="65">
        <f>'BPSC (+ Ply)'!P122</f>
        <v>131.07599999999999</v>
      </c>
      <c r="F160" s="65">
        <f>'BPSC (+ Ply)'!R122</f>
        <v>145.63999999999999</v>
      </c>
    </row>
    <row r="161" spans="1:6" x14ac:dyDescent="0.25">
      <c r="A161" s="56" t="s">
        <v>98</v>
      </c>
      <c r="B161" s="52" t="s">
        <v>67</v>
      </c>
      <c r="C161" s="54" t="s">
        <v>89</v>
      </c>
      <c r="D161" s="15">
        <f>'BPSC. (+ Ply)'!O123</f>
        <v>64.517565555555564</v>
      </c>
      <c r="E161" s="65">
        <f>'BPSC (+ Ply)'!P123</f>
        <v>155.547</v>
      </c>
      <c r="F161" s="65">
        <f>'BPSC (+ Ply)'!R123</f>
        <v>172.82999999999998</v>
      </c>
    </row>
    <row r="162" spans="1:6" ht="6" customHeight="1" x14ac:dyDescent="0.25"/>
    <row r="163" spans="1:6" x14ac:dyDescent="0.25">
      <c r="A163" s="56" t="s">
        <v>99</v>
      </c>
      <c r="B163" s="52" t="s">
        <v>69</v>
      </c>
      <c r="C163" s="54" t="s">
        <v>16</v>
      </c>
      <c r="D163" s="15">
        <f>'KO Spec.'!G6</f>
        <v>30.396652222222222</v>
      </c>
      <c r="E163" s="65">
        <f>'KO Spec'!D7</f>
        <v>88.605000000000004</v>
      </c>
      <c r="F163" s="65">
        <f>'KO Spec'!F7</f>
        <v>98.45</v>
      </c>
    </row>
    <row r="164" spans="1:6" x14ac:dyDescent="0.25">
      <c r="A164" s="56" t="s">
        <v>99</v>
      </c>
      <c r="B164" s="52" t="s">
        <v>69</v>
      </c>
      <c r="C164" s="54" t="s">
        <v>70</v>
      </c>
      <c r="D164" s="15">
        <f>'KO Spec.'!G7</f>
        <v>32.785985555555563</v>
      </c>
      <c r="E164" s="65">
        <f>'KO Spec'!D8</f>
        <v>94.518000000000001</v>
      </c>
      <c r="F164" s="65">
        <f>'KO Spec'!F8</f>
        <v>105.02</v>
      </c>
    </row>
    <row r="165" spans="1:6" x14ac:dyDescent="0.25">
      <c r="A165" s="56" t="s">
        <v>99</v>
      </c>
      <c r="B165" s="52" t="s">
        <v>69</v>
      </c>
      <c r="C165" s="54" t="s">
        <v>87</v>
      </c>
      <c r="D165" s="15">
        <f>'KO Spec.'!G8</f>
        <v>33.47598555555556</v>
      </c>
      <c r="E165" s="65">
        <f>'KO Spec'!D9</f>
        <v>97.730999999999995</v>
      </c>
      <c r="F165" s="65">
        <f>'KO Spec'!F9</f>
        <v>108.59</v>
      </c>
    </row>
    <row r="166" spans="1:6" x14ac:dyDescent="0.25">
      <c r="A166" s="56" t="s">
        <v>99</v>
      </c>
      <c r="B166" s="52" t="s">
        <v>69</v>
      </c>
      <c r="C166" s="54" t="s">
        <v>88</v>
      </c>
      <c r="D166" s="15">
        <f>'KO Spec.'!G9</f>
        <v>33.47598555555556</v>
      </c>
      <c r="E166" s="65">
        <f>'KO Spec'!D10</f>
        <v>99.909000000000006</v>
      </c>
      <c r="F166" s="65">
        <f>'KO Spec'!F10</f>
        <v>111.01</v>
      </c>
    </row>
    <row r="167" spans="1:6" x14ac:dyDescent="0.25">
      <c r="A167" s="56" t="s">
        <v>99</v>
      </c>
      <c r="B167" s="52" t="s">
        <v>69</v>
      </c>
      <c r="C167" s="54" t="s">
        <v>68</v>
      </c>
      <c r="D167" s="15">
        <f>'KO Spec.'!G10</f>
        <v>44.923248333333341</v>
      </c>
      <c r="E167" s="65">
        <f>'KO Spec'!D11</f>
        <v>110.47499999999999</v>
      </c>
      <c r="F167" s="65">
        <f>'KO Spec'!F11</f>
        <v>122.75</v>
      </c>
    </row>
    <row r="168" spans="1:6" x14ac:dyDescent="0.25">
      <c r="A168" s="56" t="s">
        <v>99</v>
      </c>
      <c r="B168" s="52" t="s">
        <v>69</v>
      </c>
      <c r="C168" s="54" t="s">
        <v>56</v>
      </c>
      <c r="D168" s="15">
        <f>'KO Spec.'!G11</f>
        <v>51.592575000000004</v>
      </c>
      <c r="E168" s="65">
        <f>'KO Spec'!D12</f>
        <v>117.468</v>
      </c>
      <c r="F168" s="65">
        <f>'KO Spec'!F12</f>
        <v>130.52000000000001</v>
      </c>
    </row>
    <row r="169" spans="1:6" x14ac:dyDescent="0.25">
      <c r="A169" s="56" t="s">
        <v>99</v>
      </c>
      <c r="B169" s="52" t="s">
        <v>69</v>
      </c>
      <c r="C169" s="54" t="s">
        <v>89</v>
      </c>
      <c r="D169" s="15">
        <f>'KO Spec.'!G12</f>
        <v>61.030568333333335</v>
      </c>
      <c r="E169" s="65">
        <f>'KO Spec'!D13</f>
        <v>142.245</v>
      </c>
      <c r="F169" s="65">
        <f>'KO Spec'!F13</f>
        <v>158.05000000000001</v>
      </c>
    </row>
    <row r="170" spans="1:6" ht="6" customHeight="1" x14ac:dyDescent="0.25"/>
    <row r="171" spans="1:6" x14ac:dyDescent="0.25">
      <c r="A171" s="56" t="s">
        <v>99</v>
      </c>
      <c r="B171" s="52" t="s">
        <v>67</v>
      </c>
      <c r="C171" s="54" t="s">
        <v>16</v>
      </c>
      <c r="D171" s="15">
        <f>'KO Spec.'!G17</f>
        <v>34.493985555555561</v>
      </c>
      <c r="E171" s="65">
        <f>'KO Spec'!D18</f>
        <v>98.738392500000003</v>
      </c>
      <c r="F171" s="65">
        <f>'KO Spec'!F18</f>
        <v>109.70932500000001</v>
      </c>
    </row>
    <row r="172" spans="1:6" x14ac:dyDescent="0.25">
      <c r="A172" s="56" t="s">
        <v>99</v>
      </c>
      <c r="B172" s="52" t="s">
        <v>67</v>
      </c>
      <c r="C172" s="54" t="s">
        <v>70</v>
      </c>
      <c r="D172" s="15">
        <f>'KO Spec.'!G18</f>
        <v>34.493985555555561</v>
      </c>
      <c r="E172" s="65">
        <f>'KO Spec'!D19</f>
        <v>98.738392500000003</v>
      </c>
      <c r="F172" s="65">
        <f>'KO Spec'!F19</f>
        <v>109.70932500000001</v>
      </c>
    </row>
    <row r="173" spans="1:6" x14ac:dyDescent="0.25">
      <c r="A173" s="56" t="s">
        <v>99</v>
      </c>
      <c r="B173" s="52" t="s">
        <v>67</v>
      </c>
      <c r="C173" s="54" t="s">
        <v>87</v>
      </c>
      <c r="D173" s="15">
        <f>'KO Spec.'!G19</f>
        <v>35.183985555555559</v>
      </c>
      <c r="E173" s="65">
        <f>'KO Spec'!D20</f>
        <v>101.95746750000001</v>
      </c>
      <c r="F173" s="65">
        <f>'KO Spec'!F20</f>
        <v>113.28607500000001</v>
      </c>
    </row>
    <row r="174" spans="1:6" x14ac:dyDescent="0.25">
      <c r="A174" s="56" t="s">
        <v>99</v>
      </c>
      <c r="B174" s="52" t="s">
        <v>67</v>
      </c>
      <c r="C174" s="54" t="s">
        <v>88</v>
      </c>
      <c r="D174" s="15">
        <f>'KO Spec.'!G20</f>
        <v>35.183985555555559</v>
      </c>
      <c r="E174" s="65">
        <f>'KO Spec'!D21</f>
        <v>104.13130500000003</v>
      </c>
      <c r="F174" s="65">
        <f>'KO Spec'!F21</f>
        <v>115.70145000000002</v>
      </c>
    </row>
    <row r="175" spans="1:6" x14ac:dyDescent="0.25">
      <c r="A175" s="56" t="s">
        <v>99</v>
      </c>
      <c r="B175" s="52" t="s">
        <v>67</v>
      </c>
      <c r="C175" s="54" t="s">
        <v>68</v>
      </c>
      <c r="D175" s="15">
        <f>'KO Spec.'!G21</f>
        <v>49.571248333333337</v>
      </c>
      <c r="E175" s="65">
        <f>'KO Spec'!D22</f>
        <v>121.96959749999999</v>
      </c>
      <c r="F175" s="65">
        <f>'KO Spec'!F22</f>
        <v>135.52177499999999</v>
      </c>
    </row>
    <row r="176" spans="1:6" x14ac:dyDescent="0.25">
      <c r="A176" s="56" t="s">
        <v>99</v>
      </c>
      <c r="B176" s="52" t="s">
        <v>67</v>
      </c>
      <c r="C176" s="54" t="s">
        <v>56</v>
      </c>
      <c r="D176" s="15">
        <f>'KO Spec.'!G22</f>
        <v>56.903241666666666</v>
      </c>
      <c r="E176" s="65">
        <f>'KO Spec'!D23</f>
        <v>130.60082250000002</v>
      </c>
      <c r="F176" s="65">
        <f>'KO Spec'!F23</f>
        <v>145.11202500000002</v>
      </c>
    </row>
    <row r="177" spans="1:6" x14ac:dyDescent="0.25">
      <c r="A177" s="56" t="s">
        <v>99</v>
      </c>
      <c r="B177" s="52" t="s">
        <v>67</v>
      </c>
      <c r="C177" s="54" t="s">
        <v>89</v>
      </c>
      <c r="D177" s="15">
        <f>'KO Spec.'!G23</f>
        <v>67.666568333333331</v>
      </c>
      <c r="E177" s="65">
        <f>'KO Spec'!D24</f>
        <v>158.66064</v>
      </c>
      <c r="F177" s="65">
        <f>'KO Spec'!F24</f>
        <v>176.28960000000001</v>
      </c>
    </row>
    <row r="178" spans="1:6" ht="6" customHeight="1" x14ac:dyDescent="0.25"/>
    <row r="179" spans="1:6" x14ac:dyDescent="0.25">
      <c r="A179" s="56" t="s">
        <v>100</v>
      </c>
      <c r="B179" s="52" t="s">
        <v>69</v>
      </c>
      <c r="C179" s="54" t="s">
        <v>16</v>
      </c>
      <c r="D179" s="15">
        <f>'KO Spec'!C33</f>
        <v>34.857852222222228</v>
      </c>
      <c r="E179" s="65">
        <f>'KO Spec'!D33</f>
        <v>103.83235714285715</v>
      </c>
      <c r="F179" s="65">
        <f>'KO Spec'!F33</f>
        <v>115.36928571428572</v>
      </c>
    </row>
    <row r="180" spans="1:6" x14ac:dyDescent="0.25">
      <c r="A180" s="56" t="s">
        <v>100</v>
      </c>
      <c r="B180" s="52" t="s">
        <v>69</v>
      </c>
      <c r="C180" s="54" t="s">
        <v>70</v>
      </c>
      <c r="D180" s="15">
        <f>'KO Spec'!C34</f>
        <v>37.247185555555561</v>
      </c>
      <c r="E180" s="65">
        <f>'KO Spec'!D34</f>
        <v>109.75692857142859</v>
      </c>
      <c r="F180" s="65">
        <f>'KO Spec'!F34</f>
        <v>121.95214285714287</v>
      </c>
    </row>
    <row r="181" spans="1:6" x14ac:dyDescent="0.25">
      <c r="A181" s="56" t="s">
        <v>100</v>
      </c>
      <c r="B181" s="52" t="s">
        <v>69</v>
      </c>
      <c r="C181" s="54" t="s">
        <v>87</v>
      </c>
      <c r="D181" s="15">
        <f>'KO Spec'!C35</f>
        <v>37.937185555555558</v>
      </c>
      <c r="E181" s="65">
        <f>'KO Spec'!D35</f>
        <v>112.98407142857144</v>
      </c>
      <c r="F181" s="65">
        <f>'KO Spec'!F35</f>
        <v>125.53785714285716</v>
      </c>
    </row>
    <row r="182" spans="1:6" x14ac:dyDescent="0.25">
      <c r="A182" s="56" t="s">
        <v>100</v>
      </c>
      <c r="B182" s="52" t="s">
        <v>69</v>
      </c>
      <c r="C182" s="54" t="s">
        <v>88</v>
      </c>
      <c r="D182" s="15">
        <f>'KO Spec'!C36</f>
        <v>37.937185555555558</v>
      </c>
      <c r="E182" s="65">
        <f>'KO Spec'!D36</f>
        <v>115.16335714285715</v>
      </c>
      <c r="F182" s="65">
        <f>'KO Spec'!F36</f>
        <v>127.95928571428573</v>
      </c>
    </row>
    <row r="183" spans="1:6" x14ac:dyDescent="0.25">
      <c r="A183" s="56" t="s">
        <v>100</v>
      </c>
      <c r="B183" s="52" t="s">
        <v>69</v>
      </c>
      <c r="C183" s="54" t="s">
        <v>68</v>
      </c>
      <c r="D183" s="15">
        <f>'KO Spec'!C37</f>
        <v>49.384448333333339</v>
      </c>
      <c r="E183" s="65">
        <f>'KO Spec'!D37</f>
        <v>125.75635714285715</v>
      </c>
      <c r="F183" s="65">
        <f>'KO Spec'!F37</f>
        <v>139.72928571428574</v>
      </c>
    </row>
    <row r="184" spans="1:6" x14ac:dyDescent="0.25">
      <c r="A184" s="56" t="s">
        <v>100</v>
      </c>
      <c r="B184" s="52" t="s">
        <v>69</v>
      </c>
      <c r="C184" s="54" t="s">
        <v>56</v>
      </c>
      <c r="D184" s="15">
        <f>'KO Spec'!C38</f>
        <v>56.053774999999995</v>
      </c>
      <c r="E184" s="65">
        <f>'KO Spec'!D38</f>
        <v>132.76607142857145</v>
      </c>
      <c r="F184" s="65">
        <f>'KO Spec'!F38</f>
        <v>147.51785714285717</v>
      </c>
    </row>
    <row r="185" spans="1:6" x14ac:dyDescent="0.25">
      <c r="A185" s="56" t="s">
        <v>100</v>
      </c>
      <c r="B185" s="52" t="s">
        <v>69</v>
      </c>
      <c r="C185" s="54" t="s">
        <v>89</v>
      </c>
      <c r="D185" s="15">
        <f>'KO Spec'!C39</f>
        <v>65.491768333333326</v>
      </c>
      <c r="E185" s="65">
        <f>'KO Spec'!D39</f>
        <v>157.60992857142858</v>
      </c>
      <c r="F185" s="65">
        <f>'KO Spec'!F39</f>
        <v>175.12214285714288</v>
      </c>
    </row>
    <row r="186" spans="1:6" ht="6" customHeight="1" x14ac:dyDescent="0.25"/>
    <row r="187" spans="1:6" x14ac:dyDescent="0.25">
      <c r="A187" s="56" t="s">
        <v>100</v>
      </c>
      <c r="B187" s="52" t="s">
        <v>67</v>
      </c>
      <c r="C187" s="54" t="s">
        <v>16</v>
      </c>
      <c r="D187" s="15">
        <f>'KO Spec'!C44</f>
        <v>38.955185555555559</v>
      </c>
      <c r="E187" s="65">
        <f>'KO Spec'!D44</f>
        <v>113.99207142857144</v>
      </c>
      <c r="F187" s="65">
        <f>'KO Spec'!F44</f>
        <v>126.65785714285715</v>
      </c>
    </row>
    <row r="188" spans="1:6" x14ac:dyDescent="0.25">
      <c r="A188" s="56" t="s">
        <v>100</v>
      </c>
      <c r="B188" s="52" t="s">
        <v>67</v>
      </c>
      <c r="C188" s="54" t="s">
        <v>70</v>
      </c>
      <c r="D188" s="15">
        <f>'KO Spec'!C45</f>
        <v>38.955185555555559</v>
      </c>
      <c r="E188" s="65">
        <f>'KO Spec'!D45</f>
        <v>113.99207142857144</v>
      </c>
      <c r="F188" s="65">
        <f>'KO Spec'!F45</f>
        <v>126.65785714285715</v>
      </c>
    </row>
    <row r="189" spans="1:6" x14ac:dyDescent="0.25">
      <c r="A189" s="56" t="s">
        <v>100</v>
      </c>
      <c r="B189" s="52" t="s">
        <v>67</v>
      </c>
      <c r="C189" s="54" t="s">
        <v>87</v>
      </c>
      <c r="D189" s="15">
        <f>'KO Spec'!C46</f>
        <v>39.645185555555557</v>
      </c>
      <c r="E189" s="65">
        <f>'KO Spec'!D46</f>
        <v>117.21921428571432</v>
      </c>
      <c r="F189" s="65">
        <f>'KO Spec'!F46</f>
        <v>130.24357142857147</v>
      </c>
    </row>
    <row r="190" spans="1:6" x14ac:dyDescent="0.25">
      <c r="A190" s="56" t="s">
        <v>100</v>
      </c>
      <c r="B190" s="52" t="s">
        <v>67</v>
      </c>
      <c r="C190" s="54" t="s">
        <v>88</v>
      </c>
      <c r="D190" s="15">
        <f>'KO Spec'!C47</f>
        <v>39.645185555555557</v>
      </c>
      <c r="E190" s="65">
        <f>'KO Spec'!D47</f>
        <v>119.39850000000001</v>
      </c>
      <c r="F190" s="65">
        <f>'KO Spec'!F47</f>
        <v>132.66500000000002</v>
      </c>
    </row>
    <row r="191" spans="1:6" x14ac:dyDescent="0.25">
      <c r="A191" s="56" t="s">
        <v>100</v>
      </c>
      <c r="B191" s="52" t="s">
        <v>67</v>
      </c>
      <c r="C191" s="54" t="s">
        <v>68</v>
      </c>
      <c r="D191" s="15">
        <f>'KO Spec'!C48</f>
        <v>54.032448333333335</v>
      </c>
      <c r="E191" s="65">
        <f>'KO Spec'!D48</f>
        <v>137.28149999999999</v>
      </c>
      <c r="F191" s="65">
        <f>'KO Spec'!F48</f>
        <v>152.535</v>
      </c>
    </row>
    <row r="192" spans="1:6" x14ac:dyDescent="0.25">
      <c r="A192" s="56" t="s">
        <v>100</v>
      </c>
      <c r="B192" s="52" t="s">
        <v>67</v>
      </c>
      <c r="C192" s="54" t="s">
        <v>56</v>
      </c>
      <c r="D192" s="15">
        <f>'KO Spec'!C49</f>
        <v>61.364441666666671</v>
      </c>
      <c r="E192" s="65">
        <f>'KO Spec'!D49</f>
        <v>145.93435714285715</v>
      </c>
      <c r="F192" s="65">
        <f>'KO Spec'!F49</f>
        <v>162.14928571428572</v>
      </c>
    </row>
    <row r="193" spans="1:6" x14ac:dyDescent="0.25">
      <c r="A193" s="56" t="s">
        <v>100</v>
      </c>
      <c r="B193" s="52" t="s">
        <v>67</v>
      </c>
      <c r="C193" s="54" t="s">
        <v>89</v>
      </c>
      <c r="D193" s="15">
        <f>'KO Spec'!C50</f>
        <v>72.127768333333336</v>
      </c>
      <c r="E193" s="65">
        <f>'KO Spec'!D50</f>
        <v>174.06450000000001</v>
      </c>
      <c r="F193" s="65">
        <f>'KO Spec'!F50</f>
        <v>193.405</v>
      </c>
    </row>
    <row r="194" spans="1:6" ht="6" customHeight="1" x14ac:dyDescent="0.25"/>
    <row r="195" spans="1:6" x14ac:dyDescent="0.25">
      <c r="A195" s="56" t="s">
        <v>101</v>
      </c>
      <c r="B195" s="52" t="s">
        <v>69</v>
      </c>
      <c r="C195" s="54" t="s">
        <v>16</v>
      </c>
      <c r="D195" s="15">
        <f>'Solid Pine.'!G6</f>
        <v>41.021883888888887</v>
      </c>
      <c r="E195" s="65">
        <f>'Solid Pine'!D7</f>
        <v>108.08477999999999</v>
      </c>
      <c r="F195" s="65">
        <f>'Solid Pine'!F7</f>
        <v>120.0942</v>
      </c>
    </row>
    <row r="196" spans="1:6" x14ac:dyDescent="0.25">
      <c r="A196" s="56" t="s">
        <v>101</v>
      </c>
      <c r="B196" s="52" t="s">
        <v>69</v>
      </c>
      <c r="C196" s="54" t="s">
        <v>70</v>
      </c>
      <c r="D196" s="15">
        <f>'Solid Pine.'!G7</f>
        <v>42.826837222222231</v>
      </c>
      <c r="E196" s="65">
        <f>'Solid Pine'!D8</f>
        <v>112.61134285714287</v>
      </c>
      <c r="F196" s="65">
        <f>'Solid Pine'!F8</f>
        <v>125.1237142857143</v>
      </c>
    </row>
    <row r="197" spans="1:6" x14ac:dyDescent="0.25">
      <c r="A197" s="56" t="s">
        <v>101</v>
      </c>
      <c r="B197" s="52" t="s">
        <v>69</v>
      </c>
      <c r="C197" s="54" t="s">
        <v>87</v>
      </c>
      <c r="D197" s="15">
        <f>'Solid Pine.'!G8</f>
        <v>44.631790555555547</v>
      </c>
      <c r="E197" s="65">
        <f>'Solid Pine'!D9</f>
        <v>118.59076285714289</v>
      </c>
      <c r="F197" s="65">
        <f>'Solid Pine'!F9</f>
        <v>131.76751428571433</v>
      </c>
    </row>
    <row r="198" spans="1:6" x14ac:dyDescent="0.25">
      <c r="A198" s="56" t="s">
        <v>101</v>
      </c>
      <c r="B198" s="52" t="s">
        <v>69</v>
      </c>
      <c r="C198" s="54" t="s">
        <v>88</v>
      </c>
      <c r="D198" s="15">
        <f>'Solid Pine.'!G9</f>
        <v>46.436743888888898</v>
      </c>
      <c r="E198" s="65">
        <f>'Solid Pine'!D10</f>
        <v>125.29661142857142</v>
      </c>
      <c r="F198" s="65">
        <f>'Solid Pine'!F10</f>
        <v>139.21845714285715</v>
      </c>
    </row>
    <row r="199" spans="1:6" x14ac:dyDescent="0.25">
      <c r="A199" s="56" t="s">
        <v>101</v>
      </c>
      <c r="B199" s="52" t="s">
        <v>69</v>
      </c>
      <c r="C199" s="54" t="s">
        <v>68</v>
      </c>
      <c r="D199" s="15">
        <f>'Solid Pine.'!G10</f>
        <v>56.926113333333333</v>
      </c>
      <c r="E199" s="65">
        <f>'Solid Pine'!D11</f>
        <v>137.98187999999999</v>
      </c>
      <c r="F199" s="65">
        <f>'Solid Pine'!F11</f>
        <v>153.31319999999999</v>
      </c>
    </row>
    <row r="200" spans="1:6" x14ac:dyDescent="0.25">
      <c r="A200" s="56" t="s">
        <v>101</v>
      </c>
      <c r="B200" s="52" t="s">
        <v>69</v>
      </c>
      <c r="C200" s="54" t="s">
        <v>56</v>
      </c>
      <c r="D200" s="15">
        <f>'Solid Pine.'!G11</f>
        <v>62.149350555555557</v>
      </c>
      <c r="E200" s="65">
        <f>'Solid Pine'!D12</f>
        <v>147.03500571428572</v>
      </c>
      <c r="F200" s="65">
        <f>'Solid Pine'!F12</f>
        <v>163.37222857142856</v>
      </c>
    </row>
    <row r="201" spans="1:6" x14ac:dyDescent="0.25">
      <c r="A201" s="56" t="s">
        <v>101</v>
      </c>
      <c r="B201" s="52" t="s">
        <v>69</v>
      </c>
      <c r="C201" s="54" t="s">
        <v>89</v>
      </c>
      <c r="D201" s="15">
        <f>'Solid Pine.'!G12</f>
        <v>71.305160555555574</v>
      </c>
      <c r="E201" s="65">
        <f>'Solid Pine'!D13</f>
        <v>176.03768571428574</v>
      </c>
      <c r="F201" s="65">
        <f>'Solid Pine'!F13</f>
        <v>195.59742857142859</v>
      </c>
    </row>
    <row r="202" spans="1:6" ht="6" customHeight="1" x14ac:dyDescent="0.25"/>
    <row r="203" spans="1:6" x14ac:dyDescent="0.25">
      <c r="A203" s="56" t="s">
        <v>101</v>
      </c>
      <c r="B203" s="52" t="s">
        <v>67</v>
      </c>
      <c r="C203" s="54" t="s">
        <v>16</v>
      </c>
      <c r="D203" s="15">
        <f>'Solid Pine.'!G17</f>
        <v>42.842163888888891</v>
      </c>
      <c r="E203" s="65">
        <f>'Solid Pine'!D18</f>
        <v>123.67805142857145</v>
      </c>
      <c r="F203" s="65">
        <f>'Solid Pine'!F18</f>
        <v>137.42005714285716</v>
      </c>
    </row>
    <row r="204" spans="1:6" x14ac:dyDescent="0.25">
      <c r="A204" s="56" t="s">
        <v>101</v>
      </c>
      <c r="B204" s="52" t="s">
        <v>67</v>
      </c>
      <c r="C204" s="54" t="s">
        <v>70</v>
      </c>
      <c r="D204" s="15">
        <f>'Solid Pine.'!G18</f>
        <v>44.849370555555559</v>
      </c>
      <c r="E204" s="65">
        <f>'Solid Pine'!D19</f>
        <v>128.72648571428573</v>
      </c>
      <c r="F204" s="65">
        <f>'Solid Pine'!F19</f>
        <v>143.02942857142858</v>
      </c>
    </row>
    <row r="205" spans="1:6" x14ac:dyDescent="0.25">
      <c r="A205" s="56" t="s">
        <v>101</v>
      </c>
      <c r="B205" s="52" t="s">
        <v>67</v>
      </c>
      <c r="C205" s="54" t="s">
        <v>87</v>
      </c>
      <c r="D205" s="15">
        <f>'Solid Pine.'!G19</f>
        <v>46.856577222222221</v>
      </c>
      <c r="E205" s="65">
        <f>'Solid Pine'!D20</f>
        <v>135.22777714285715</v>
      </c>
      <c r="F205" s="65">
        <f>'Solid Pine'!F20</f>
        <v>150.25308571428573</v>
      </c>
    </row>
    <row r="206" spans="1:6" x14ac:dyDescent="0.25">
      <c r="A206" s="56" t="s">
        <v>101</v>
      </c>
      <c r="B206" s="52" t="s">
        <v>67</v>
      </c>
      <c r="C206" s="54" t="s">
        <v>88</v>
      </c>
      <c r="D206" s="15">
        <f>'Solid Pine.'!G20</f>
        <v>48.863783888888882</v>
      </c>
      <c r="E206" s="65">
        <f>'Solid Pine'!D21</f>
        <v>142.45549714285715</v>
      </c>
      <c r="F206" s="65">
        <f>'Solid Pine'!F21</f>
        <v>158.28388571428573</v>
      </c>
    </row>
    <row r="207" spans="1:6" x14ac:dyDescent="0.25">
      <c r="A207" s="56" t="s">
        <v>101</v>
      </c>
      <c r="B207" s="52" t="s">
        <v>67</v>
      </c>
      <c r="C207" s="54" t="s">
        <v>68</v>
      </c>
      <c r="D207" s="15">
        <f>'Solid Pine.'!G21</f>
        <v>59.757660000000001</v>
      </c>
      <c r="E207" s="65">
        <f>'Solid Pine'!D22</f>
        <v>152.55236571428571</v>
      </c>
      <c r="F207" s="65">
        <f>'Solid Pine'!F22</f>
        <v>169.50262857142857</v>
      </c>
    </row>
    <row r="208" spans="1:6" x14ac:dyDescent="0.25">
      <c r="A208" s="56" t="s">
        <v>101</v>
      </c>
      <c r="B208" s="52" t="s">
        <v>67</v>
      </c>
      <c r="C208" s="54" t="s">
        <v>56</v>
      </c>
      <c r="D208" s="15">
        <f>'Solid Pine.'!G22</f>
        <v>65.385403888888888</v>
      </c>
      <c r="E208" s="65">
        <f>'Solid Pine'!D23</f>
        <v>166.28137714285714</v>
      </c>
      <c r="F208" s="65">
        <f>'Solid Pine'!F23</f>
        <v>184.75708571428569</v>
      </c>
    </row>
    <row r="209" spans="1:6" x14ac:dyDescent="0.25">
      <c r="A209" s="56" t="s">
        <v>101</v>
      </c>
      <c r="B209" s="52" t="s">
        <v>67</v>
      </c>
      <c r="C209" s="54" t="s">
        <v>89</v>
      </c>
      <c r="D209" s="15">
        <f>'Solid Pine.'!G23</f>
        <v>75.35022722222223</v>
      </c>
      <c r="E209" s="65">
        <f>'Solid Pine'!D24</f>
        <v>201.00368571428575</v>
      </c>
      <c r="F209" s="65">
        <f>'Solid Pine'!F24</f>
        <v>223.3374285714286</v>
      </c>
    </row>
    <row r="210" spans="1:6" ht="6" customHeight="1" x14ac:dyDescent="0.25"/>
    <row r="211" spans="1:6" x14ac:dyDescent="0.25">
      <c r="A211" s="56" t="s">
        <v>102</v>
      </c>
      <c r="B211" s="52" t="s">
        <v>69</v>
      </c>
      <c r="C211" s="54" t="s">
        <v>16</v>
      </c>
      <c r="D211" s="15">
        <f>'Solid Pine.'!O6</f>
        <v>44.852283888888891</v>
      </c>
      <c r="E211" s="65">
        <f>'Solid Pine'!P7</f>
        <v>118.50742285714287</v>
      </c>
      <c r="F211" s="65">
        <f>'Solid Pine'!R7</f>
        <v>131.67491428571429</v>
      </c>
    </row>
    <row r="212" spans="1:6" x14ac:dyDescent="0.25">
      <c r="A212" s="56" t="s">
        <v>102</v>
      </c>
      <c r="B212" s="52" t="s">
        <v>69</v>
      </c>
      <c r="C212" s="54" t="s">
        <v>70</v>
      </c>
      <c r="D212" s="15">
        <f>'Solid Pine.'!O7</f>
        <v>46.657237222222221</v>
      </c>
      <c r="E212" s="65">
        <f>'Solid Pine'!P8</f>
        <v>123.03398571428573</v>
      </c>
      <c r="F212" s="65">
        <f>'Solid Pine'!R8</f>
        <v>136.70442857142859</v>
      </c>
    </row>
    <row r="213" spans="1:6" x14ac:dyDescent="0.25">
      <c r="A213" s="56" t="s">
        <v>102</v>
      </c>
      <c r="B213" s="52" t="s">
        <v>69</v>
      </c>
      <c r="C213" s="54" t="s">
        <v>87</v>
      </c>
      <c r="D213" s="15">
        <f>'Solid Pine.'!O8</f>
        <v>48.462190555555559</v>
      </c>
      <c r="E213" s="65">
        <f>'Solid Pine'!P9</f>
        <v>129.01340571428574</v>
      </c>
      <c r="F213" s="65">
        <f>'Solid Pine'!R9</f>
        <v>143.34822857142859</v>
      </c>
    </row>
    <row r="214" spans="1:6" x14ac:dyDescent="0.25">
      <c r="A214" s="56" t="s">
        <v>102</v>
      </c>
      <c r="B214" s="52" t="s">
        <v>69</v>
      </c>
      <c r="C214" s="54" t="s">
        <v>88</v>
      </c>
      <c r="D214" s="15">
        <f>'Solid Pine.'!O9</f>
        <v>50.267143888888889</v>
      </c>
      <c r="E214" s="65">
        <f>'Solid Pine'!P10</f>
        <v>135.7192542857143</v>
      </c>
      <c r="F214" s="65">
        <f>'Solid Pine'!R10</f>
        <v>150.79917142857144</v>
      </c>
    </row>
    <row r="215" spans="1:6" x14ac:dyDescent="0.25">
      <c r="A215" s="56" t="s">
        <v>102</v>
      </c>
      <c r="B215" s="52" t="s">
        <v>69</v>
      </c>
      <c r="C215" s="54" t="s">
        <v>68</v>
      </c>
      <c r="D215" s="15">
        <f>'Solid Pine.'!O10</f>
        <v>61.888913333333335</v>
      </c>
      <c r="E215" s="65">
        <f>'Solid Pine'!P11</f>
        <v>148.40452285714287</v>
      </c>
      <c r="F215" s="65">
        <f>'Solid Pine'!R11</f>
        <v>164.89391428571429</v>
      </c>
    </row>
    <row r="216" spans="1:6" x14ac:dyDescent="0.25">
      <c r="A216" s="56" t="s">
        <v>102</v>
      </c>
      <c r="B216" s="52" t="s">
        <v>69</v>
      </c>
      <c r="C216" s="54" t="s">
        <v>56</v>
      </c>
      <c r="D216" s="15">
        <f>'Solid Pine.'!O11</f>
        <v>67.112150555555559</v>
      </c>
      <c r="E216" s="65">
        <f>'Solid Pine'!P12</f>
        <v>157.45764857142856</v>
      </c>
      <c r="F216" s="65">
        <f>'Solid Pine'!R12</f>
        <v>174.95294285714286</v>
      </c>
    </row>
    <row r="217" spans="1:6" x14ac:dyDescent="0.25">
      <c r="A217" s="56" t="s">
        <v>102</v>
      </c>
      <c r="B217" s="52" t="s">
        <v>69</v>
      </c>
      <c r="C217" s="54" t="s">
        <v>89</v>
      </c>
      <c r="D217" s="15">
        <f>'Solid Pine.'!O12</f>
        <v>76.267960555555561</v>
      </c>
      <c r="E217" s="65">
        <f>'Solid Pine'!P13</f>
        <v>186.46032857142856</v>
      </c>
      <c r="F217" s="65">
        <f>'Solid Pine'!R13</f>
        <v>207.17814285714286</v>
      </c>
    </row>
    <row r="218" spans="1:6" ht="6" customHeight="1" x14ac:dyDescent="0.25"/>
    <row r="219" spans="1:6" x14ac:dyDescent="0.25">
      <c r="A219" s="56" t="s">
        <v>102</v>
      </c>
      <c r="B219" s="52" t="s">
        <v>67</v>
      </c>
      <c r="C219" s="54" t="s">
        <v>16</v>
      </c>
      <c r="D219" s="15">
        <f>'Solid Pine.'!O17</f>
        <v>46.672563888888895</v>
      </c>
      <c r="E219" s="65">
        <f>'Solid Pine'!P18</f>
        <v>134.10069428571427</v>
      </c>
      <c r="F219" s="65">
        <f>'Solid Pine'!R18</f>
        <v>149.00077142857143</v>
      </c>
    </row>
    <row r="220" spans="1:6" x14ac:dyDescent="0.25">
      <c r="A220" s="56" t="s">
        <v>102</v>
      </c>
      <c r="B220" s="52" t="s">
        <v>67</v>
      </c>
      <c r="C220" s="54" t="s">
        <v>70</v>
      </c>
      <c r="D220" s="15">
        <f>'Solid Pine.'!O18</f>
        <v>48.679770555555557</v>
      </c>
      <c r="E220" s="65">
        <f>'Solid Pine'!P19</f>
        <v>139.14912857142861</v>
      </c>
      <c r="F220" s="65">
        <f>'Solid Pine'!R19</f>
        <v>154.6101428571429</v>
      </c>
    </row>
    <row r="221" spans="1:6" x14ac:dyDescent="0.25">
      <c r="A221" s="56" t="s">
        <v>102</v>
      </c>
      <c r="B221" s="52" t="s">
        <v>67</v>
      </c>
      <c r="C221" s="54" t="s">
        <v>87</v>
      </c>
      <c r="D221" s="15">
        <f>'Solid Pine.'!O19</f>
        <v>50.686977222222218</v>
      </c>
      <c r="E221" s="65">
        <f>'Solid Pine'!P20</f>
        <v>145.65042000000003</v>
      </c>
      <c r="F221" s="65">
        <f>'Solid Pine'!R20</f>
        <v>161.83380000000002</v>
      </c>
    </row>
    <row r="222" spans="1:6" x14ac:dyDescent="0.25">
      <c r="A222" s="56" t="s">
        <v>102</v>
      </c>
      <c r="B222" s="52" t="s">
        <v>67</v>
      </c>
      <c r="C222" s="54" t="s">
        <v>88</v>
      </c>
      <c r="D222" s="15">
        <f>'Solid Pine.'!O20</f>
        <v>52.694183888888894</v>
      </c>
      <c r="E222" s="65">
        <f>'Solid Pine'!P21</f>
        <v>152.87814000000003</v>
      </c>
      <c r="F222" s="65">
        <f>'Solid Pine'!R21</f>
        <v>169.86460000000002</v>
      </c>
    </row>
    <row r="223" spans="1:6" x14ac:dyDescent="0.25">
      <c r="A223" s="56" t="s">
        <v>102</v>
      </c>
      <c r="B223" s="52" t="s">
        <v>67</v>
      </c>
      <c r="C223" s="54" t="s">
        <v>68</v>
      </c>
      <c r="D223" s="15">
        <f>'Solid Pine.'!O21</f>
        <v>64.720460000000003</v>
      </c>
      <c r="E223" s="65">
        <f>'Solid Pine'!P22</f>
        <v>162.97500857142859</v>
      </c>
      <c r="F223" s="65">
        <f>'Solid Pine'!R22</f>
        <v>181.08334285714287</v>
      </c>
    </row>
    <row r="224" spans="1:6" x14ac:dyDescent="0.25">
      <c r="A224" s="56" t="s">
        <v>102</v>
      </c>
      <c r="B224" s="52" t="s">
        <v>67</v>
      </c>
      <c r="C224" s="54" t="s">
        <v>56</v>
      </c>
      <c r="D224" s="15">
        <f>'Solid Pine.'!O22</f>
        <v>70.348203888888889</v>
      </c>
      <c r="E224" s="65">
        <f>'Solid Pine'!P23</f>
        <v>176.70401999999999</v>
      </c>
      <c r="F224" s="65">
        <f>'Solid Pine'!R23</f>
        <v>196.33779999999999</v>
      </c>
    </row>
    <row r="225" spans="1:6" x14ac:dyDescent="0.25">
      <c r="A225" s="56" t="s">
        <v>102</v>
      </c>
      <c r="B225" s="52" t="s">
        <v>67</v>
      </c>
      <c r="C225" s="54" t="s">
        <v>89</v>
      </c>
      <c r="D225" s="15">
        <f>'Solid Pine.'!O23</f>
        <v>80.313027222222232</v>
      </c>
      <c r="E225" s="65">
        <f>'Solid Pine'!P24</f>
        <v>211.42632857142857</v>
      </c>
      <c r="F225" s="65">
        <f>'Solid Pine'!R24</f>
        <v>234.91814285714287</v>
      </c>
    </row>
    <row r="226" spans="1:6" ht="6" customHeight="1" x14ac:dyDescent="0.25"/>
    <row r="227" spans="1:6" x14ac:dyDescent="0.25">
      <c r="A227" s="56" t="s">
        <v>54</v>
      </c>
      <c r="B227" s="52" t="s">
        <v>69</v>
      </c>
      <c r="C227" s="54" t="s">
        <v>16</v>
      </c>
      <c r="D227" s="15">
        <f>'Solid Pine.'!O28</f>
        <v>47.596563888888888</v>
      </c>
      <c r="E227" s="65">
        <f>'Solid Pine'!P30</f>
        <v>125.31211714285715</v>
      </c>
      <c r="F227" s="65">
        <f>'Solid Pine'!R30</f>
        <v>139.23568571428572</v>
      </c>
    </row>
    <row r="228" spans="1:6" x14ac:dyDescent="0.25">
      <c r="A228" s="56" t="s">
        <v>54</v>
      </c>
      <c r="B228" s="52" t="s">
        <v>69</v>
      </c>
      <c r="C228" s="54" t="s">
        <v>70</v>
      </c>
      <c r="D228" s="15">
        <f>'Solid Pine.'!O29</f>
        <v>49.706437222222227</v>
      </c>
      <c r="E228" s="65">
        <f>'Solid Pine'!P31</f>
        <v>130.59475714285713</v>
      </c>
      <c r="F228" s="65">
        <f>'Solid Pine'!R31</f>
        <v>145.10528571428571</v>
      </c>
    </row>
    <row r="229" spans="1:6" x14ac:dyDescent="0.25">
      <c r="A229" s="56" t="s">
        <v>54</v>
      </c>
      <c r="B229" s="52" t="s">
        <v>69</v>
      </c>
      <c r="C229" s="54" t="s">
        <v>87</v>
      </c>
      <c r="D229" s="15">
        <f>'Solid Pine.'!O30</f>
        <v>51.816310555555553</v>
      </c>
      <c r="E229" s="65">
        <f>'Solid Pine'!P32</f>
        <v>137.33025428571429</v>
      </c>
      <c r="F229" s="65">
        <f>'Solid Pine'!R32</f>
        <v>152.58917142857143</v>
      </c>
    </row>
    <row r="230" spans="1:6" x14ac:dyDescent="0.25">
      <c r="A230" s="56" t="s">
        <v>54</v>
      </c>
      <c r="B230" s="52" t="s">
        <v>69</v>
      </c>
      <c r="C230" s="54" t="s">
        <v>88</v>
      </c>
      <c r="D230" s="15">
        <f>'Solid Pine.'!O31</f>
        <v>53.926183888888893</v>
      </c>
      <c r="E230" s="65">
        <f>'Solid Pine'!P33</f>
        <v>144.79218</v>
      </c>
      <c r="F230" s="65">
        <f>'Solid Pine'!R33</f>
        <v>160.8802</v>
      </c>
    </row>
    <row r="231" spans="1:6" x14ac:dyDescent="0.25">
      <c r="A231" s="56" t="s">
        <v>54</v>
      </c>
      <c r="B231" s="52" t="s">
        <v>69</v>
      </c>
      <c r="C231" s="54" t="s">
        <v>68</v>
      </c>
      <c r="D231" s="15">
        <f>'Solid Pine.'!O32</f>
        <v>66.157793333333331</v>
      </c>
      <c r="E231" s="65">
        <f>'Solid Pine'!P34</f>
        <v>158.98960285714287</v>
      </c>
      <c r="F231" s="65">
        <f>'Solid Pine'!R34</f>
        <v>176.65511428571429</v>
      </c>
    </row>
    <row r="232" spans="1:6" x14ac:dyDescent="0.25">
      <c r="A232" s="56" t="s">
        <v>54</v>
      </c>
      <c r="B232" s="52" t="s">
        <v>69</v>
      </c>
      <c r="C232" s="54" t="s">
        <v>56</v>
      </c>
      <c r="D232" s="15">
        <f>'Solid Pine.'!O33</f>
        <v>71.99087055555556</v>
      </c>
      <c r="E232" s="65">
        <f>'Solid Pine'!P35</f>
        <v>169.55488285714284</v>
      </c>
      <c r="F232" s="65">
        <f>'Solid Pine'!R35</f>
        <v>188.39431428571427</v>
      </c>
    </row>
    <row r="233" spans="1:6" x14ac:dyDescent="0.25">
      <c r="A233" s="56" t="s">
        <v>54</v>
      </c>
      <c r="B233" s="52" t="s">
        <v>69</v>
      </c>
      <c r="C233" s="54" t="s">
        <v>89</v>
      </c>
      <c r="D233" s="15">
        <f>'Solid Pine.'!O34</f>
        <v>82.366360555555559</v>
      </c>
      <c r="E233" s="65">
        <f>'Solid Pine'!P36</f>
        <v>201.58187142857147</v>
      </c>
      <c r="F233" s="65">
        <f>'Solid Pine'!R36</f>
        <v>223.97985714285718</v>
      </c>
    </row>
    <row r="234" spans="1:6" ht="6" customHeight="1" x14ac:dyDescent="0.25"/>
    <row r="235" spans="1:6" x14ac:dyDescent="0.25">
      <c r="A235" s="56" t="s">
        <v>54</v>
      </c>
      <c r="B235" s="52" t="s">
        <v>67</v>
      </c>
      <c r="C235" s="54" t="s">
        <v>16</v>
      </c>
      <c r="D235" s="15">
        <f>'Solid Pine.'!O39</f>
        <v>49.94352388888889</v>
      </c>
      <c r="E235" s="65">
        <f>'Solid Pine'!P41</f>
        <v>138.54551142857144</v>
      </c>
      <c r="F235" s="65">
        <f>'Solid Pine'!R41</f>
        <v>153.93945714285715</v>
      </c>
    </row>
    <row r="236" spans="1:6" x14ac:dyDescent="0.25">
      <c r="A236" s="56" t="s">
        <v>54</v>
      </c>
      <c r="B236" s="52" t="s">
        <v>67</v>
      </c>
      <c r="C236" s="54" t="s">
        <v>70</v>
      </c>
      <c r="D236" s="15">
        <f>'Solid Pine.'!O40</f>
        <v>52.314170555555556</v>
      </c>
      <c r="E236" s="65">
        <f>'Solid Pine'!P42</f>
        <v>144.08781428571427</v>
      </c>
      <c r="F236" s="65">
        <f>'Solid Pine'!R42</f>
        <v>160.09757142857143</v>
      </c>
    </row>
    <row r="237" spans="1:6" x14ac:dyDescent="0.25">
      <c r="A237" s="56" t="s">
        <v>54</v>
      </c>
      <c r="B237" s="52" t="s">
        <v>67</v>
      </c>
      <c r="C237" s="54" t="s">
        <v>87</v>
      </c>
      <c r="D237" s="15">
        <f>'Solid Pine.'!O41</f>
        <v>54.684817222222229</v>
      </c>
      <c r="E237" s="65">
        <f>'Solid Pine'!P43</f>
        <v>151.0829742857143</v>
      </c>
      <c r="F237" s="65">
        <f>'Solid Pine'!R43</f>
        <v>167.86997142857143</v>
      </c>
    </row>
    <row r="238" spans="1:6" x14ac:dyDescent="0.25">
      <c r="A238" s="56" t="s">
        <v>54</v>
      </c>
      <c r="B238" s="52" t="s">
        <v>67</v>
      </c>
      <c r="C238" s="54" t="s">
        <v>88</v>
      </c>
      <c r="D238" s="15">
        <f>'Solid Pine.'!O42</f>
        <v>57.055463888888895</v>
      </c>
      <c r="E238" s="65">
        <f>'Solid Pine'!P44</f>
        <v>158.80456285714288</v>
      </c>
      <c r="F238" s="65">
        <f>'Solid Pine'!R44</f>
        <v>176.44951428571432</v>
      </c>
    </row>
    <row r="239" spans="1:6" x14ac:dyDescent="0.25">
      <c r="A239" s="56" t="s">
        <v>54</v>
      </c>
      <c r="B239" s="52" t="s">
        <v>67</v>
      </c>
      <c r="C239" s="54" t="s">
        <v>68</v>
      </c>
      <c r="D239" s="15">
        <f>'Solid Pine.'!O43</f>
        <v>69.808620000000005</v>
      </c>
      <c r="E239" s="65">
        <f>'Solid Pine'!P45</f>
        <v>169.88916857142857</v>
      </c>
      <c r="F239" s="65">
        <f>'Solid Pine'!R45</f>
        <v>188.76574285714287</v>
      </c>
    </row>
    <row r="240" spans="1:6" x14ac:dyDescent="0.25">
      <c r="A240" s="56" t="s">
        <v>54</v>
      </c>
      <c r="B240" s="52" t="s">
        <v>67</v>
      </c>
      <c r="C240" s="54" t="s">
        <v>56</v>
      </c>
      <c r="D240" s="15">
        <f>'Solid Pine.'!O44</f>
        <v>76.163243888888886</v>
      </c>
      <c r="E240" s="65">
        <f>'Solid Pine'!P46</f>
        <v>184.60591714285715</v>
      </c>
      <c r="F240" s="65">
        <f>'Solid Pine'!R46</f>
        <v>205.11768571428573</v>
      </c>
    </row>
    <row r="241" spans="1:6" x14ac:dyDescent="0.25">
      <c r="A241" s="56" t="s">
        <v>54</v>
      </c>
      <c r="B241" s="52" t="s">
        <v>67</v>
      </c>
      <c r="C241" s="54" t="s">
        <v>89</v>
      </c>
      <c r="D241" s="15">
        <f>'Solid Pine.'!O45</f>
        <v>87.58182722222223</v>
      </c>
      <c r="E241" s="65">
        <f>'Solid Pine'!P47</f>
        <v>221.30370000000002</v>
      </c>
      <c r="F241" s="65">
        <f>'Solid Pine'!R47</f>
        <v>245.89300000000003</v>
      </c>
    </row>
    <row r="242" spans="1:6" ht="6" customHeight="1" x14ac:dyDescent="0.25"/>
    <row r="243" spans="1:6" x14ac:dyDescent="0.25">
      <c r="A243" s="56" t="s">
        <v>14</v>
      </c>
      <c r="B243" s="52" t="s">
        <v>15</v>
      </c>
      <c r="C243" s="54" t="s">
        <v>16</v>
      </c>
      <c r="D243" s="15">
        <f>External.!G6</f>
        <v>42.454741666666671</v>
      </c>
      <c r="E243" s="65">
        <f>External!D7</f>
        <v>114.41447500000001</v>
      </c>
      <c r="F243" s="65">
        <f>External!F7</f>
        <v>127.12719444444446</v>
      </c>
    </row>
    <row r="244" spans="1:6" x14ac:dyDescent="0.25">
      <c r="A244" s="56" t="s">
        <v>14</v>
      </c>
      <c r="B244" s="52" t="s">
        <v>15</v>
      </c>
      <c r="C244" s="54" t="s">
        <v>70</v>
      </c>
      <c r="D244" s="15">
        <f>External.!G7</f>
        <v>44.564248333333346</v>
      </c>
      <c r="E244" s="65">
        <f>External!D8</f>
        <v>119.52837499999998</v>
      </c>
      <c r="F244" s="65">
        <f>External!F8</f>
        <v>132.80930555555554</v>
      </c>
    </row>
    <row r="245" spans="1:6" x14ac:dyDescent="0.25">
      <c r="A245" s="56" t="s">
        <v>14</v>
      </c>
      <c r="B245" s="52" t="s">
        <v>15</v>
      </c>
      <c r="C245" s="54" t="s">
        <v>88</v>
      </c>
      <c r="D245" s="15">
        <f>External.!G8</f>
        <v>48.758003888888894</v>
      </c>
      <c r="E245" s="65">
        <f>External!D9</f>
        <v>129.69787500000001</v>
      </c>
      <c r="F245" s="65">
        <f>External!F9</f>
        <v>144.10875000000001</v>
      </c>
    </row>
    <row r="246" spans="1:6" x14ac:dyDescent="0.25">
      <c r="A246" s="56" t="s">
        <v>14</v>
      </c>
      <c r="B246" s="52" t="s">
        <v>15</v>
      </c>
      <c r="C246" s="54" t="s">
        <v>103</v>
      </c>
      <c r="D246" s="15">
        <f>External.!G9</f>
        <v>63.781044444444447</v>
      </c>
      <c r="E246" s="65">
        <f>External!D10</f>
        <v>170.66012500000005</v>
      </c>
      <c r="F246" s="65">
        <f>External!F10</f>
        <v>189.62236111111116</v>
      </c>
    </row>
    <row r="247" spans="1:6" x14ac:dyDescent="0.25">
      <c r="A247" s="56" t="s">
        <v>14</v>
      </c>
      <c r="B247" s="52" t="s">
        <v>15</v>
      </c>
      <c r="C247" s="54" t="s">
        <v>104</v>
      </c>
      <c r="D247" s="15">
        <f>External.!G10</f>
        <v>73.98155777777778</v>
      </c>
      <c r="E247" s="65">
        <f>External!D11</f>
        <v>193.06432500000003</v>
      </c>
      <c r="F247" s="65">
        <f>External!F11</f>
        <v>214.5159166666667</v>
      </c>
    </row>
    <row r="248" spans="1:6" x14ac:dyDescent="0.25">
      <c r="A248" s="56" t="s">
        <v>14</v>
      </c>
      <c r="B248" s="52" t="s">
        <v>15</v>
      </c>
      <c r="C248" s="54" t="s">
        <v>105</v>
      </c>
      <c r="D248" s="15">
        <f>External.!G11</f>
        <v>83.859404999999995</v>
      </c>
      <c r="E248" s="65">
        <f>External!D12</f>
        <v>214.47977500000002</v>
      </c>
      <c r="F248" s="65">
        <f>External!F12</f>
        <v>238.31086111111114</v>
      </c>
    </row>
    <row r="249" spans="1:6" x14ac:dyDescent="0.25">
      <c r="A249" s="56" t="s">
        <v>14</v>
      </c>
      <c r="B249" s="52" t="s">
        <v>15</v>
      </c>
      <c r="C249" s="54" t="s">
        <v>106</v>
      </c>
      <c r="D249" s="15">
        <f>External.!G12</f>
        <v>90.187924999999993</v>
      </c>
      <c r="E249" s="65">
        <f>External!D13</f>
        <v>232.92897499999998</v>
      </c>
      <c r="F249" s="65">
        <f>External!F13</f>
        <v>258.8099722222222</v>
      </c>
    </row>
    <row r="250" spans="1:6" ht="6" customHeight="1" x14ac:dyDescent="0.25"/>
    <row r="251" spans="1:6" x14ac:dyDescent="0.25">
      <c r="A251" s="56" t="s">
        <v>107</v>
      </c>
      <c r="B251" s="52" t="s">
        <v>108</v>
      </c>
      <c r="C251" s="54" t="s">
        <v>16</v>
      </c>
      <c r="D251" s="15">
        <f>External.!G17</f>
        <v>53.037841666666665</v>
      </c>
      <c r="E251" s="65">
        <f>External!D18</f>
        <v>122.53247500000002</v>
      </c>
      <c r="F251" s="65">
        <f>External!F18</f>
        <v>136.14719444444447</v>
      </c>
    </row>
    <row r="252" spans="1:6" x14ac:dyDescent="0.25">
      <c r="A252" s="56" t="s">
        <v>107</v>
      </c>
      <c r="B252" s="52" t="s">
        <v>108</v>
      </c>
      <c r="C252" s="54" t="s">
        <v>70</v>
      </c>
      <c r="D252" s="15">
        <f>External.!G18</f>
        <v>56.323248333333346</v>
      </c>
      <c r="E252" s="65">
        <f>External!D19</f>
        <v>128.54837500000002</v>
      </c>
      <c r="F252" s="65">
        <f>External!F19</f>
        <v>142.83152777777781</v>
      </c>
    </row>
    <row r="253" spans="1:6" x14ac:dyDescent="0.25">
      <c r="A253" s="56" t="s">
        <v>107</v>
      </c>
      <c r="B253" s="52" t="s">
        <v>108</v>
      </c>
      <c r="C253" s="54" t="s">
        <v>88</v>
      </c>
      <c r="D253" s="15">
        <f>External.!G19</f>
        <v>62.975703888888901</v>
      </c>
      <c r="E253" s="65">
        <f>External!D20</f>
        <v>146.96012500000001</v>
      </c>
      <c r="F253" s="65">
        <f>External!F20</f>
        <v>163.28902777777779</v>
      </c>
    </row>
    <row r="254" spans="1:6" x14ac:dyDescent="0.25">
      <c r="A254" s="56" t="s">
        <v>107</v>
      </c>
      <c r="B254" s="52" t="s">
        <v>108</v>
      </c>
      <c r="C254" s="54" t="s">
        <v>103</v>
      </c>
      <c r="D254" s="15">
        <f>External.!G20</f>
        <v>81.419544444444455</v>
      </c>
      <c r="E254" s="65">
        <f>External!D21</f>
        <v>186.308875</v>
      </c>
      <c r="F254" s="65">
        <f>External!F21</f>
        <v>207.00986111111112</v>
      </c>
    </row>
    <row r="255" spans="1:6" x14ac:dyDescent="0.25">
      <c r="A255" s="56" t="s">
        <v>107</v>
      </c>
      <c r="B255" s="52" t="s">
        <v>108</v>
      </c>
      <c r="C255" s="54" t="s">
        <v>104</v>
      </c>
      <c r="D255" s="15">
        <f>External.!G21</f>
        <v>95.147757777777784</v>
      </c>
      <c r="E255" s="65">
        <f>External!D22</f>
        <v>207.88782500000002</v>
      </c>
      <c r="F255" s="65">
        <f>External!F22</f>
        <v>230.98647222222226</v>
      </c>
    </row>
    <row r="256" spans="1:6" x14ac:dyDescent="0.25">
      <c r="A256" s="56" t="s">
        <v>107</v>
      </c>
      <c r="B256" s="52" t="s">
        <v>108</v>
      </c>
      <c r="C256" s="54" t="s">
        <v>105</v>
      </c>
      <c r="D256" s="15">
        <f>External.!G22</f>
        <v>108.55330499999999</v>
      </c>
      <c r="E256" s="65">
        <f>External!D23</f>
        <v>236.52927499999998</v>
      </c>
      <c r="F256" s="65">
        <f>External!F23</f>
        <v>262.81030555555554</v>
      </c>
    </row>
    <row r="257" spans="1:6" x14ac:dyDescent="0.25">
      <c r="A257" s="56" t="s">
        <v>107</v>
      </c>
      <c r="B257" s="52" t="s">
        <v>108</v>
      </c>
      <c r="C257" s="54" t="s">
        <v>106</v>
      </c>
      <c r="D257" s="15">
        <f>External.!G23</f>
        <v>118.409525</v>
      </c>
      <c r="E257" s="65">
        <f>External!D24</f>
        <v>258.81447500000002</v>
      </c>
      <c r="F257" s="65">
        <f>External!F24</f>
        <v>287.57163888888891</v>
      </c>
    </row>
    <row r="258" spans="1:6" ht="6" customHeight="1" x14ac:dyDescent="0.25"/>
    <row r="259" spans="1:6" x14ac:dyDescent="0.25">
      <c r="A259" s="56" t="s">
        <v>107</v>
      </c>
      <c r="B259" s="52" t="s">
        <v>55</v>
      </c>
      <c r="C259" s="54" t="s">
        <v>16</v>
      </c>
      <c r="D259" s="15">
        <f>External.!G28</f>
        <v>51.820141666666672</v>
      </c>
      <c r="E259" s="65">
        <f>External!D29</f>
        <v>137.82797500000004</v>
      </c>
      <c r="F259" s="65">
        <f>External!F29</f>
        <v>153.1421944444445</v>
      </c>
    </row>
    <row r="260" spans="1:6" x14ac:dyDescent="0.25">
      <c r="A260" s="56" t="s">
        <v>107</v>
      </c>
      <c r="B260" s="52" t="s">
        <v>55</v>
      </c>
      <c r="C260" s="54" t="s">
        <v>70</v>
      </c>
      <c r="D260" s="15">
        <f>External.!G29</f>
        <v>54.970248333333338</v>
      </c>
      <c r="E260" s="65">
        <f>External!D30</f>
        <v>145.543375</v>
      </c>
      <c r="F260" s="65">
        <f>External!F30</f>
        <v>161.71486111111111</v>
      </c>
    </row>
    <row r="261" spans="1:6" x14ac:dyDescent="0.25">
      <c r="A261" s="56" t="s">
        <v>107</v>
      </c>
      <c r="B261" s="52" t="s">
        <v>55</v>
      </c>
      <c r="C261" s="54" t="s">
        <v>88</v>
      </c>
      <c r="D261" s="15">
        <f>External.!G30</f>
        <v>61.339803888888895</v>
      </c>
      <c r="E261" s="65">
        <f>External!D31</f>
        <v>167.50862500000005</v>
      </c>
      <c r="F261" s="65">
        <f>External!F31</f>
        <v>186.1206944444445</v>
      </c>
    </row>
    <row r="262" spans="1:6" x14ac:dyDescent="0.25">
      <c r="A262" s="56" t="s">
        <v>107</v>
      </c>
      <c r="B262" s="52" t="s">
        <v>55</v>
      </c>
      <c r="C262" s="54" t="s">
        <v>103</v>
      </c>
      <c r="D262" s="15">
        <f>External.!G31</f>
        <v>79.390044444444442</v>
      </c>
      <c r="E262" s="65">
        <f>External!D32</f>
        <v>211.80137500000001</v>
      </c>
      <c r="F262" s="65">
        <f>External!F32</f>
        <v>235.33486111111114</v>
      </c>
    </row>
    <row r="263" spans="1:6" x14ac:dyDescent="0.25">
      <c r="A263" s="56" t="s">
        <v>107</v>
      </c>
      <c r="B263" s="52" t="s">
        <v>55</v>
      </c>
      <c r="C263" s="54" t="s">
        <v>104</v>
      </c>
      <c r="D263" s="15">
        <f>External.!G32</f>
        <v>92.712357777777783</v>
      </c>
      <c r="E263" s="65">
        <f>External!D33</f>
        <v>238.47882500000006</v>
      </c>
      <c r="F263" s="65">
        <f>External!F33</f>
        <v>264.9764722222223</v>
      </c>
    </row>
    <row r="264" spans="1:6" x14ac:dyDescent="0.25">
      <c r="A264" s="56" t="s">
        <v>107</v>
      </c>
      <c r="B264" s="52" t="s">
        <v>55</v>
      </c>
      <c r="C264" s="54" t="s">
        <v>105</v>
      </c>
      <c r="D264" s="15">
        <f>External.!G33</f>
        <v>105.71200500000002</v>
      </c>
      <c r="E264" s="65">
        <f>External!D34</f>
        <v>272.21877499999994</v>
      </c>
      <c r="F264" s="65">
        <f>External!F34</f>
        <v>302.46530555555552</v>
      </c>
    </row>
    <row r="265" spans="1:6" x14ac:dyDescent="0.25">
      <c r="A265" s="56" t="s">
        <v>107</v>
      </c>
      <c r="B265" s="52" t="s">
        <v>55</v>
      </c>
      <c r="C265" s="54" t="s">
        <v>106</v>
      </c>
      <c r="D265" s="15">
        <f>External.!G34</f>
        <v>115.162325</v>
      </c>
      <c r="E265" s="65">
        <f>External!D35</f>
        <v>299.60247499999997</v>
      </c>
      <c r="F265" s="65">
        <f>External!F35</f>
        <v>332.89163888888885</v>
      </c>
    </row>
    <row r="266" spans="1:6" ht="6" customHeight="1" x14ac:dyDescent="0.25"/>
    <row r="267" spans="1:6" x14ac:dyDescent="0.25">
      <c r="A267" s="56" t="s">
        <v>109</v>
      </c>
      <c r="B267" s="52" t="s">
        <v>58</v>
      </c>
      <c r="C267" s="54" t="s">
        <v>110</v>
      </c>
      <c r="D267" s="15">
        <f>'Landings &amp; Winders.'!G6</f>
        <v>123.73810000000002</v>
      </c>
      <c r="E267" s="65">
        <f>'Landings &amp; Winders'!D7</f>
        <v>323.65730769230771</v>
      </c>
      <c r="F267" s="65">
        <f>'Landings &amp; Winders'!F7</f>
        <v>359.6192307692308</v>
      </c>
    </row>
    <row r="268" spans="1:6" ht="6" customHeight="1" x14ac:dyDescent="0.25"/>
    <row r="269" spans="1:6" x14ac:dyDescent="0.25">
      <c r="A269" s="56" t="s">
        <v>109</v>
      </c>
      <c r="B269" s="52" t="s">
        <v>111</v>
      </c>
      <c r="C269" s="54" t="s">
        <v>110</v>
      </c>
      <c r="D269" s="15">
        <f>'Landings &amp; Winders.'!G11</f>
        <v>130.60735</v>
      </c>
      <c r="E269" s="65">
        <f>'Landings &amp; Winders'!D12</f>
        <v>349.71576923076918</v>
      </c>
      <c r="F269" s="65">
        <f>'Landings &amp; Winders'!F12</f>
        <v>388.57307692307688</v>
      </c>
    </row>
    <row r="270" spans="1:6" ht="6" customHeight="1" x14ac:dyDescent="0.25"/>
    <row r="271" spans="1:6" x14ac:dyDescent="0.25">
      <c r="A271" s="56" t="s">
        <v>109</v>
      </c>
      <c r="B271" s="52" t="s">
        <v>112</v>
      </c>
      <c r="C271" s="54" t="s">
        <v>110</v>
      </c>
      <c r="D271" s="15">
        <f>'Landings &amp; Winders.'!G16</f>
        <v>140.80810000000002</v>
      </c>
      <c r="E271" s="65">
        <f>'Landings &amp; Winders'!D17</f>
        <v>371.6307692307692</v>
      </c>
      <c r="F271" s="65">
        <f>'Landings &amp; Winders'!F17</f>
        <v>412.92307692307691</v>
      </c>
    </row>
    <row r="272" spans="1:6" ht="6" customHeight="1" x14ac:dyDescent="0.25"/>
    <row r="273" spans="1:6" x14ac:dyDescent="0.25">
      <c r="A273" s="56" t="s">
        <v>109</v>
      </c>
      <c r="B273" s="52" t="s">
        <v>113</v>
      </c>
      <c r="C273" s="54" t="s">
        <v>110</v>
      </c>
      <c r="D273" s="15">
        <f>'Landings &amp; Winders.'!G21</f>
        <v>183.18779166666667</v>
      </c>
      <c r="E273" s="65">
        <f>'Landings &amp; Winders'!D22</f>
        <v>544.37399999999991</v>
      </c>
      <c r="F273" s="65">
        <f>'Landings &amp; Winders'!F22</f>
        <v>604.8599999999999</v>
      </c>
    </row>
    <row r="274" spans="1:6" ht="6" customHeight="1" x14ac:dyDescent="0.25">
      <c r="A274" s="100"/>
      <c r="B274" s="101"/>
      <c r="C274" s="102"/>
      <c r="D274" s="57"/>
      <c r="E274" s="2"/>
      <c r="F274" s="2"/>
    </row>
    <row r="275" spans="1:6" x14ac:dyDescent="0.25">
      <c r="A275" s="56" t="s">
        <v>109</v>
      </c>
      <c r="B275" s="52" t="s">
        <v>49</v>
      </c>
      <c r="C275" s="54" t="s">
        <v>110</v>
      </c>
      <c r="D275" s="15">
        <f>'Landings &amp; Winders.'!G26</f>
        <v>203.03054166666669</v>
      </c>
      <c r="E275" s="65">
        <f>'Landings &amp; Winders'!D27</f>
        <v>596.70449999999994</v>
      </c>
      <c r="F275" s="65">
        <f>'Landings &amp; Winders'!F27</f>
        <v>663.00499999999988</v>
      </c>
    </row>
    <row r="276" spans="1:6" ht="6" customHeight="1" x14ac:dyDescent="0.25"/>
    <row r="277" spans="1:6" x14ac:dyDescent="0.25">
      <c r="A277" s="56" t="s">
        <v>114</v>
      </c>
      <c r="B277" s="52" t="s">
        <v>58</v>
      </c>
      <c r="C277" s="53" t="s">
        <v>71</v>
      </c>
      <c r="D277" s="15">
        <f>'Landings &amp; Winders.'!W6</f>
        <v>140.06794166666668</v>
      </c>
      <c r="E277" s="65">
        <f>'Landings &amp; Winders'!V7</f>
        <v>394.48440000000005</v>
      </c>
      <c r="F277" s="65">
        <f>'Landings &amp; Winders'!X7</f>
        <v>438.31600000000003</v>
      </c>
    </row>
    <row r="278" spans="1:6" x14ac:dyDescent="0.25">
      <c r="A278" s="56" t="s">
        <v>114</v>
      </c>
      <c r="B278" s="52" t="s">
        <v>58</v>
      </c>
      <c r="C278" s="53" t="s">
        <v>115</v>
      </c>
      <c r="D278" s="15">
        <f>'Landings &amp; Winders.'!W7</f>
        <v>133.58539166666668</v>
      </c>
      <c r="E278" s="65">
        <f>'Landings &amp; Winders'!V8</f>
        <v>591.72660000000008</v>
      </c>
      <c r="F278" s="65">
        <f>'Landings &amp; Winders'!X8</f>
        <v>657.47400000000005</v>
      </c>
    </row>
    <row r="279" spans="1:6" x14ac:dyDescent="0.25">
      <c r="A279" s="56" t="s">
        <v>114</v>
      </c>
      <c r="B279" s="52" t="s">
        <v>58</v>
      </c>
      <c r="C279" s="53" t="s">
        <v>116</v>
      </c>
      <c r="D279" s="15">
        <f>'Landings &amp; Winders.'!W14</f>
        <v>253.42726666666667</v>
      </c>
      <c r="E279" s="65">
        <f>'Landings &amp; Winders'!V15</f>
        <v>814.66261363636374</v>
      </c>
      <c r="F279" s="65">
        <f>'Landings &amp; Winders'!X15</f>
        <v>905.18068181818194</v>
      </c>
    </row>
    <row r="280" spans="1:6" x14ac:dyDescent="0.25">
      <c r="A280" s="56" t="s">
        <v>114</v>
      </c>
      <c r="B280" s="52" t="s">
        <v>58</v>
      </c>
      <c r="C280" s="53" t="s">
        <v>117</v>
      </c>
      <c r="D280" s="15">
        <f>'Landings &amp; Winders.'!W9</f>
        <v>193.43815833333335</v>
      </c>
      <c r="E280" s="65">
        <f>'Landings &amp; Winders'!V9</f>
        <v>788.9688000000001</v>
      </c>
      <c r="F280" s="65">
        <f>'Landings &amp; Winders'!X9</f>
        <v>876.63200000000006</v>
      </c>
    </row>
    <row r="281" spans="1:6" x14ac:dyDescent="0.25">
      <c r="A281" s="56" t="s">
        <v>114</v>
      </c>
      <c r="B281" s="52" t="s">
        <v>58</v>
      </c>
      <c r="C281" s="53" t="s">
        <v>59</v>
      </c>
      <c r="D281" s="15">
        <f>'Landings &amp; Winders.'!W15</f>
        <v>240.46216666666669</v>
      </c>
      <c r="E281" s="65">
        <f>'Landings &amp; Winders'!V16</f>
        <v>1121.1061764705878</v>
      </c>
      <c r="F281" s="65">
        <f>'Landings &amp; Winders'!X16</f>
        <v>1245.6735294117643</v>
      </c>
    </row>
    <row r="282" spans="1:6" x14ac:dyDescent="0.25">
      <c r="A282" s="56" t="s">
        <v>114</v>
      </c>
      <c r="B282" s="52" t="s">
        <v>58</v>
      </c>
      <c r="C282" s="53" t="s">
        <v>118</v>
      </c>
      <c r="D282" s="15">
        <f>'Landings &amp; Winders.'!W9</f>
        <v>193.43815833333335</v>
      </c>
      <c r="E282" s="65">
        <f>'Landings &amp; Winders'!V10</f>
        <v>1183.4532000000002</v>
      </c>
      <c r="F282" s="65">
        <f>'Landings &amp; Winders'!X10</f>
        <v>1314.9480000000001</v>
      </c>
    </row>
    <row r="283" spans="1:6" ht="6" customHeight="1" x14ac:dyDescent="0.25"/>
    <row r="284" spans="1:6" x14ac:dyDescent="0.25">
      <c r="A284" s="56" t="s">
        <v>114</v>
      </c>
      <c r="B284" s="52" t="s">
        <v>111</v>
      </c>
      <c r="C284" s="53" t="s">
        <v>71</v>
      </c>
      <c r="D284" s="15">
        <f>'Landings &amp; Winders.'!W21</f>
        <v>144.88759166666668</v>
      </c>
      <c r="E284" s="65">
        <f>'Landings &amp; Winders'!V22</f>
        <v>415.43639999999999</v>
      </c>
      <c r="F284" s="65">
        <f>'Landings &amp; Winders'!X22</f>
        <v>461.596</v>
      </c>
    </row>
    <row r="285" spans="1:6" x14ac:dyDescent="0.25">
      <c r="A285" s="56" t="s">
        <v>114</v>
      </c>
      <c r="B285" s="52" t="s">
        <v>111</v>
      </c>
      <c r="C285" s="53" t="s">
        <v>115</v>
      </c>
      <c r="D285" s="15">
        <f>'Landings &amp; Winders.'!W22</f>
        <v>135.4587416666667</v>
      </c>
      <c r="E285" s="65">
        <f>'Landings &amp; Winders'!V23</f>
        <v>623.15459999999996</v>
      </c>
      <c r="F285" s="65">
        <f>'Landings &amp; Winders'!X23</f>
        <v>692.39400000000001</v>
      </c>
    </row>
    <row r="286" spans="1:6" x14ac:dyDescent="0.25">
      <c r="A286" s="56" t="s">
        <v>114</v>
      </c>
      <c r="B286" s="52" t="s">
        <v>111</v>
      </c>
      <c r="C286" s="53" t="s">
        <v>116</v>
      </c>
      <c r="D286" s="15">
        <f>'Landings &amp; Winders.'!W29</f>
        <v>265.12161666666668</v>
      </c>
      <c r="E286" s="65">
        <f>'Landings &amp; Winders'!V30</f>
        <v>838.47170454545471</v>
      </c>
      <c r="F286" s="65">
        <f>'Landings &amp; Winders'!X30</f>
        <v>931.63522727272743</v>
      </c>
    </row>
    <row r="287" spans="1:6" x14ac:dyDescent="0.25">
      <c r="A287" s="56" t="s">
        <v>114</v>
      </c>
      <c r="B287" s="52" t="s">
        <v>111</v>
      </c>
      <c r="C287" s="53" t="s">
        <v>117</v>
      </c>
      <c r="D287" s="15">
        <f>'Landings &amp; Winders.'!W23</f>
        <v>215.15130833333333</v>
      </c>
      <c r="E287" s="65">
        <f>'Landings &amp; Winders'!V24</f>
        <v>830.87279999999998</v>
      </c>
      <c r="F287" s="65">
        <f>'Landings &amp; Winders'!X24</f>
        <v>923.19200000000001</v>
      </c>
    </row>
    <row r="288" spans="1:6" x14ac:dyDescent="0.25">
      <c r="A288" s="56" t="s">
        <v>114</v>
      </c>
      <c r="B288" s="52" t="s">
        <v>111</v>
      </c>
      <c r="C288" s="53" t="s">
        <v>59</v>
      </c>
      <c r="D288" s="15">
        <f>'Landings &amp; Winders.'!W30</f>
        <v>246.26391666666666</v>
      </c>
      <c r="E288" s="65">
        <f>'Landings &amp; Winders'!V31</f>
        <v>1151.9179411764705</v>
      </c>
      <c r="F288" s="65">
        <f>'Landings &amp; Winders'!X31</f>
        <v>1279.9088235294116</v>
      </c>
    </row>
    <row r="289" spans="1:6" x14ac:dyDescent="0.25">
      <c r="A289" s="56" t="s">
        <v>114</v>
      </c>
      <c r="B289" s="52" t="s">
        <v>111</v>
      </c>
      <c r="C289" s="53" t="s">
        <v>118</v>
      </c>
      <c r="D289" s="15">
        <f>'Landings &amp; Winders.'!W24</f>
        <v>196.29360833333334</v>
      </c>
      <c r="E289" s="65">
        <f>'Landings &amp; Winders'!V25</f>
        <v>1246.3091999999999</v>
      </c>
      <c r="F289" s="65">
        <f>'Landings &amp; Winders'!X25</f>
        <v>1384.788</v>
      </c>
    </row>
    <row r="290" spans="1:6" ht="6" customHeight="1" x14ac:dyDescent="0.25"/>
    <row r="291" spans="1:6" x14ac:dyDescent="0.25">
      <c r="A291" s="56" t="s">
        <v>114</v>
      </c>
      <c r="B291" s="52" t="s">
        <v>113</v>
      </c>
      <c r="C291" s="53" t="s">
        <v>71</v>
      </c>
      <c r="D291" s="15">
        <f>'Landings &amp; Winders.'!W51</f>
        <v>231.07356666666669</v>
      </c>
      <c r="E291" s="65">
        <f>'Landings &amp; Winders'!V52</f>
        <v>658.67039999999997</v>
      </c>
      <c r="F291" s="65">
        <f>'Landings &amp; Winders'!X52</f>
        <v>731.85599999999999</v>
      </c>
    </row>
    <row r="292" spans="1:6" x14ac:dyDescent="0.25">
      <c r="A292" s="56" t="s">
        <v>114</v>
      </c>
      <c r="B292" s="52" t="s">
        <v>113</v>
      </c>
      <c r="C292" s="53" t="s">
        <v>115</v>
      </c>
      <c r="D292" s="15">
        <f>'Landings &amp; Winders.'!W52</f>
        <v>214.29276666666669</v>
      </c>
      <c r="E292" s="65">
        <f>'Landings &amp; Winders'!V53</f>
        <v>988.00560000000007</v>
      </c>
      <c r="F292" s="65">
        <f>'Landings &amp; Winders'!X53</f>
        <v>1097.7840000000001</v>
      </c>
    </row>
    <row r="293" spans="1:6" x14ac:dyDescent="0.25">
      <c r="A293" s="56" t="s">
        <v>114</v>
      </c>
      <c r="B293" s="52" t="s">
        <v>113</v>
      </c>
      <c r="C293" s="53" t="s">
        <v>116</v>
      </c>
      <c r="D293" s="15">
        <f>'Landings &amp; Winders.'!W59</f>
        <v>368.46214166666664</v>
      </c>
      <c r="E293" s="65">
        <f>'Landings &amp; Winders'!V60</f>
        <v>755.56799999999998</v>
      </c>
      <c r="F293" s="65">
        <f>'Landings &amp; Winders'!X60</f>
        <v>839.52</v>
      </c>
    </row>
    <row r="294" spans="1:6" x14ac:dyDescent="0.25">
      <c r="A294" s="56" t="s">
        <v>114</v>
      </c>
      <c r="B294" s="52" t="s">
        <v>113</v>
      </c>
      <c r="C294" s="53" t="s">
        <v>117</v>
      </c>
      <c r="D294" s="15">
        <f>'Landings &amp; Winders.'!W53</f>
        <v>311.13988333333339</v>
      </c>
      <c r="E294" s="65">
        <f>'Landings &amp; Winders'!V54</f>
        <v>1317.3407999999999</v>
      </c>
      <c r="F294" s="65">
        <f>'Landings &amp; Winders'!X54</f>
        <v>1463.712</v>
      </c>
    </row>
    <row r="295" spans="1:6" x14ac:dyDescent="0.25">
      <c r="A295" s="56" t="s">
        <v>114</v>
      </c>
      <c r="B295" s="52" t="s">
        <v>113</v>
      </c>
      <c r="C295" s="53" t="s">
        <v>59</v>
      </c>
      <c r="D295" s="15">
        <f>'Landings &amp; Winders.'!W60</f>
        <v>334.90054166666664</v>
      </c>
      <c r="E295" s="65">
        <f>'Landings &amp; Winders'!V61</f>
        <v>1040.6610000000001</v>
      </c>
      <c r="F295" s="65">
        <f>'Landings &amp; Winders'!X61</f>
        <v>1156.29</v>
      </c>
    </row>
    <row r="296" spans="1:6" x14ac:dyDescent="0.25">
      <c r="A296" s="56" t="s">
        <v>114</v>
      </c>
      <c r="B296" s="52" t="s">
        <v>113</v>
      </c>
      <c r="C296" s="53" t="s">
        <v>118</v>
      </c>
      <c r="D296" s="15">
        <f>'Landings &amp; Winders.'!W54</f>
        <v>277.57828333333339</v>
      </c>
      <c r="E296" s="65">
        <f>'Landings &amp; Winders'!V55</f>
        <v>1976.0112000000001</v>
      </c>
      <c r="F296" s="65">
        <f>'Landings &amp; Winders'!X55</f>
        <v>2195.5680000000002</v>
      </c>
    </row>
    <row r="297" spans="1:6" ht="6" customHeight="1" x14ac:dyDescent="0.25">
      <c r="C297" s="3"/>
      <c r="D297"/>
    </row>
    <row r="298" spans="1:6" x14ac:dyDescent="0.25">
      <c r="A298" s="56" t="s">
        <v>114</v>
      </c>
      <c r="B298" s="52" t="s">
        <v>112</v>
      </c>
      <c r="C298" s="53" t="s">
        <v>71</v>
      </c>
      <c r="D298" s="15">
        <f>'Landings &amp; Winders.'!W36</f>
        <v>150.74914166666667</v>
      </c>
      <c r="E298" s="65">
        <f>'Landings &amp; Winders'!V37</f>
        <v>432.30240000000003</v>
      </c>
      <c r="F298" s="65">
        <f>'Landings &amp; Winders'!X37</f>
        <v>480.33600000000001</v>
      </c>
    </row>
    <row r="299" spans="1:6" x14ac:dyDescent="0.25">
      <c r="A299" s="56" t="s">
        <v>114</v>
      </c>
      <c r="B299" s="52" t="s">
        <v>112</v>
      </c>
      <c r="C299" s="53" t="s">
        <v>115</v>
      </c>
      <c r="D299" s="15">
        <f>'Landings &amp; Winders.'!W37</f>
        <v>138.48094166666669</v>
      </c>
      <c r="E299" s="65">
        <f>'Landings &amp; Winders'!V38</f>
        <v>648.45360000000005</v>
      </c>
      <c r="F299" s="65">
        <f>'Landings &amp; Winders'!X38</f>
        <v>720.50400000000002</v>
      </c>
    </row>
    <row r="300" spans="1:6" x14ac:dyDescent="0.25">
      <c r="A300" s="56" t="s">
        <v>114</v>
      </c>
      <c r="B300" s="52" t="s">
        <v>112</v>
      </c>
      <c r="C300" s="53" t="s">
        <v>116</v>
      </c>
      <c r="D300" s="15">
        <f>'Landings &amp; Winders.'!W38</f>
        <v>226.54665833333334</v>
      </c>
      <c r="E300" s="65">
        <f>'Landings &amp; Winders'!V45</f>
        <v>755.56799999999998</v>
      </c>
      <c r="F300" s="65">
        <f>'Landings &amp; Winders'!X45</f>
        <v>839.52</v>
      </c>
    </row>
    <row r="301" spans="1:6" x14ac:dyDescent="0.25">
      <c r="A301" s="56" t="s">
        <v>114</v>
      </c>
      <c r="B301" s="52" t="s">
        <v>112</v>
      </c>
      <c r="C301" s="53" t="s">
        <v>117</v>
      </c>
      <c r="D301" s="15">
        <f>'Landings &amp; Winders.'!W39</f>
        <v>202.01025833333335</v>
      </c>
      <c r="E301" s="65">
        <f>'Landings &amp; Winders'!V39</f>
        <v>864.60480000000007</v>
      </c>
      <c r="F301" s="65">
        <f>'Landings &amp; Winders'!X39</f>
        <v>960.67200000000003</v>
      </c>
    </row>
    <row r="302" spans="1:6" x14ac:dyDescent="0.25">
      <c r="A302" s="56" t="s">
        <v>114</v>
      </c>
      <c r="B302" s="52" t="s">
        <v>112</v>
      </c>
      <c r="C302" s="53" t="s">
        <v>59</v>
      </c>
      <c r="D302" s="15">
        <f>'Landings &amp; Winders.'!W44</f>
        <v>282.33481666666665</v>
      </c>
      <c r="E302" s="65">
        <f>'Landings &amp; Winders'!V46</f>
        <v>1040.6610000000001</v>
      </c>
      <c r="F302" s="65">
        <f>'Landings &amp; Winders'!X46</f>
        <v>1156.29</v>
      </c>
    </row>
    <row r="303" spans="1:6" x14ac:dyDescent="0.25">
      <c r="A303" s="56" t="s">
        <v>114</v>
      </c>
      <c r="B303" s="52" t="s">
        <v>112</v>
      </c>
      <c r="C303" s="53" t="s">
        <v>118</v>
      </c>
      <c r="D303" s="15">
        <f>'Landings &amp; Winders.'!W45</f>
        <v>257.79841666666664</v>
      </c>
      <c r="E303" s="65">
        <f>'Landings &amp; Winders'!V40</f>
        <v>1296.9072000000001</v>
      </c>
      <c r="F303" s="65">
        <f>'Landings &amp; Winders'!X40</f>
        <v>1441.008</v>
      </c>
    </row>
    <row r="304" spans="1:6" ht="6" customHeight="1" x14ac:dyDescent="0.25"/>
    <row r="305" spans="1:8" x14ac:dyDescent="0.25">
      <c r="A305" s="56" t="s">
        <v>57</v>
      </c>
      <c r="B305" s="52" t="s">
        <v>58</v>
      </c>
      <c r="C305" s="53" t="s">
        <v>71</v>
      </c>
      <c r="D305" s="15">
        <f>'Landings &amp; Winders.'!O6</f>
        <v>114.70648333333334</v>
      </c>
      <c r="E305" s="65">
        <f>'Landings &amp; Winders'!M7</f>
        <v>289.14840000000004</v>
      </c>
      <c r="F305" s="65">
        <f>'Landings &amp; Winders'!O7</f>
        <v>321.27600000000001</v>
      </c>
    </row>
    <row r="306" spans="1:8" x14ac:dyDescent="0.25">
      <c r="A306" s="56" t="s">
        <v>57</v>
      </c>
      <c r="B306" s="52" t="s">
        <v>58</v>
      </c>
      <c r="C306" s="53" t="s">
        <v>115</v>
      </c>
      <c r="D306" s="15">
        <f>'Landings &amp; Winders.'!O7</f>
        <v>108.22393333333333</v>
      </c>
      <c r="E306" s="65">
        <f>'Landings &amp; Winders'!M8</f>
        <v>433.7226</v>
      </c>
      <c r="F306" s="65">
        <f>'Landings &amp; Winders'!O8</f>
        <v>481.91399999999999</v>
      </c>
    </row>
    <row r="307" spans="1:8" x14ac:dyDescent="0.25">
      <c r="A307" s="56" t="s">
        <v>57</v>
      </c>
      <c r="B307" s="52" t="s">
        <v>58</v>
      </c>
      <c r="C307" s="53" t="s">
        <v>116</v>
      </c>
      <c r="D307" s="15">
        <f>'Landings &amp; Winders.'!O14</f>
        <v>229.22730833333333</v>
      </c>
      <c r="E307" s="65">
        <f>'Landings &amp; Winders'!M15</f>
        <v>701.1</v>
      </c>
      <c r="F307" s="65">
        <f>'Landings &amp; Winders'!O15</f>
        <v>779</v>
      </c>
    </row>
    <row r="308" spans="1:8" x14ac:dyDescent="0.25">
      <c r="A308" s="56" t="s">
        <v>57</v>
      </c>
      <c r="B308" s="52" t="s">
        <v>58</v>
      </c>
      <c r="C308" s="53" t="s">
        <v>117</v>
      </c>
      <c r="D308" s="15">
        <f>'Landings &amp; Winders.'!O8</f>
        <v>179.88029999999998</v>
      </c>
      <c r="E308" s="65">
        <f>'Landings &amp; Winders'!M9</f>
        <v>578.29680000000008</v>
      </c>
      <c r="F308" s="65">
        <f>'Landings &amp; Winders'!O9</f>
        <v>642.55200000000002</v>
      </c>
    </row>
    <row r="309" spans="1:8" x14ac:dyDescent="0.25">
      <c r="A309" s="56" t="s">
        <v>57</v>
      </c>
      <c r="B309" s="52" t="s">
        <v>58</v>
      </c>
      <c r="C309" s="53" t="s">
        <v>59</v>
      </c>
      <c r="D309" s="15">
        <f>'Landings &amp; Winders.'!O15</f>
        <v>216.26220833333332</v>
      </c>
      <c r="E309" s="65">
        <f>'Landings &amp; Winders'!M16</f>
        <v>980.1</v>
      </c>
      <c r="F309" s="65">
        <f>'Landings &amp; Winders'!O16</f>
        <v>1089</v>
      </c>
    </row>
    <row r="310" spans="1:8" x14ac:dyDescent="0.25">
      <c r="A310" s="56" t="s">
        <v>57</v>
      </c>
      <c r="B310" s="52" t="s">
        <v>58</v>
      </c>
      <c r="C310" s="53" t="s">
        <v>118</v>
      </c>
      <c r="D310" s="15">
        <f>'Landings &amp; Winders.'!O9</f>
        <v>166.9152</v>
      </c>
      <c r="E310" s="65">
        <f>'Landings &amp; Winders'!M10</f>
        <v>867.4452</v>
      </c>
      <c r="F310" s="65">
        <f>'Landings &amp; Winders'!O10</f>
        <v>963.82799999999997</v>
      </c>
    </row>
    <row r="311" spans="1:8" ht="6" customHeight="1" x14ac:dyDescent="0.25"/>
    <row r="312" spans="1:8" x14ac:dyDescent="0.25">
      <c r="A312" s="56" t="s">
        <v>57</v>
      </c>
      <c r="B312" s="52" t="s">
        <v>111</v>
      </c>
      <c r="C312" s="53" t="s">
        <v>71</v>
      </c>
      <c r="D312" s="15">
        <f>'Landings &amp; Winders.'!O21</f>
        <v>119.52613333333335</v>
      </c>
      <c r="E312" s="65">
        <f>'Landings &amp; Winders'!M22</f>
        <v>310.10039999999998</v>
      </c>
      <c r="F312" s="65">
        <f>'Landings &amp; Winders'!O22</f>
        <v>344.55599999999998</v>
      </c>
    </row>
    <row r="313" spans="1:8" x14ac:dyDescent="0.25">
      <c r="A313" s="56" t="s">
        <v>57</v>
      </c>
      <c r="B313" s="52" t="s">
        <v>111</v>
      </c>
      <c r="C313" s="53" t="s">
        <v>115</v>
      </c>
      <c r="D313" s="15">
        <f>'Landings &amp; Winders.'!O22</f>
        <v>110.09728333333334</v>
      </c>
      <c r="E313" s="65">
        <f>'Landings &amp; Winders'!M23</f>
        <v>465.15059999999994</v>
      </c>
      <c r="F313" s="65">
        <f>'Landings &amp; Winders'!O23</f>
        <v>516.83399999999995</v>
      </c>
    </row>
    <row r="314" spans="1:8" x14ac:dyDescent="0.25">
      <c r="A314" s="56" t="s">
        <v>57</v>
      </c>
      <c r="B314" s="52" t="s">
        <v>111</v>
      </c>
      <c r="C314" s="53" t="s">
        <v>116</v>
      </c>
      <c r="D314" s="15">
        <f>'Landings &amp; Winders.'!O29</f>
        <v>240.92165833333334</v>
      </c>
      <c r="E314" s="65">
        <f>'Landings &amp; Winders'!M30</f>
        <v>722.90700000000004</v>
      </c>
      <c r="F314" s="65">
        <f>'Landings &amp; Winders'!O30</f>
        <v>803.23</v>
      </c>
    </row>
    <row r="315" spans="1:8" x14ac:dyDescent="0.25">
      <c r="A315" s="56" t="s">
        <v>57</v>
      </c>
      <c r="B315" s="52" t="s">
        <v>111</v>
      </c>
      <c r="C315" s="53" t="s">
        <v>117</v>
      </c>
      <c r="D315" s="15">
        <f>'Landings &amp; Winders.'!O24</f>
        <v>169.77064999999999</v>
      </c>
      <c r="E315" s="65">
        <f>'Landings &amp; Winders'!M24</f>
        <v>620.20079999999996</v>
      </c>
      <c r="F315" s="65">
        <f>'Landings &amp; Winders'!O24</f>
        <v>689.11199999999997</v>
      </c>
    </row>
    <row r="316" spans="1:8" x14ac:dyDescent="0.25">
      <c r="A316" s="56" t="s">
        <v>57</v>
      </c>
      <c r="B316" s="52" t="s">
        <v>111</v>
      </c>
      <c r="C316" s="53" t="s">
        <v>59</v>
      </c>
      <c r="D316" s="15">
        <f>'Landings &amp; Winders.'!O30</f>
        <v>215.10645833333334</v>
      </c>
      <c r="E316" s="65">
        <f>'Landings &amp; Winders'!M31</f>
        <v>1002.357</v>
      </c>
      <c r="F316" s="65">
        <f>'Landings &amp; Winders'!O31</f>
        <v>1113.73</v>
      </c>
    </row>
    <row r="317" spans="1:8" x14ac:dyDescent="0.25">
      <c r="A317" s="56" t="s">
        <v>57</v>
      </c>
      <c r="B317" s="52" t="s">
        <v>111</v>
      </c>
      <c r="C317" s="53" t="s">
        <v>118</v>
      </c>
      <c r="D317" s="15">
        <f>'Landings &amp; Winders.'!O23</f>
        <v>188.62835000000001</v>
      </c>
      <c r="E317" s="65">
        <f>'Landings &amp; Winders'!M25</f>
        <v>930.30119999999988</v>
      </c>
      <c r="F317" s="65">
        <f>'Landings &amp; Winders'!O25</f>
        <v>1033.6679999999999</v>
      </c>
    </row>
    <row r="318" spans="1:8" ht="6" customHeight="1" x14ac:dyDescent="0.25"/>
    <row r="319" spans="1:8" x14ac:dyDescent="0.25">
      <c r="A319" s="56" t="s">
        <v>57</v>
      </c>
      <c r="B319" s="52" t="s">
        <v>113</v>
      </c>
      <c r="C319" s="53" t="s">
        <v>71</v>
      </c>
      <c r="D319" s="15">
        <f>'Landings &amp; Winders.'!O51</f>
        <v>205.71210833333333</v>
      </c>
      <c r="E319" s="65">
        <f>'Landings &amp; Winders'!M52</f>
        <v>451.63440000000003</v>
      </c>
      <c r="F319" s="65">
        <f>'Landings &amp; Winders'!O52</f>
        <v>501.81600000000003</v>
      </c>
      <c r="H319" t="s">
        <v>119</v>
      </c>
    </row>
    <row r="320" spans="1:8" x14ac:dyDescent="0.25">
      <c r="A320" s="56" t="s">
        <v>57</v>
      </c>
      <c r="B320" s="52" t="s">
        <v>113</v>
      </c>
      <c r="C320" s="53" t="s">
        <v>115</v>
      </c>
      <c r="D320" s="15">
        <f>'Landings &amp; Winders.'!O52</f>
        <v>188.93130833333333</v>
      </c>
      <c r="E320" s="65">
        <f>'Landings &amp; Winders'!M53</f>
        <v>677.4516000000001</v>
      </c>
      <c r="F320" s="65">
        <f>'Landings &amp; Winders'!O53</f>
        <v>752.72400000000005</v>
      </c>
      <c r="H320" t="s">
        <v>119</v>
      </c>
    </row>
    <row r="321" spans="1:8" x14ac:dyDescent="0.25">
      <c r="A321" s="56" t="s">
        <v>57</v>
      </c>
      <c r="B321" s="52" t="s">
        <v>113</v>
      </c>
      <c r="C321" s="53" t="s">
        <v>116</v>
      </c>
      <c r="D321" s="15">
        <f>'Landings &amp; Winders.'!O59</f>
        <v>344.26218333333338</v>
      </c>
      <c r="E321" s="65">
        <f>'Landings &amp; Winders'!M60</f>
        <v>742.06799999999998</v>
      </c>
      <c r="F321" s="65">
        <f>'Landings &amp; Winders'!O60</f>
        <v>824.52</v>
      </c>
      <c r="H321" t="s">
        <v>119</v>
      </c>
    </row>
    <row r="322" spans="1:8" x14ac:dyDescent="0.25">
      <c r="A322" s="56" t="s">
        <v>57</v>
      </c>
      <c r="B322" s="52" t="s">
        <v>113</v>
      </c>
      <c r="C322" s="53" t="s">
        <v>117</v>
      </c>
      <c r="D322" s="15">
        <f>'Landings &amp; Winders.'!O53</f>
        <v>284.61692500000004</v>
      </c>
      <c r="E322" s="65">
        <f>'Landings &amp; Winders'!M54</f>
        <v>903.26880000000006</v>
      </c>
      <c r="F322" s="65">
        <f>'Landings &amp; Winders'!O54</f>
        <v>1003.6320000000001</v>
      </c>
      <c r="H322" t="s">
        <v>119</v>
      </c>
    </row>
    <row r="323" spans="1:8" x14ac:dyDescent="0.25">
      <c r="A323" s="56" t="s">
        <v>57</v>
      </c>
      <c r="B323" s="52" t="s">
        <v>113</v>
      </c>
      <c r="C323" s="53" t="s">
        <v>59</v>
      </c>
      <c r="D323" s="15">
        <f>'Landings &amp; Winders.'!O60</f>
        <v>303.74308333333335</v>
      </c>
      <c r="E323" s="65">
        <f>'Landings &amp; Winders'!M61</f>
        <v>1027.1610000000001</v>
      </c>
      <c r="F323" s="65">
        <f>'Landings &amp; Winders'!O61</f>
        <v>1141.29</v>
      </c>
      <c r="H323" t="s">
        <v>119</v>
      </c>
    </row>
    <row r="324" spans="1:8" x14ac:dyDescent="0.25">
      <c r="A324" s="56" t="s">
        <v>57</v>
      </c>
      <c r="B324" s="52" t="s">
        <v>113</v>
      </c>
      <c r="C324" s="53" t="s">
        <v>118</v>
      </c>
      <c r="D324" s="15">
        <f>'Landings &amp; Winders.'!O54</f>
        <v>251.05532500000001</v>
      </c>
      <c r="E324" s="65">
        <f>'Landings &amp; Winders'!M55</f>
        <v>1354.9032000000002</v>
      </c>
      <c r="F324" s="65">
        <f>'Landings &amp; Winders'!O55</f>
        <v>1505.4480000000001</v>
      </c>
      <c r="H324" t="s">
        <v>119</v>
      </c>
    </row>
    <row r="325" spans="1:8" ht="6" customHeight="1" x14ac:dyDescent="0.25">
      <c r="C325" s="3"/>
      <c r="D325"/>
    </row>
    <row r="326" spans="1:8" x14ac:dyDescent="0.25">
      <c r="A326" s="56" t="s">
        <v>57</v>
      </c>
      <c r="B326" s="52" t="s">
        <v>112</v>
      </c>
      <c r="C326" s="53" t="s">
        <v>71</v>
      </c>
      <c r="D326" s="15">
        <f>'Landings &amp; Winders.'!O36</f>
        <v>125.16918333333334</v>
      </c>
      <c r="E326" s="65">
        <f>'Landings &amp; Winders'!M37</f>
        <v>326.96640000000002</v>
      </c>
      <c r="F326" s="65">
        <f>'Landings &amp; Winders'!O37</f>
        <v>363.29599999999999</v>
      </c>
    </row>
    <row r="327" spans="1:8" x14ac:dyDescent="0.25">
      <c r="A327" s="56" t="s">
        <v>57</v>
      </c>
      <c r="B327" s="52" t="s">
        <v>112</v>
      </c>
      <c r="C327" s="53" t="s">
        <v>115</v>
      </c>
      <c r="D327" s="15">
        <f>'Landings &amp; Winders.'!O37</f>
        <v>112.90098333333334</v>
      </c>
      <c r="E327" s="65">
        <f>'Landings &amp; Winders'!M38</f>
        <v>490.44959999999998</v>
      </c>
      <c r="F327" s="65">
        <f>'Landings &amp; Winders'!O38</f>
        <v>544.94399999999996</v>
      </c>
    </row>
    <row r="328" spans="1:8" x14ac:dyDescent="0.25">
      <c r="A328" s="56" t="s">
        <v>57</v>
      </c>
      <c r="B328" s="52" t="s">
        <v>112</v>
      </c>
      <c r="C328" s="53" t="s">
        <v>116</v>
      </c>
      <c r="D328" s="15">
        <f>'Landings &amp; Winders.'!O38</f>
        <v>199.58670000000001</v>
      </c>
      <c r="E328" s="65">
        <f>'Landings &amp; Winders'!M45</f>
        <v>742.06799999999998</v>
      </c>
      <c r="F328" s="65">
        <f>'Landings &amp; Winders'!O45</f>
        <v>824.52</v>
      </c>
    </row>
    <row r="329" spans="1:8" x14ac:dyDescent="0.25">
      <c r="A329" s="56" t="s">
        <v>57</v>
      </c>
      <c r="B329" s="52" t="s">
        <v>112</v>
      </c>
      <c r="C329" s="53" t="s">
        <v>117</v>
      </c>
      <c r="D329" s="15">
        <f>'Landings &amp; Winders.'!O39</f>
        <v>175.05029999999999</v>
      </c>
      <c r="E329" s="65">
        <f>'Landings &amp; Winders'!M39</f>
        <v>653.93280000000004</v>
      </c>
      <c r="F329" s="65">
        <f>'Landings &amp; Winders'!O39</f>
        <v>726.59199999999998</v>
      </c>
    </row>
    <row r="330" spans="1:8" x14ac:dyDescent="0.25">
      <c r="A330" s="56" t="s">
        <v>57</v>
      </c>
      <c r="B330" s="52" t="s">
        <v>112</v>
      </c>
      <c r="C330" s="53" t="s">
        <v>59</v>
      </c>
      <c r="D330" s="15">
        <f>'Landings &amp; Winders.'!O44</f>
        <v>258.13485833333334</v>
      </c>
      <c r="E330" s="65">
        <f>'Landings &amp; Winders'!M46</f>
        <v>1027.1610000000001</v>
      </c>
      <c r="F330" s="65">
        <f>'Landings &amp; Winders'!O46</f>
        <v>1141.29</v>
      </c>
    </row>
    <row r="331" spans="1:8" x14ac:dyDescent="0.25">
      <c r="A331" s="56" t="s">
        <v>57</v>
      </c>
      <c r="B331" s="52" t="s">
        <v>112</v>
      </c>
      <c r="C331" s="53" t="s">
        <v>118</v>
      </c>
      <c r="D331" s="15">
        <f>'Landings &amp; Winders.'!O45</f>
        <v>233.59845833333333</v>
      </c>
      <c r="E331" s="65">
        <f>'Landings &amp; Winders'!M40</f>
        <v>980.89919999999995</v>
      </c>
      <c r="F331" s="65">
        <f>'Landings &amp; Winders'!O40</f>
        <v>1089.8879999999999</v>
      </c>
    </row>
    <row r="332" spans="1:8" ht="6" customHeight="1" x14ac:dyDescent="0.25"/>
    <row r="333" spans="1:8" x14ac:dyDescent="0.25">
      <c r="A333" s="56" t="s">
        <v>57</v>
      </c>
      <c r="B333" s="52" t="s">
        <v>49</v>
      </c>
      <c r="C333" s="53" t="s">
        <v>71</v>
      </c>
      <c r="D333" s="15">
        <f>'Landings &amp; Winders.'!O66</f>
        <v>216.29785833333335</v>
      </c>
      <c r="E333" s="65">
        <f>'Landings &amp; Winders'!M67</f>
        <v>475.16669999999999</v>
      </c>
      <c r="F333" s="65">
        <f>'Landings &amp; Winders'!O67</f>
        <v>527.96299999999997</v>
      </c>
      <c r="H333" t="s">
        <v>119</v>
      </c>
    </row>
    <row r="334" spans="1:8" x14ac:dyDescent="0.25">
      <c r="A334" s="56" t="s">
        <v>57</v>
      </c>
      <c r="B334" s="52" t="s">
        <v>49</v>
      </c>
      <c r="C334" s="53" t="s">
        <v>115</v>
      </c>
      <c r="D334" s="15">
        <f>'Landings &amp; Winders.'!O67</f>
        <v>195.23905833333333</v>
      </c>
      <c r="E334" s="65">
        <f>'Landings &amp; Winders'!M68</f>
        <v>712.75004999999999</v>
      </c>
      <c r="F334" s="65">
        <f>'Landings &amp; Winders'!O68</f>
        <v>791.94449999999995</v>
      </c>
      <c r="H334" t="s">
        <v>119</v>
      </c>
    </row>
    <row r="335" spans="1:8" x14ac:dyDescent="0.25">
      <c r="A335" s="56" t="s">
        <v>57</v>
      </c>
      <c r="B335" s="52" t="s">
        <v>49</v>
      </c>
      <c r="C335" s="53" t="s">
        <v>116</v>
      </c>
      <c r="D335" s="15">
        <f>'Landings &amp; Winders.'!O74</f>
        <v>424.93684999999994</v>
      </c>
      <c r="E335" s="65">
        <f>'Landings &amp; Winders'!M75</f>
        <v>1836.409090909091</v>
      </c>
      <c r="F335" s="65">
        <f>'Landings &amp; Winders'!O75</f>
        <v>2040.4545454545455</v>
      </c>
      <c r="H335" t="s">
        <v>119</v>
      </c>
    </row>
    <row r="336" spans="1:8" x14ac:dyDescent="0.25">
      <c r="A336" s="56" t="s">
        <v>57</v>
      </c>
      <c r="B336" s="52" t="s">
        <v>49</v>
      </c>
      <c r="C336" s="53" t="s">
        <v>117</v>
      </c>
      <c r="D336" s="15">
        <f>'Landings &amp; Winders.'!O68</f>
        <v>352.18159166666669</v>
      </c>
      <c r="E336" s="65">
        <f>'Landings &amp; Winders'!M69</f>
        <v>903.26880000000006</v>
      </c>
      <c r="F336" s="65">
        <f>'Landings &amp; Winders'!O69</f>
        <v>1003.6320000000001</v>
      </c>
      <c r="H336" t="s">
        <v>119</v>
      </c>
    </row>
    <row r="337" spans="1:8" x14ac:dyDescent="0.25">
      <c r="A337" s="56" t="s">
        <v>57</v>
      </c>
      <c r="B337" s="52" t="s">
        <v>49</v>
      </c>
      <c r="C337" s="53" t="s">
        <v>59</v>
      </c>
      <c r="D337" s="15">
        <f>'Landings &amp; Winders.'!O75</f>
        <v>382.81925000000001</v>
      </c>
      <c r="E337" s="65">
        <f>'Landings &amp; Winders'!M76</f>
        <v>2376.5294117647054</v>
      </c>
      <c r="F337" s="65">
        <f>'Landings &amp; Winders'!O76</f>
        <v>2640.5882352941171</v>
      </c>
      <c r="H337" t="s">
        <v>119</v>
      </c>
    </row>
    <row r="338" spans="1:8" x14ac:dyDescent="0.25">
      <c r="A338" s="56" t="s">
        <v>57</v>
      </c>
      <c r="B338" s="52" t="s">
        <v>49</v>
      </c>
      <c r="C338" s="53" t="s">
        <v>118</v>
      </c>
      <c r="D338" s="15">
        <f>'Landings &amp; Winders.'!O69</f>
        <v>310.06399166666665</v>
      </c>
      <c r="E338" s="65">
        <f>'Landings &amp; Winders'!M70</f>
        <v>1354.9032000000002</v>
      </c>
      <c r="F338" s="65">
        <f>'Landings &amp; Winders'!O70</f>
        <v>1505.4480000000001</v>
      </c>
      <c r="H338" t="s">
        <v>119</v>
      </c>
    </row>
    <row r="339" spans="1:8" x14ac:dyDescent="0.25">
      <c r="C339" s="3"/>
      <c r="D339"/>
    </row>
    <row r="340" spans="1:8" x14ac:dyDescent="0.25">
      <c r="C340" s="3"/>
      <c r="D340"/>
    </row>
    <row r="341" spans="1:8" x14ac:dyDescent="0.25">
      <c r="C341" s="3"/>
      <c r="D341"/>
    </row>
    <row r="342" spans="1:8" x14ac:dyDescent="0.25">
      <c r="C342" s="3"/>
      <c r="D342"/>
    </row>
    <row r="343" spans="1:8" x14ac:dyDescent="0.25">
      <c r="C343" s="3"/>
      <c r="D343"/>
    </row>
    <row r="344" spans="1:8" x14ac:dyDescent="0.25">
      <c r="C344" s="3"/>
      <c r="D344"/>
    </row>
  </sheetData>
  <mergeCells count="6">
    <mergeCell ref="A1:A2"/>
    <mergeCell ref="B1:B2"/>
    <mergeCell ref="E1:E2"/>
    <mergeCell ref="F1:F2"/>
    <mergeCell ref="D1:D2"/>
    <mergeCell ref="C1:C2"/>
  </mergeCells>
  <phoneticPr fontId="6" type="noConversion"/>
  <pageMargins left="0.7" right="0.7" top="0.75" bottom="0.75" header="0.3" footer="0.3"/>
  <ignoredErrors>
    <ignoredError sqref="D28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D58B-136A-4019-A5A9-93B7E124D981}">
  <sheetPr codeName="Sheet5">
    <tabColor rgb="FF7030A0"/>
  </sheetPr>
  <dimension ref="A1:G18"/>
  <sheetViews>
    <sheetView workbookViewId="0">
      <selection activeCell="I20" sqref="I20"/>
    </sheetView>
  </sheetViews>
  <sheetFormatPr defaultRowHeight="15" x14ac:dyDescent="0.25"/>
  <cols>
    <col min="1" max="1" width="19.5703125" bestFit="1" customWidth="1"/>
    <col min="7" max="7" width="12.85546875" bestFit="1" customWidth="1"/>
  </cols>
  <sheetData>
    <row r="1" spans="1:7" x14ac:dyDescent="0.25">
      <c r="A1" s="278" t="s">
        <v>120</v>
      </c>
      <c r="B1" s="278"/>
      <c r="C1" s="278"/>
      <c r="D1" s="278"/>
      <c r="E1" s="278"/>
      <c r="F1" s="278"/>
      <c r="G1" s="278"/>
    </row>
    <row r="2" spans="1:7" ht="6" customHeight="1" x14ac:dyDescent="0.25">
      <c r="A2" s="279"/>
      <c r="B2" s="280"/>
      <c r="C2" s="280"/>
      <c r="D2" s="280"/>
      <c r="E2" s="280"/>
      <c r="F2" s="280"/>
      <c r="G2" s="281"/>
    </row>
    <row r="3" spans="1:7" x14ac:dyDescent="0.25">
      <c r="A3" s="103"/>
      <c r="B3" s="104" t="s">
        <v>121</v>
      </c>
      <c r="C3" s="104" t="s">
        <v>122</v>
      </c>
      <c r="D3" s="104" t="s">
        <v>123</v>
      </c>
      <c r="E3" s="104" t="s">
        <v>124</v>
      </c>
      <c r="F3" s="104" t="s">
        <v>125</v>
      </c>
      <c r="G3" s="104" t="s">
        <v>126</v>
      </c>
    </row>
    <row r="4" spans="1:7" x14ac:dyDescent="0.25">
      <c r="A4" s="105" t="s">
        <v>127</v>
      </c>
      <c r="B4" s="106">
        <v>25</v>
      </c>
      <c r="C4" s="106">
        <v>12.5</v>
      </c>
      <c r="D4" s="169">
        <f>F18</f>
        <v>4.29</v>
      </c>
      <c r="E4" s="107">
        <f>SUM(B4 + (D4*C4))</f>
        <v>78.625</v>
      </c>
      <c r="F4" s="9">
        <v>1.2250000000000001</v>
      </c>
      <c r="G4" s="168">
        <f>SUM(E4*F4)</f>
        <v>96.315625000000011</v>
      </c>
    </row>
    <row r="6" spans="1:7" x14ac:dyDescent="0.25">
      <c r="A6" s="105" t="s">
        <v>128</v>
      </c>
      <c r="B6" s="106">
        <v>30</v>
      </c>
      <c r="C6" s="106">
        <v>14</v>
      </c>
      <c r="D6" s="169">
        <f>F18</f>
        <v>4.29</v>
      </c>
      <c r="E6" s="107">
        <f>SUM(B6 + (D6*C6))</f>
        <v>90.06</v>
      </c>
      <c r="F6" s="9">
        <v>1.2250000000000001</v>
      </c>
      <c r="G6" s="168">
        <f>SUM(E6*F6)</f>
        <v>110.32350000000001</v>
      </c>
    </row>
    <row r="8" spans="1:7" x14ac:dyDescent="0.25">
      <c r="A8" s="105" t="s">
        <v>129</v>
      </c>
      <c r="B8" s="106">
        <v>35</v>
      </c>
      <c r="C8" s="106">
        <v>15.5</v>
      </c>
      <c r="D8" s="169">
        <f>F18</f>
        <v>4.29</v>
      </c>
      <c r="E8" s="107">
        <f>SUM(B8 + (D8*C8))</f>
        <v>101.495</v>
      </c>
      <c r="F8" s="9">
        <v>1.2250000000000001</v>
      </c>
      <c r="G8" s="168">
        <f>SUM(E8*F8)</f>
        <v>124.33137500000001</v>
      </c>
    </row>
    <row r="12" spans="1:7" x14ac:dyDescent="0.25">
      <c r="A12" s="110" t="s">
        <v>130</v>
      </c>
      <c r="B12" s="104" t="s">
        <v>10</v>
      </c>
      <c r="C12" s="104" t="s">
        <v>131</v>
      </c>
      <c r="D12" s="104" t="s">
        <v>132</v>
      </c>
      <c r="E12" s="104" t="s">
        <v>133</v>
      </c>
      <c r="F12" s="104" t="s">
        <v>134</v>
      </c>
      <c r="G12" s="104" t="s">
        <v>135</v>
      </c>
    </row>
    <row r="13" spans="1:7" x14ac:dyDescent="0.25">
      <c r="A13" s="105" t="s">
        <v>136</v>
      </c>
      <c r="B13" s="108">
        <v>1</v>
      </c>
      <c r="C13" s="108">
        <v>5.5</v>
      </c>
      <c r="D13" s="108">
        <v>1.3</v>
      </c>
      <c r="E13" s="108">
        <v>0.6</v>
      </c>
      <c r="F13" s="109">
        <f>(C13*D13*E13)*B13</f>
        <v>4.29</v>
      </c>
      <c r="G13" s="223">
        <v>170</v>
      </c>
    </row>
    <row r="14" spans="1:7" x14ac:dyDescent="0.25">
      <c r="A14" s="105" t="s">
        <v>137</v>
      </c>
      <c r="B14" s="108">
        <v>1</v>
      </c>
      <c r="C14" s="108"/>
      <c r="D14" s="108"/>
      <c r="E14" s="108"/>
      <c r="F14" s="109">
        <f t="shared" ref="F14:F17" si="0">(C14*D14*E14)*B14</f>
        <v>0</v>
      </c>
      <c r="G14" s="223"/>
    </row>
    <row r="15" spans="1:7" x14ac:dyDescent="0.25">
      <c r="A15" s="105" t="s">
        <v>138</v>
      </c>
      <c r="B15" s="108">
        <v>1</v>
      </c>
      <c r="C15" s="108"/>
      <c r="D15" s="108"/>
      <c r="E15" s="108"/>
      <c r="F15" s="109">
        <f t="shared" si="0"/>
        <v>0</v>
      </c>
      <c r="G15" s="223"/>
    </row>
    <row r="16" spans="1:7" x14ac:dyDescent="0.25">
      <c r="A16" s="105" t="s">
        <v>139</v>
      </c>
      <c r="B16" s="108">
        <v>1</v>
      </c>
      <c r="C16" s="108"/>
      <c r="D16" s="108"/>
      <c r="E16" s="108"/>
      <c r="F16" s="109">
        <f t="shared" si="0"/>
        <v>0</v>
      </c>
      <c r="G16" s="223"/>
    </row>
    <row r="17" spans="1:7" x14ac:dyDescent="0.25">
      <c r="A17" s="105" t="s">
        <v>140</v>
      </c>
      <c r="B17" s="108"/>
      <c r="C17" s="108"/>
      <c r="D17" s="108"/>
      <c r="E17" s="108"/>
      <c r="F17" s="109">
        <f t="shared" si="0"/>
        <v>0</v>
      </c>
      <c r="G17" s="223"/>
    </row>
    <row r="18" spans="1:7" x14ac:dyDescent="0.25">
      <c r="A18" s="105" t="s">
        <v>12</v>
      </c>
      <c r="B18" s="282"/>
      <c r="C18" s="283"/>
      <c r="D18" s="283"/>
      <c r="E18" s="284"/>
      <c r="F18" s="111">
        <f>SUM(F13:F17)</f>
        <v>4.29</v>
      </c>
      <c r="G18" s="224">
        <f>SUM(G13*B13)+(G14*B14)+(G15*B15)+(G16*B16)+(G17*B17)</f>
        <v>170</v>
      </c>
    </row>
  </sheetData>
  <mergeCells count="3">
    <mergeCell ref="A1:G1"/>
    <mergeCell ref="A2:G2"/>
    <mergeCell ref="B18:E18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DCD4-9072-48E3-9C65-717305285B55}">
  <sheetPr codeName="Sheet6">
    <tabColor rgb="FF7030A0"/>
  </sheetPr>
  <dimension ref="A1:B31"/>
  <sheetViews>
    <sheetView zoomScaleNormal="100" workbookViewId="0">
      <selection activeCell="A6" sqref="A6"/>
    </sheetView>
  </sheetViews>
  <sheetFormatPr defaultRowHeight="15" x14ac:dyDescent="0.25"/>
  <cols>
    <col min="1" max="1" width="35.85546875" bestFit="1" customWidth="1"/>
    <col min="2" max="2" width="29.85546875" bestFit="1" customWidth="1"/>
  </cols>
  <sheetData>
    <row r="1" spans="1:2" x14ac:dyDescent="0.25">
      <c r="A1" s="94" t="s">
        <v>27</v>
      </c>
      <c r="B1" s="152" t="s">
        <v>141</v>
      </c>
    </row>
    <row r="2" spans="1:2" x14ac:dyDescent="0.25">
      <c r="A2" s="153" t="s">
        <v>62</v>
      </c>
      <c r="B2" s="154">
        <v>0.5</v>
      </c>
    </row>
    <row r="3" spans="1:2" x14ac:dyDescent="0.25">
      <c r="A3" s="153" t="s">
        <v>142</v>
      </c>
      <c r="B3" s="154">
        <f>B2+5%</f>
        <v>0.55000000000000004</v>
      </c>
    </row>
    <row r="4" spans="1:2" x14ac:dyDescent="0.25">
      <c r="A4" s="153" t="s">
        <v>143</v>
      </c>
      <c r="B4" s="154">
        <v>0.35</v>
      </c>
    </row>
    <row r="5" spans="1:2" x14ac:dyDescent="0.25">
      <c r="A5" s="153" t="s">
        <v>144</v>
      </c>
      <c r="B5" s="154">
        <f>B4+5%</f>
        <v>0.39999999999999997</v>
      </c>
    </row>
    <row r="6" spans="1:2" x14ac:dyDescent="0.25">
      <c r="A6" s="153" t="s">
        <v>80</v>
      </c>
      <c r="B6" s="154">
        <v>0.4</v>
      </c>
    </row>
    <row r="7" spans="1:2" x14ac:dyDescent="0.25">
      <c r="A7" s="153" t="s">
        <v>145</v>
      </c>
      <c r="B7" s="154">
        <f>B6+5%</f>
        <v>0.45</v>
      </c>
    </row>
    <row r="8" spans="1:2" x14ac:dyDescent="0.25">
      <c r="A8" s="153" t="s">
        <v>47</v>
      </c>
      <c r="B8" s="154">
        <v>0.6</v>
      </c>
    </row>
    <row r="9" spans="1:2" x14ac:dyDescent="0.25">
      <c r="A9" s="153" t="s">
        <v>146</v>
      </c>
      <c r="B9" s="154">
        <f>B8+5%</f>
        <v>0.65</v>
      </c>
    </row>
    <row r="10" spans="1:2" x14ac:dyDescent="0.25">
      <c r="A10" s="153" t="s">
        <v>147</v>
      </c>
      <c r="B10" s="154">
        <v>0.55000000000000004</v>
      </c>
    </row>
    <row r="11" spans="1:2" x14ac:dyDescent="0.25">
      <c r="A11" s="153" t="s">
        <v>148</v>
      </c>
      <c r="B11" s="154">
        <f>B10+5%</f>
        <v>0.60000000000000009</v>
      </c>
    </row>
    <row r="12" spans="1:2" x14ac:dyDescent="0.25">
      <c r="A12" s="153" t="s">
        <v>149</v>
      </c>
      <c r="B12" s="154">
        <v>0.45</v>
      </c>
    </row>
    <row r="13" spans="1:2" x14ac:dyDescent="0.25">
      <c r="A13" s="153" t="s">
        <v>150</v>
      </c>
      <c r="B13" s="154">
        <f>B12+5%</f>
        <v>0.5</v>
      </c>
    </row>
    <row r="14" spans="1:2" x14ac:dyDescent="0.25">
      <c r="A14" s="153" t="s">
        <v>151</v>
      </c>
      <c r="B14" s="154">
        <v>0.5</v>
      </c>
    </row>
    <row r="15" spans="1:2" x14ac:dyDescent="0.25">
      <c r="A15" s="153" t="s">
        <v>152</v>
      </c>
      <c r="B15" s="154">
        <f>B14+5%</f>
        <v>0.55000000000000004</v>
      </c>
    </row>
    <row r="16" spans="1:2" x14ac:dyDescent="0.25">
      <c r="A16" s="153" t="s">
        <v>153</v>
      </c>
      <c r="B16" s="154">
        <v>0.5</v>
      </c>
    </row>
    <row r="17" spans="1:2" x14ac:dyDescent="0.25">
      <c r="A17" s="153" t="s">
        <v>154</v>
      </c>
      <c r="B17" s="154">
        <f>B16+5%</f>
        <v>0.55000000000000004</v>
      </c>
    </row>
    <row r="18" spans="1:2" x14ac:dyDescent="0.25">
      <c r="A18" s="153" t="s">
        <v>155</v>
      </c>
      <c r="B18" s="154">
        <v>0.4</v>
      </c>
    </row>
    <row r="19" spans="1:2" x14ac:dyDescent="0.25">
      <c r="A19" s="153" t="s">
        <v>156</v>
      </c>
      <c r="B19" s="154">
        <f>B18+5%</f>
        <v>0.45</v>
      </c>
    </row>
    <row r="20" spans="1:2" x14ac:dyDescent="0.25">
      <c r="A20" s="153" t="s">
        <v>157</v>
      </c>
      <c r="B20" s="154">
        <v>0.5</v>
      </c>
    </row>
    <row r="21" spans="1:2" x14ac:dyDescent="0.25">
      <c r="A21" s="153" t="s">
        <v>158</v>
      </c>
      <c r="B21" s="154">
        <f>B20+5%</f>
        <v>0.55000000000000004</v>
      </c>
    </row>
    <row r="22" spans="1:2" x14ac:dyDescent="0.25">
      <c r="A22" s="153" t="s">
        <v>159</v>
      </c>
      <c r="B22" s="154">
        <v>0.5</v>
      </c>
    </row>
    <row r="23" spans="1:2" x14ac:dyDescent="0.25">
      <c r="A23" s="153" t="s">
        <v>160</v>
      </c>
      <c r="B23" s="154">
        <f>B22+5%</f>
        <v>0.55000000000000004</v>
      </c>
    </row>
    <row r="24" spans="1:2" x14ac:dyDescent="0.25">
      <c r="A24" s="153" t="s">
        <v>161</v>
      </c>
      <c r="B24" s="154">
        <v>0.5</v>
      </c>
    </row>
    <row r="25" spans="1:2" x14ac:dyDescent="0.25">
      <c r="A25" s="153" t="s">
        <v>162</v>
      </c>
      <c r="B25" s="154">
        <f>B24+5%</f>
        <v>0.55000000000000004</v>
      </c>
    </row>
    <row r="26" spans="1:2" x14ac:dyDescent="0.25">
      <c r="A26" s="153" t="s">
        <v>163</v>
      </c>
      <c r="B26" s="154">
        <v>0.4</v>
      </c>
    </row>
    <row r="27" spans="1:2" x14ac:dyDescent="0.25">
      <c r="A27" s="153" t="s">
        <v>164</v>
      </c>
      <c r="B27" s="154">
        <f>B26+5%</f>
        <v>0.45</v>
      </c>
    </row>
    <row r="28" spans="1:2" x14ac:dyDescent="0.25">
      <c r="A28" s="153" t="s">
        <v>165</v>
      </c>
      <c r="B28" s="154">
        <v>0.4</v>
      </c>
    </row>
    <row r="29" spans="1:2" x14ac:dyDescent="0.25">
      <c r="A29" s="153" t="s">
        <v>166</v>
      </c>
      <c r="B29" s="154">
        <f>B28+5%</f>
        <v>0.45</v>
      </c>
    </row>
    <row r="30" spans="1:2" x14ac:dyDescent="0.25">
      <c r="A30" s="153" t="s">
        <v>167</v>
      </c>
      <c r="B30" s="154">
        <v>0.4</v>
      </c>
    </row>
    <row r="31" spans="1:2" x14ac:dyDescent="0.25">
      <c r="A31" s="153" t="s">
        <v>168</v>
      </c>
      <c r="B31" s="154">
        <f>B30+5%</f>
        <v>0.45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FF533-E9B3-4682-94A2-81A28F8B0084}">
  <sheetPr codeName="Sheet7">
    <tabColor rgb="FF7030A0"/>
  </sheetPr>
  <dimension ref="A1:G31"/>
  <sheetViews>
    <sheetView zoomScaleNormal="100" workbookViewId="0">
      <selection activeCell="G21" sqref="G21"/>
    </sheetView>
  </sheetViews>
  <sheetFormatPr defaultRowHeight="15" x14ac:dyDescent="0.25"/>
  <cols>
    <col min="1" max="1" width="35.85546875" bestFit="1" customWidth="1"/>
    <col min="2" max="2" width="23.140625" customWidth="1"/>
    <col min="3" max="3" width="9.5703125" customWidth="1"/>
  </cols>
  <sheetData>
    <row r="1" spans="1:7" x14ac:dyDescent="0.25">
      <c r="A1" s="94" t="s">
        <v>27</v>
      </c>
      <c r="B1" s="152" t="s">
        <v>169</v>
      </c>
      <c r="C1" s="152" t="s">
        <v>170</v>
      </c>
    </row>
    <row r="2" spans="1:7" x14ac:dyDescent="0.25">
      <c r="A2" s="153" t="s">
        <v>62</v>
      </c>
      <c r="B2" s="154" t="s">
        <v>171</v>
      </c>
      <c r="C2" s="173">
        <v>0</v>
      </c>
    </row>
    <row r="3" spans="1:7" x14ac:dyDescent="0.25">
      <c r="A3" s="153" t="s">
        <v>142</v>
      </c>
      <c r="B3" s="154" t="s">
        <v>171</v>
      </c>
      <c r="C3" s="173">
        <v>0</v>
      </c>
    </row>
    <row r="4" spans="1:7" x14ac:dyDescent="0.25">
      <c r="A4" s="153" t="s">
        <v>143</v>
      </c>
      <c r="B4" s="154" t="s">
        <v>172</v>
      </c>
      <c r="C4" s="173">
        <v>95</v>
      </c>
    </row>
    <row r="5" spans="1:7" x14ac:dyDescent="0.25">
      <c r="A5" s="153" t="s">
        <v>144</v>
      </c>
      <c r="B5" s="154" t="s">
        <v>172</v>
      </c>
      <c r="C5" s="173">
        <v>95</v>
      </c>
    </row>
    <row r="6" spans="1:7" x14ac:dyDescent="0.25">
      <c r="A6" s="153" t="s">
        <v>80</v>
      </c>
      <c r="B6" s="154" t="s">
        <v>172</v>
      </c>
      <c r="C6" s="173">
        <v>95</v>
      </c>
    </row>
    <row r="7" spans="1:7" x14ac:dyDescent="0.25">
      <c r="A7" s="153" t="s">
        <v>145</v>
      </c>
      <c r="B7" s="154" t="s">
        <v>172</v>
      </c>
      <c r="C7" s="173">
        <v>95</v>
      </c>
    </row>
    <row r="8" spans="1:7" x14ac:dyDescent="0.25">
      <c r="A8" s="153" t="s">
        <v>47</v>
      </c>
      <c r="B8" s="154" t="s">
        <v>172</v>
      </c>
      <c r="C8" s="173">
        <v>95</v>
      </c>
      <c r="G8" s="176"/>
    </row>
    <row r="9" spans="1:7" x14ac:dyDescent="0.25">
      <c r="A9" s="153" t="s">
        <v>146</v>
      </c>
      <c r="B9" s="154" t="s">
        <v>172</v>
      </c>
      <c r="C9" s="173">
        <v>95</v>
      </c>
      <c r="G9" s="176"/>
    </row>
    <row r="10" spans="1:7" x14ac:dyDescent="0.25">
      <c r="A10" s="153" t="s">
        <v>147</v>
      </c>
      <c r="B10" s="154" t="s">
        <v>171</v>
      </c>
      <c r="C10" s="175" t="s">
        <v>173</v>
      </c>
    </row>
    <row r="11" spans="1:7" x14ac:dyDescent="0.25">
      <c r="A11" s="153" t="s">
        <v>148</v>
      </c>
      <c r="B11" s="154" t="s">
        <v>171</v>
      </c>
      <c r="C11" s="175" t="s">
        <v>173</v>
      </c>
    </row>
    <row r="12" spans="1:7" x14ac:dyDescent="0.25">
      <c r="A12" s="153" t="s">
        <v>149</v>
      </c>
      <c r="B12" s="154" t="s">
        <v>174</v>
      </c>
      <c r="C12" s="173">
        <v>95</v>
      </c>
    </row>
    <row r="13" spans="1:7" x14ac:dyDescent="0.25">
      <c r="A13" s="153" t="s">
        <v>150</v>
      </c>
      <c r="B13" s="154" t="s">
        <v>174</v>
      </c>
      <c r="C13" s="173">
        <v>95</v>
      </c>
    </row>
    <row r="14" spans="1:7" x14ac:dyDescent="0.25">
      <c r="A14" s="153" t="s">
        <v>151</v>
      </c>
      <c r="B14" s="154" t="s">
        <v>175</v>
      </c>
      <c r="C14" s="173">
        <v>95</v>
      </c>
    </row>
    <row r="15" spans="1:7" x14ac:dyDescent="0.25">
      <c r="A15" s="153" t="s">
        <v>152</v>
      </c>
      <c r="B15" s="154" t="s">
        <v>175</v>
      </c>
      <c r="C15" s="173">
        <v>95</v>
      </c>
    </row>
    <row r="16" spans="1:7" x14ac:dyDescent="0.25">
      <c r="A16" s="153" t="s">
        <v>153</v>
      </c>
      <c r="B16" s="154" t="s">
        <v>171</v>
      </c>
      <c r="C16" s="175" t="s">
        <v>173</v>
      </c>
    </row>
    <row r="17" spans="1:3" x14ac:dyDescent="0.25">
      <c r="A17" s="153" t="s">
        <v>154</v>
      </c>
      <c r="B17" s="154" t="s">
        <v>171</v>
      </c>
      <c r="C17" s="175" t="s">
        <v>173</v>
      </c>
    </row>
    <row r="18" spans="1:3" x14ac:dyDescent="0.25">
      <c r="A18" s="153" t="s">
        <v>155</v>
      </c>
      <c r="B18" s="154" t="s">
        <v>176</v>
      </c>
      <c r="C18" s="173">
        <v>85</v>
      </c>
    </row>
    <row r="19" spans="1:3" x14ac:dyDescent="0.25">
      <c r="A19" s="153" t="s">
        <v>156</v>
      </c>
      <c r="B19" s="154" t="s">
        <v>176</v>
      </c>
      <c r="C19" s="173">
        <v>85</v>
      </c>
    </row>
    <row r="20" spans="1:3" x14ac:dyDescent="0.25">
      <c r="A20" s="153" t="s">
        <v>157</v>
      </c>
      <c r="B20" s="154" t="s">
        <v>171</v>
      </c>
      <c r="C20" s="175" t="s">
        <v>173</v>
      </c>
    </row>
    <row r="21" spans="1:3" x14ac:dyDescent="0.25">
      <c r="A21" s="153" t="s">
        <v>158</v>
      </c>
      <c r="B21" s="154" t="s">
        <v>171</v>
      </c>
      <c r="C21" s="175" t="s">
        <v>173</v>
      </c>
    </row>
    <row r="22" spans="1:3" x14ac:dyDescent="0.25">
      <c r="A22" s="153" t="s">
        <v>159</v>
      </c>
      <c r="B22" s="154" t="s">
        <v>171</v>
      </c>
      <c r="C22" s="175" t="s">
        <v>173</v>
      </c>
    </row>
    <row r="23" spans="1:3" x14ac:dyDescent="0.25">
      <c r="A23" s="153" t="s">
        <v>160</v>
      </c>
      <c r="B23" s="154" t="s">
        <v>171</v>
      </c>
      <c r="C23" s="175" t="s">
        <v>173</v>
      </c>
    </row>
    <row r="24" spans="1:3" x14ac:dyDescent="0.25">
      <c r="A24" s="153" t="s">
        <v>161</v>
      </c>
      <c r="B24" s="154" t="s">
        <v>171</v>
      </c>
      <c r="C24" s="175" t="s">
        <v>173</v>
      </c>
    </row>
    <row r="25" spans="1:3" x14ac:dyDescent="0.25">
      <c r="A25" s="153" t="s">
        <v>162</v>
      </c>
      <c r="B25" s="154" t="s">
        <v>171</v>
      </c>
      <c r="C25" s="175" t="s">
        <v>173</v>
      </c>
    </row>
    <row r="26" spans="1:3" x14ac:dyDescent="0.25">
      <c r="A26" s="153" t="s">
        <v>163</v>
      </c>
      <c r="B26" s="154" t="s">
        <v>177</v>
      </c>
      <c r="C26" s="173">
        <v>85</v>
      </c>
    </row>
    <row r="27" spans="1:3" x14ac:dyDescent="0.25">
      <c r="A27" s="153" t="s">
        <v>164</v>
      </c>
      <c r="B27" s="154" t="s">
        <v>177</v>
      </c>
      <c r="C27" s="173">
        <v>85</v>
      </c>
    </row>
    <row r="28" spans="1:3" x14ac:dyDescent="0.25">
      <c r="A28" s="153" t="s">
        <v>165</v>
      </c>
      <c r="B28" s="154" t="s">
        <v>178</v>
      </c>
      <c r="C28" s="173">
        <v>85</v>
      </c>
    </row>
    <row r="29" spans="1:3" x14ac:dyDescent="0.25">
      <c r="A29" s="153" t="s">
        <v>166</v>
      </c>
      <c r="B29" s="154" t="s">
        <v>178</v>
      </c>
      <c r="C29" s="173">
        <v>85</v>
      </c>
    </row>
    <row r="30" spans="1:3" x14ac:dyDescent="0.25">
      <c r="A30" s="153" t="s">
        <v>167</v>
      </c>
      <c r="B30" s="154" t="s">
        <v>171</v>
      </c>
      <c r="C30" s="175" t="s">
        <v>173</v>
      </c>
    </row>
    <row r="31" spans="1:3" x14ac:dyDescent="0.25">
      <c r="A31" s="153" t="s">
        <v>168</v>
      </c>
      <c r="B31" s="154" t="s">
        <v>171</v>
      </c>
      <c r="C31" s="175" t="s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BC77-2A8A-492D-A054-D0895E38BEDC}">
  <sheetPr codeName="Sheet8">
    <tabColor rgb="FF7030A0"/>
  </sheetPr>
  <dimension ref="A1:E22"/>
  <sheetViews>
    <sheetView workbookViewId="0">
      <selection activeCell="J12" sqref="J12"/>
    </sheetView>
  </sheetViews>
  <sheetFormatPr defaultRowHeight="15" x14ac:dyDescent="0.25"/>
  <cols>
    <col min="1" max="1" width="27.5703125" bestFit="1" customWidth="1"/>
    <col min="2" max="2" width="2.5703125" customWidth="1"/>
    <col min="3" max="3" width="26.85546875" customWidth="1"/>
    <col min="4" max="4" width="2.5703125" customWidth="1"/>
    <col min="5" max="5" width="26.85546875" customWidth="1"/>
  </cols>
  <sheetData>
    <row r="1" spans="1:5" ht="18.75" x14ac:dyDescent="0.3">
      <c r="A1" s="285" t="s">
        <v>179</v>
      </c>
      <c r="B1" s="209"/>
      <c r="C1" s="285" t="s">
        <v>57</v>
      </c>
      <c r="D1" s="209"/>
      <c r="E1" s="285" t="s">
        <v>180</v>
      </c>
    </row>
    <row r="2" spans="1:5" ht="18.75" x14ac:dyDescent="0.3">
      <c r="A2" s="286"/>
      <c r="B2" s="209"/>
      <c r="C2" s="286"/>
      <c r="D2" s="209"/>
      <c r="E2" s="286"/>
    </row>
    <row r="3" spans="1:5" x14ac:dyDescent="0.25">
      <c r="A3" s="8" t="s">
        <v>66</v>
      </c>
      <c r="C3" s="8" t="s">
        <v>114</v>
      </c>
      <c r="E3" s="8" t="s">
        <v>109</v>
      </c>
    </row>
    <row r="4" spans="1:5" x14ac:dyDescent="0.25">
      <c r="A4" s="8" t="s">
        <v>90</v>
      </c>
      <c r="C4" s="8" t="s">
        <v>57</v>
      </c>
    </row>
    <row r="5" spans="1:5" x14ac:dyDescent="0.25">
      <c r="A5" s="8" t="s">
        <v>91</v>
      </c>
    </row>
    <row r="6" spans="1:5" x14ac:dyDescent="0.25">
      <c r="A6" s="8" t="s">
        <v>92</v>
      </c>
    </row>
    <row r="7" spans="1:5" x14ac:dyDescent="0.25">
      <c r="A7" s="8" t="s">
        <v>93</v>
      </c>
    </row>
    <row r="8" spans="1:5" x14ac:dyDescent="0.25">
      <c r="A8" s="8" t="s">
        <v>94</v>
      </c>
    </row>
    <row r="9" spans="1:5" x14ac:dyDescent="0.25">
      <c r="A9" s="8" t="s">
        <v>95</v>
      </c>
    </row>
    <row r="10" spans="1:5" x14ac:dyDescent="0.25">
      <c r="A10" s="8" t="s">
        <v>96</v>
      </c>
    </row>
    <row r="11" spans="1:5" x14ac:dyDescent="0.25">
      <c r="A11" s="8" t="s">
        <v>97</v>
      </c>
    </row>
    <row r="12" spans="1:5" x14ac:dyDescent="0.25">
      <c r="A12" s="8" t="s">
        <v>98</v>
      </c>
    </row>
    <row r="13" spans="1:5" x14ac:dyDescent="0.25">
      <c r="A13" s="8" t="s">
        <v>99</v>
      </c>
    </row>
    <row r="14" spans="1:5" x14ac:dyDescent="0.25">
      <c r="A14" s="8" t="s">
        <v>100</v>
      </c>
    </row>
    <row r="15" spans="1:5" x14ac:dyDescent="0.25">
      <c r="A15" s="8" t="s">
        <v>101</v>
      </c>
    </row>
    <row r="16" spans="1:5" x14ac:dyDescent="0.25">
      <c r="A16" s="8" t="s">
        <v>102</v>
      </c>
    </row>
    <row r="17" spans="1:1" x14ac:dyDescent="0.25">
      <c r="A17" s="8" t="s">
        <v>54</v>
      </c>
    </row>
    <row r="18" spans="1:1" x14ac:dyDescent="0.25">
      <c r="A18" s="8" t="s">
        <v>14</v>
      </c>
    </row>
    <row r="19" spans="1:1" x14ac:dyDescent="0.25">
      <c r="A19" s="8" t="s">
        <v>107</v>
      </c>
    </row>
    <row r="20" spans="1:1" x14ac:dyDescent="0.25">
      <c r="A20" s="8" t="s">
        <v>109</v>
      </c>
    </row>
    <row r="21" spans="1:1" x14ac:dyDescent="0.25">
      <c r="A21" s="8" t="s">
        <v>114</v>
      </c>
    </row>
    <row r="22" spans="1:1" x14ac:dyDescent="0.25">
      <c r="A22" s="8" t="s">
        <v>57</v>
      </c>
    </row>
  </sheetData>
  <mergeCells count="3">
    <mergeCell ref="A1:A2"/>
    <mergeCell ref="C1:C2"/>
    <mergeCell ref="E1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1055-6F46-48BB-8F48-0D17DD89C6B4}">
  <sheetPr codeName="Sheet9">
    <tabColor rgb="FF7030A0"/>
  </sheetPr>
  <dimension ref="A1:C15"/>
  <sheetViews>
    <sheetView workbookViewId="0">
      <selection activeCell="C7" sqref="C7"/>
    </sheetView>
  </sheetViews>
  <sheetFormatPr defaultRowHeight="15" x14ac:dyDescent="0.25"/>
  <cols>
    <col min="1" max="1" width="25" bestFit="1" customWidth="1"/>
  </cols>
  <sheetData>
    <row r="1" spans="1:3" x14ac:dyDescent="0.25">
      <c r="A1" s="287" t="s">
        <v>181</v>
      </c>
      <c r="B1" s="288"/>
      <c r="C1" s="289"/>
    </row>
    <row r="2" spans="1:3" x14ac:dyDescent="0.25">
      <c r="A2" s="165" t="s">
        <v>182</v>
      </c>
      <c r="B2" s="8"/>
      <c r="C2" s="51">
        <f>B15</f>
        <v>33.65</v>
      </c>
    </row>
    <row r="3" spans="1:3" x14ac:dyDescent="0.25">
      <c r="A3" s="165" t="s">
        <v>183</v>
      </c>
      <c r="B3" s="166">
        <v>0.75</v>
      </c>
      <c r="C3" s="51">
        <f>(C2/B3)-C2</f>
        <v>11.216666666666669</v>
      </c>
    </row>
    <row r="4" spans="1:3" x14ac:dyDescent="0.25">
      <c r="A4" s="165" t="s">
        <v>184</v>
      </c>
      <c r="B4" s="167">
        <v>1.4999999999999999E-2</v>
      </c>
      <c r="C4" s="51">
        <f>C2*B4</f>
        <v>0.50474999999999992</v>
      </c>
    </row>
    <row r="5" spans="1:3" x14ac:dyDescent="0.25">
      <c r="A5" s="165" t="s">
        <v>185</v>
      </c>
      <c r="B5" s="167">
        <v>0.08</v>
      </c>
      <c r="C5" s="51">
        <f>C2*B5</f>
        <v>2.6919999999999997</v>
      </c>
    </row>
    <row r="6" spans="1:3" x14ac:dyDescent="0.25">
      <c r="A6" s="165" t="s">
        <v>186</v>
      </c>
      <c r="B6" s="167">
        <v>0.01</v>
      </c>
      <c r="C6" s="51">
        <f>C2*B6</f>
        <v>0.33649999999999997</v>
      </c>
    </row>
    <row r="7" spans="1:3" x14ac:dyDescent="0.25">
      <c r="A7" s="165" t="s">
        <v>187</v>
      </c>
      <c r="B7" s="8"/>
      <c r="C7" s="43">
        <f>(C2+C3+C4+C5+C6)</f>
        <v>48.39991666666667</v>
      </c>
    </row>
    <row r="10" spans="1:3" x14ac:dyDescent="0.25">
      <c r="A10" s="165" t="s">
        <v>188</v>
      </c>
      <c r="B10" s="51">
        <v>32</v>
      </c>
    </row>
    <row r="11" spans="1:3" x14ac:dyDescent="0.25">
      <c r="A11" s="165" t="s">
        <v>189</v>
      </c>
      <c r="B11" s="51">
        <v>32</v>
      </c>
    </row>
    <row r="12" spans="1:3" x14ac:dyDescent="0.25">
      <c r="A12" s="165" t="s">
        <v>190</v>
      </c>
      <c r="B12" s="51">
        <v>33.5</v>
      </c>
    </row>
    <row r="13" spans="1:3" x14ac:dyDescent="0.25">
      <c r="A13" s="165" t="s">
        <v>191</v>
      </c>
      <c r="B13" s="51">
        <v>31</v>
      </c>
    </row>
    <row r="14" spans="1:3" x14ac:dyDescent="0.25">
      <c r="A14" s="165" t="s">
        <v>192</v>
      </c>
      <c r="B14" s="51">
        <v>39.75</v>
      </c>
    </row>
    <row r="15" spans="1:3" x14ac:dyDescent="0.25">
      <c r="A15" s="165" t="s">
        <v>193</v>
      </c>
      <c r="B15" s="43">
        <f>(B10+B11+B12+B13+B14)/5</f>
        <v>33.65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F1CE-24EE-47CD-9630-53BA67B7DC55}">
  <sheetPr codeName="Sheet10">
    <tabColor rgb="FF00B050"/>
  </sheetPr>
  <dimension ref="A1:W131"/>
  <sheetViews>
    <sheetView zoomScaleNormal="100" workbookViewId="0">
      <selection activeCell="C7" sqref="C7"/>
    </sheetView>
  </sheetViews>
  <sheetFormatPr defaultRowHeight="15" x14ac:dyDescent="0.25"/>
  <cols>
    <col min="1" max="1" width="13.140625" customWidth="1"/>
    <col min="2" max="3" width="8.85546875" style="1"/>
    <col min="4" max="4" width="13.42578125" style="2" bestFit="1" customWidth="1"/>
    <col min="5" max="5" width="8.85546875" style="1"/>
    <col min="6" max="6" width="12.140625" bestFit="1" customWidth="1"/>
    <col min="7" max="7" width="8.85546875" style="76"/>
    <col min="8" max="8" width="11.85546875" bestFit="1" customWidth="1"/>
    <col min="9" max="9" width="1.140625" customWidth="1"/>
    <col min="10" max="10" width="15" bestFit="1" customWidth="1"/>
    <col min="11" max="11" width="14.140625" bestFit="1" customWidth="1"/>
    <col min="12" max="12" width="5.85546875" customWidth="1"/>
    <col min="13" max="13" width="12.140625" customWidth="1"/>
    <col min="16" max="16" width="13.5703125" customWidth="1"/>
    <col min="17" max="17" width="9.140625" customWidth="1"/>
    <col min="18" max="18" width="13.140625" customWidth="1"/>
    <col min="19" max="19" width="8.85546875" style="76"/>
    <col min="20" max="20" width="13.140625" customWidth="1"/>
    <col min="21" max="21" width="1.140625" customWidth="1"/>
    <col min="22" max="22" width="16.140625" customWidth="1"/>
    <col min="23" max="23" width="14.140625" bestFit="1" customWidth="1"/>
  </cols>
  <sheetData>
    <row r="1" spans="1:23" ht="18.75" x14ac:dyDescent="0.3">
      <c r="A1" s="299" t="s">
        <v>194</v>
      </c>
      <c r="B1" s="299"/>
      <c r="C1" s="299"/>
      <c r="D1" s="299"/>
      <c r="E1" s="299"/>
      <c r="F1" s="299"/>
      <c r="G1" s="299"/>
      <c r="H1" s="299"/>
      <c r="I1" s="29"/>
      <c r="J1" s="299" t="s">
        <v>31</v>
      </c>
      <c r="K1" s="299"/>
      <c r="M1" s="299" t="s">
        <v>195</v>
      </c>
      <c r="N1" s="299"/>
      <c r="O1" s="299"/>
      <c r="P1" s="299"/>
      <c r="Q1" s="299"/>
      <c r="R1" s="299"/>
      <c r="S1" s="299"/>
      <c r="T1" s="299"/>
      <c r="U1" s="29"/>
      <c r="V1" s="299" t="s">
        <v>31</v>
      </c>
      <c r="W1" s="299"/>
    </row>
    <row r="2" spans="1:23" ht="6" customHeight="1" x14ac:dyDescent="0.25">
      <c r="N2" s="1"/>
      <c r="O2" s="1"/>
      <c r="P2" s="2"/>
      <c r="Q2" s="1"/>
    </row>
    <row r="3" spans="1:23" x14ac:dyDescent="0.25">
      <c r="A3" s="290" t="s">
        <v>196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M3" s="290" t="s">
        <v>197</v>
      </c>
      <c r="N3" s="290"/>
      <c r="O3" s="290"/>
      <c r="P3" s="290"/>
      <c r="Q3" s="290"/>
      <c r="R3" s="290"/>
      <c r="S3" s="290"/>
      <c r="T3" s="290"/>
      <c r="U3" s="290"/>
      <c r="V3" s="290"/>
      <c r="W3" s="290"/>
    </row>
    <row r="4" spans="1:23" x14ac:dyDescent="0.25">
      <c r="A4" s="291" t="s">
        <v>198</v>
      </c>
      <c r="B4" s="293" t="s">
        <v>83</v>
      </c>
      <c r="C4" s="293" t="s">
        <v>8</v>
      </c>
      <c r="D4" s="13" t="s">
        <v>199</v>
      </c>
      <c r="E4" s="295" t="s">
        <v>39</v>
      </c>
      <c r="F4" s="295" t="s">
        <v>200</v>
      </c>
      <c r="G4" s="297" t="s">
        <v>39</v>
      </c>
      <c r="H4" s="4" t="s">
        <v>141</v>
      </c>
      <c r="I4" s="19"/>
      <c r="J4" s="4" t="s">
        <v>201</v>
      </c>
      <c r="K4" s="4" t="s">
        <v>202</v>
      </c>
      <c r="M4" s="291" t="s">
        <v>198</v>
      </c>
      <c r="N4" s="293" t="s">
        <v>83</v>
      </c>
      <c r="O4" s="293" t="s">
        <v>8</v>
      </c>
      <c r="P4" s="13" t="s">
        <v>199</v>
      </c>
      <c r="Q4" s="295" t="s">
        <v>39</v>
      </c>
      <c r="R4" s="295" t="s">
        <v>200</v>
      </c>
      <c r="S4" s="297" t="s">
        <v>39</v>
      </c>
      <c r="T4" s="4" t="s">
        <v>141</v>
      </c>
      <c r="U4" s="19"/>
      <c r="V4" s="4" t="s">
        <v>201</v>
      </c>
      <c r="W4" s="4" t="s">
        <v>202</v>
      </c>
    </row>
    <row r="5" spans="1:23" x14ac:dyDescent="0.25">
      <c r="A5" s="292"/>
      <c r="B5" s="294"/>
      <c r="C5" s="294"/>
      <c r="D5" s="14" t="s">
        <v>203</v>
      </c>
      <c r="E5" s="296"/>
      <c r="F5" s="296"/>
      <c r="G5" s="298"/>
      <c r="H5" s="27">
        <v>0.66500000000000004</v>
      </c>
      <c r="I5" s="20"/>
      <c r="J5" s="17">
        <v>0.06</v>
      </c>
      <c r="K5" s="17">
        <v>0.06</v>
      </c>
      <c r="M5" s="292"/>
      <c r="N5" s="294"/>
      <c r="O5" s="294"/>
      <c r="P5" s="14" t="s">
        <v>203</v>
      </c>
      <c r="Q5" s="296"/>
      <c r="R5" s="296"/>
      <c r="S5" s="298"/>
      <c r="T5" s="27">
        <v>0.64900000000000002</v>
      </c>
      <c r="U5" s="20"/>
      <c r="V5" s="17">
        <v>0.06</v>
      </c>
      <c r="W5" s="17">
        <v>0.06</v>
      </c>
    </row>
    <row r="6" spans="1:23" x14ac:dyDescent="0.25">
      <c r="A6" s="8" t="s">
        <v>204</v>
      </c>
      <c r="B6" s="9" t="s">
        <v>16</v>
      </c>
      <c r="C6" s="12">
        <f>'BPSC. (+ Ply)'!G6</f>
        <v>23.084652222222225</v>
      </c>
      <c r="D6" s="22">
        <f t="shared" ref="D6:D12" si="0">F6-(F6*10%)</f>
        <v>73.553683499999991</v>
      </c>
      <c r="E6" s="23">
        <f t="shared" ref="E6:E12" si="1">(D6-C6)/D6</f>
        <v>0.68615232951287575</v>
      </c>
      <c r="F6" s="24">
        <v>81.726314999999985</v>
      </c>
      <c r="G6" s="75">
        <f t="shared" ref="G6:G12" si="2">(F6-C6)/F6</f>
        <v>0.71753709656158815</v>
      </c>
      <c r="H6" s="28">
        <f t="shared" ref="H6:H12" si="3">C6/(1-$H$5)</f>
        <v>68.909409618573818</v>
      </c>
      <c r="I6" s="20"/>
      <c r="J6" s="18">
        <f t="shared" ref="J6:J12" si="4">(D6*$J$5)</f>
        <v>4.4132210099999991</v>
      </c>
      <c r="K6" s="18">
        <f t="shared" ref="K6:K12" si="5">(F6*$K$5)</f>
        <v>4.9035788999999985</v>
      </c>
      <c r="M6" s="8" t="s">
        <v>204</v>
      </c>
      <c r="N6" s="9" t="s">
        <v>16</v>
      </c>
      <c r="O6" s="12">
        <f>'BPSC. (+ Ply)'!O6</f>
        <v>26.930652222222225</v>
      </c>
      <c r="P6" s="22">
        <f t="shared" ref="P6:P12" si="6">R6-(R6*10%)</f>
        <v>79.881795000000011</v>
      </c>
      <c r="Q6" s="23">
        <f t="shared" ref="Q6:Q12" si="7">(P6-O6)/P6</f>
        <v>0.6628687146774529</v>
      </c>
      <c r="R6" s="24">
        <v>88.757550000000009</v>
      </c>
      <c r="S6" s="75">
        <f t="shared" ref="S6:S12" si="8">(R6-O6)/R6</f>
        <v>0.69658184320970762</v>
      </c>
      <c r="T6" s="28">
        <f>O6/(1-$T$5)</f>
        <v>76.725504906616024</v>
      </c>
      <c r="U6" s="20"/>
      <c r="V6" s="18">
        <f t="shared" ref="V6:V12" si="9">(P6*$J$5)</f>
        <v>4.7929077000000007</v>
      </c>
      <c r="W6" s="18">
        <f t="shared" ref="W6:W12" si="10">(R6*$K$5)</f>
        <v>5.3254530000000004</v>
      </c>
    </row>
    <row r="7" spans="1:23" x14ac:dyDescent="0.25">
      <c r="A7" s="8" t="s">
        <v>204</v>
      </c>
      <c r="B7" s="9" t="s">
        <v>70</v>
      </c>
      <c r="C7" s="12">
        <f>'BPSC. (+ Ply)'!G7</f>
        <v>24.353985555555557</v>
      </c>
      <c r="D7" s="22">
        <f t="shared" si="0"/>
        <v>76.841959499999987</v>
      </c>
      <c r="E7" s="23">
        <f t="shared" si="1"/>
        <v>0.68306397033569199</v>
      </c>
      <c r="F7" s="24">
        <v>85.379954999999981</v>
      </c>
      <c r="G7" s="75">
        <f t="shared" si="2"/>
        <v>0.71475757330212275</v>
      </c>
      <c r="H7" s="28">
        <f t="shared" si="3"/>
        <v>72.698464344941968</v>
      </c>
      <c r="I7" s="20"/>
      <c r="J7" s="18">
        <f t="shared" si="4"/>
        <v>4.610517569999999</v>
      </c>
      <c r="K7" s="18">
        <f t="shared" si="5"/>
        <v>5.1227972999999984</v>
      </c>
      <c r="M7" s="8" t="s">
        <v>204</v>
      </c>
      <c r="N7" s="9" t="s">
        <v>70</v>
      </c>
      <c r="O7" s="12">
        <f>'BPSC. (+ Ply)'!O7</f>
        <v>28.76931888888889</v>
      </c>
      <c r="P7" s="22">
        <f t="shared" si="6"/>
        <v>85.942889999999977</v>
      </c>
      <c r="Q7" s="23">
        <f t="shared" si="7"/>
        <v>0.66525073931201406</v>
      </c>
      <c r="R7" s="24">
        <v>95.492099999999979</v>
      </c>
      <c r="S7" s="75">
        <f t="shared" si="8"/>
        <v>0.69872566538081271</v>
      </c>
      <c r="T7" s="28">
        <f t="shared" ref="T7:T12" si="11">O7/(1-$T$5)</f>
        <v>81.963871478315937</v>
      </c>
      <c r="U7" s="20"/>
      <c r="V7" s="18">
        <f t="shared" si="9"/>
        <v>5.1565733999999983</v>
      </c>
      <c r="W7" s="18">
        <f t="shared" si="10"/>
        <v>5.7295259999999981</v>
      </c>
    </row>
    <row r="8" spans="1:23" x14ac:dyDescent="0.25">
      <c r="A8" s="8" t="s">
        <v>204</v>
      </c>
      <c r="B8" s="9" t="s">
        <v>87</v>
      </c>
      <c r="C8" s="12">
        <f>'BPSC. (+ Ply)'!G8</f>
        <v>24.683985555555559</v>
      </c>
      <c r="D8" s="22">
        <f t="shared" si="0"/>
        <v>79.246376999999995</v>
      </c>
      <c r="E8" s="23">
        <f t="shared" si="1"/>
        <v>0.688515910884411</v>
      </c>
      <c r="F8" s="24">
        <v>88.05153</v>
      </c>
      <c r="G8" s="75">
        <f t="shared" si="2"/>
        <v>0.7196643197959699</v>
      </c>
      <c r="H8" s="28">
        <f t="shared" si="3"/>
        <v>73.68353897180765</v>
      </c>
      <c r="I8" s="20"/>
      <c r="J8" s="18">
        <f t="shared" si="4"/>
        <v>4.7547826199999994</v>
      </c>
      <c r="K8" s="18">
        <f t="shared" si="5"/>
        <v>5.2830917999999993</v>
      </c>
      <c r="M8" s="8" t="s">
        <v>204</v>
      </c>
      <c r="N8" s="9" t="s">
        <v>87</v>
      </c>
      <c r="O8" s="12">
        <f>'BPSC. (+ Ply)'!O8</f>
        <v>29.359318888888886</v>
      </c>
      <c r="P8" s="22">
        <f t="shared" si="6"/>
        <v>87.392115000000004</v>
      </c>
      <c r="Q8" s="23">
        <f t="shared" si="7"/>
        <v>0.66405071110947611</v>
      </c>
      <c r="R8" s="24">
        <v>97.102350000000001</v>
      </c>
      <c r="S8" s="75">
        <f t="shared" si="8"/>
        <v>0.69764563999852858</v>
      </c>
      <c r="T8" s="28">
        <f t="shared" si="11"/>
        <v>83.6447831592276</v>
      </c>
      <c r="U8" s="20"/>
      <c r="V8" s="18">
        <f t="shared" si="9"/>
        <v>5.2435269</v>
      </c>
      <c r="W8" s="18">
        <f t="shared" si="10"/>
        <v>5.8261409999999998</v>
      </c>
    </row>
    <row r="9" spans="1:23" x14ac:dyDescent="0.25">
      <c r="A9" s="8" t="s">
        <v>204</v>
      </c>
      <c r="B9" s="9" t="s">
        <v>88</v>
      </c>
      <c r="C9" s="12">
        <f>'BPSC. (+ Ply)'!G9</f>
        <v>24.683985555555559</v>
      </c>
      <c r="D9" s="22">
        <f t="shared" si="0"/>
        <v>81.523185749999982</v>
      </c>
      <c r="E9" s="23">
        <f t="shared" si="1"/>
        <v>0.69721515016290236</v>
      </c>
      <c r="F9" s="24">
        <v>90.581317499999983</v>
      </c>
      <c r="G9" s="75">
        <f t="shared" si="2"/>
        <v>0.72749363514661225</v>
      </c>
      <c r="H9" s="28">
        <f t="shared" si="3"/>
        <v>73.68353897180765</v>
      </c>
      <c r="I9" s="20"/>
      <c r="J9" s="18">
        <f t="shared" si="4"/>
        <v>4.8913911449999992</v>
      </c>
      <c r="K9" s="18">
        <f t="shared" si="5"/>
        <v>5.4348790499999984</v>
      </c>
      <c r="M9" s="8" t="s">
        <v>204</v>
      </c>
      <c r="N9" s="9" t="s">
        <v>88</v>
      </c>
      <c r="O9" s="12">
        <f>'BPSC. (+ Ply)'!O9</f>
        <v>29.359318888888886</v>
      </c>
      <c r="P9" s="22">
        <f t="shared" si="6"/>
        <v>89.56595249999998</v>
      </c>
      <c r="Q9" s="23">
        <f t="shared" si="7"/>
        <v>0.67220446978567117</v>
      </c>
      <c r="R9" s="24">
        <v>99.517724999999984</v>
      </c>
      <c r="S9" s="75">
        <f t="shared" si="8"/>
        <v>0.70498402280710415</v>
      </c>
      <c r="T9" s="28">
        <f t="shared" si="11"/>
        <v>83.6447831592276</v>
      </c>
      <c r="U9" s="20"/>
      <c r="V9" s="18">
        <f t="shared" si="9"/>
        <v>5.373957149999999</v>
      </c>
      <c r="W9" s="18">
        <f t="shared" si="10"/>
        <v>5.9710634999999987</v>
      </c>
    </row>
    <row r="10" spans="1:23" x14ac:dyDescent="0.25">
      <c r="A10" s="8" t="s">
        <v>204</v>
      </c>
      <c r="B10" s="9" t="s">
        <v>68</v>
      </c>
      <c r="C10" s="12">
        <f>'BPSC. (+ Ply)'!G10</f>
        <v>32.983581666666666</v>
      </c>
      <c r="D10" s="22">
        <f t="shared" si="0"/>
        <v>89.073593999999986</v>
      </c>
      <c r="E10" s="23">
        <f t="shared" si="1"/>
        <v>0.62970415601882335</v>
      </c>
      <c r="F10" s="24">
        <v>98.970659999999981</v>
      </c>
      <c r="G10" s="75">
        <f t="shared" si="2"/>
        <v>0.666733740416941</v>
      </c>
      <c r="H10" s="28">
        <f t="shared" si="3"/>
        <v>98.458452736318421</v>
      </c>
      <c r="I10" s="20"/>
      <c r="J10" s="18">
        <f t="shared" si="4"/>
        <v>5.3444156399999994</v>
      </c>
      <c r="K10" s="18">
        <f t="shared" si="5"/>
        <v>5.9382395999999984</v>
      </c>
      <c r="M10" s="8" t="s">
        <v>204</v>
      </c>
      <c r="N10" s="9" t="s">
        <v>68</v>
      </c>
      <c r="O10" s="12">
        <f>'BPSC. (+ Ply)'!O10</f>
        <v>38.434248333333336</v>
      </c>
      <c r="P10" s="22">
        <f t="shared" si="6"/>
        <v>98.719155000000001</v>
      </c>
      <c r="Q10" s="23">
        <f t="shared" si="7"/>
        <v>0.61067081324456907</v>
      </c>
      <c r="R10" s="24">
        <v>109.68795</v>
      </c>
      <c r="S10" s="75">
        <f t="shared" si="8"/>
        <v>0.64960373192011223</v>
      </c>
      <c r="T10" s="28">
        <f t="shared" si="11"/>
        <v>109.49928300094969</v>
      </c>
      <c r="U10" s="20"/>
      <c r="V10" s="18">
        <f t="shared" si="9"/>
        <v>5.9231492999999995</v>
      </c>
      <c r="W10" s="18">
        <f t="shared" si="10"/>
        <v>6.581277</v>
      </c>
    </row>
    <row r="11" spans="1:23" x14ac:dyDescent="0.25">
      <c r="A11" s="8" t="s">
        <v>204</v>
      </c>
      <c r="B11" s="9" t="s">
        <v>56</v>
      </c>
      <c r="C11" s="12">
        <f>'BPSC. (+ Ply)'!G11</f>
        <v>38.290241666666674</v>
      </c>
      <c r="D11" s="22">
        <f t="shared" si="0"/>
        <v>92.826634499999983</v>
      </c>
      <c r="E11" s="23">
        <f t="shared" si="1"/>
        <v>0.58750802640952493</v>
      </c>
      <c r="F11" s="24">
        <v>103.14070499999998</v>
      </c>
      <c r="G11" s="75">
        <f t="shared" si="2"/>
        <v>0.62875722376857246</v>
      </c>
      <c r="H11" s="28">
        <f t="shared" si="3"/>
        <v>114.29922885572142</v>
      </c>
      <c r="I11" s="20"/>
      <c r="J11" s="18">
        <f t="shared" si="4"/>
        <v>5.5695980699999987</v>
      </c>
      <c r="K11" s="18">
        <f t="shared" si="5"/>
        <v>6.1884422999999984</v>
      </c>
      <c r="M11" s="8" t="s">
        <v>204</v>
      </c>
      <c r="N11" s="9" t="s">
        <v>56</v>
      </c>
      <c r="O11" s="12">
        <f>'BPSC. (+ Ply)'!O11</f>
        <v>44.526908333333338</v>
      </c>
      <c r="P11" s="22">
        <f t="shared" si="6"/>
        <v>104.274945</v>
      </c>
      <c r="Q11" s="23">
        <f t="shared" si="7"/>
        <v>0.57298554956482273</v>
      </c>
      <c r="R11" s="24">
        <v>115.86105000000001</v>
      </c>
      <c r="S11" s="75">
        <f t="shared" si="8"/>
        <v>0.61568699460834042</v>
      </c>
      <c r="T11" s="28">
        <f t="shared" si="11"/>
        <v>126.85728869895539</v>
      </c>
      <c r="U11" s="20"/>
      <c r="V11" s="18">
        <f t="shared" si="9"/>
        <v>6.2564966999999996</v>
      </c>
      <c r="W11" s="18">
        <f t="shared" si="10"/>
        <v>6.9516629999999999</v>
      </c>
    </row>
    <row r="12" spans="1:23" x14ac:dyDescent="0.25">
      <c r="A12" s="8" t="s">
        <v>204</v>
      </c>
      <c r="B12" s="9" t="s">
        <v>89</v>
      </c>
      <c r="C12" s="12">
        <f>'BPSC. (+ Ply)'!G12</f>
        <v>45.041568333333331</v>
      </c>
      <c r="D12" s="22">
        <f t="shared" si="0"/>
        <v>117.9204075</v>
      </c>
      <c r="E12" s="23">
        <f t="shared" si="1"/>
        <v>0.61803415296598829</v>
      </c>
      <c r="F12" s="24">
        <v>131.02267499999999</v>
      </c>
      <c r="G12" s="75">
        <f t="shared" si="2"/>
        <v>0.65623073766938944</v>
      </c>
      <c r="H12" s="28">
        <f t="shared" si="3"/>
        <v>134.45244278606967</v>
      </c>
      <c r="I12" s="21"/>
      <c r="J12" s="18">
        <f t="shared" si="4"/>
        <v>7.0752244499999994</v>
      </c>
      <c r="K12" s="18">
        <f t="shared" si="5"/>
        <v>7.8613604999999991</v>
      </c>
      <c r="M12" s="8" t="s">
        <v>204</v>
      </c>
      <c r="N12" s="9" t="s">
        <v>89</v>
      </c>
      <c r="O12" s="12">
        <f>'BPSC. (+ Ply)'!O12</f>
        <v>52.830234999999995</v>
      </c>
      <c r="P12" s="22">
        <f t="shared" si="6"/>
        <v>126.2300625</v>
      </c>
      <c r="Q12" s="23">
        <f t="shared" si="7"/>
        <v>0.58147659952239994</v>
      </c>
      <c r="R12" s="24">
        <v>140.25562500000001</v>
      </c>
      <c r="S12" s="75">
        <f t="shared" si="8"/>
        <v>0.62332893957016</v>
      </c>
      <c r="T12" s="28">
        <f t="shared" si="11"/>
        <v>150.51349002849003</v>
      </c>
      <c r="U12" s="21"/>
      <c r="V12" s="18">
        <f t="shared" si="9"/>
        <v>7.5738037499999997</v>
      </c>
      <c r="W12" s="18">
        <f t="shared" si="10"/>
        <v>8.4153374999999997</v>
      </c>
    </row>
    <row r="13" spans="1:23" ht="6" customHeight="1" x14ac:dyDescent="0.25">
      <c r="N13" s="1"/>
      <c r="O13" s="1"/>
      <c r="P13" s="2"/>
      <c r="Q13" s="1"/>
    </row>
    <row r="14" spans="1:23" x14ac:dyDescent="0.25">
      <c r="A14" s="290" t="s">
        <v>205</v>
      </c>
      <c r="B14" s="290"/>
      <c r="C14" s="290"/>
      <c r="D14" s="290"/>
      <c r="E14" s="290"/>
      <c r="F14" s="290"/>
      <c r="G14" s="290"/>
      <c r="H14" s="290"/>
      <c r="I14" s="290"/>
      <c r="J14" s="290"/>
      <c r="K14" s="290"/>
      <c r="M14" s="290" t="s">
        <v>206</v>
      </c>
      <c r="N14" s="290"/>
      <c r="O14" s="290"/>
      <c r="P14" s="290"/>
      <c r="Q14" s="290"/>
      <c r="R14" s="290"/>
      <c r="S14" s="290"/>
      <c r="T14" s="290"/>
      <c r="U14" s="290"/>
      <c r="V14" s="290"/>
      <c r="W14" s="290"/>
    </row>
    <row r="15" spans="1:23" x14ac:dyDescent="0.25">
      <c r="A15" s="291" t="s">
        <v>198</v>
      </c>
      <c r="B15" s="293" t="s">
        <v>83</v>
      </c>
      <c r="C15" s="293" t="s">
        <v>8</v>
      </c>
      <c r="D15" s="13" t="s">
        <v>199</v>
      </c>
      <c r="E15" s="295" t="s">
        <v>39</v>
      </c>
      <c r="F15" s="295" t="s">
        <v>200</v>
      </c>
      <c r="G15" s="297" t="s">
        <v>39</v>
      </c>
      <c r="H15" s="4" t="s">
        <v>141</v>
      </c>
      <c r="I15" s="19"/>
      <c r="J15" s="4" t="s">
        <v>201</v>
      </c>
      <c r="K15" s="4" t="s">
        <v>202</v>
      </c>
      <c r="M15" s="291" t="s">
        <v>198</v>
      </c>
      <c r="N15" s="293" t="s">
        <v>83</v>
      </c>
      <c r="O15" s="293" t="s">
        <v>8</v>
      </c>
      <c r="P15" s="13" t="s">
        <v>199</v>
      </c>
      <c r="Q15" s="295" t="s">
        <v>39</v>
      </c>
      <c r="R15" s="295" t="s">
        <v>200</v>
      </c>
      <c r="S15" s="297" t="s">
        <v>39</v>
      </c>
      <c r="T15" s="4" t="s">
        <v>141</v>
      </c>
      <c r="U15" s="19"/>
      <c r="V15" s="4" t="s">
        <v>201</v>
      </c>
      <c r="W15" s="4" t="s">
        <v>202</v>
      </c>
    </row>
    <row r="16" spans="1:23" x14ac:dyDescent="0.25">
      <c r="A16" s="292"/>
      <c r="B16" s="294"/>
      <c r="C16" s="294"/>
      <c r="D16" s="14" t="s">
        <v>203</v>
      </c>
      <c r="E16" s="296"/>
      <c r="F16" s="296"/>
      <c r="G16" s="298"/>
      <c r="H16" s="27">
        <v>0.66500000000000004</v>
      </c>
      <c r="I16" s="20"/>
      <c r="J16" s="17">
        <v>0.06</v>
      </c>
      <c r="K16" s="17">
        <v>0.06</v>
      </c>
      <c r="M16" s="292"/>
      <c r="N16" s="294"/>
      <c r="O16" s="294"/>
      <c r="P16" s="14" t="s">
        <v>203</v>
      </c>
      <c r="Q16" s="296"/>
      <c r="R16" s="296"/>
      <c r="S16" s="298"/>
      <c r="T16" s="27">
        <v>0.64900000000000002</v>
      </c>
      <c r="U16" s="20"/>
      <c r="V16" s="17">
        <v>0.06</v>
      </c>
      <c r="W16" s="17">
        <v>0.06</v>
      </c>
    </row>
    <row r="17" spans="1:23" x14ac:dyDescent="0.25">
      <c r="A17" s="8" t="s">
        <v>204</v>
      </c>
      <c r="B17" s="9" t="s">
        <v>16</v>
      </c>
      <c r="C17" s="12">
        <f>'BPSC. (+ Ply)'!G17</f>
        <v>25.249985555555558</v>
      </c>
      <c r="D17" s="22">
        <f t="shared" ref="D17:D23" si="12">F17-(F17*10%)</f>
        <v>79.163095499999983</v>
      </c>
      <c r="E17" s="23">
        <f t="shared" ref="E17:E23" si="13">(D17-C17)/D17</f>
        <v>0.6810384258463521</v>
      </c>
      <c r="F17" s="24">
        <v>87.958994999999987</v>
      </c>
      <c r="G17" s="75">
        <f t="shared" ref="G17:G23" si="14">(F17-C17)/F17</f>
        <v>0.71293458326171688</v>
      </c>
      <c r="H17" s="28">
        <f>C17/(1-$H$16)</f>
        <v>75.373091210613609</v>
      </c>
      <c r="I17" s="20"/>
      <c r="J17" s="18">
        <f t="shared" ref="J17:J23" si="15">(D17*$J$5)</f>
        <v>4.7497857299999984</v>
      </c>
      <c r="K17" s="18">
        <f t="shared" ref="K17:K23" si="16">(F17*$K$5)</f>
        <v>5.2775396999999993</v>
      </c>
      <c r="M17" s="8" t="s">
        <v>204</v>
      </c>
      <c r="N17" s="9" t="s">
        <v>16</v>
      </c>
      <c r="O17" s="12">
        <f>'BPSC. (+ Ply)'!O17</f>
        <v>30.075985555555558</v>
      </c>
      <c r="P17" s="22">
        <f t="shared" ref="P17:P23" si="17">R17-(R17*10%)</f>
        <v>87.661439999999999</v>
      </c>
      <c r="Q17" s="23">
        <f t="shared" ref="Q17:Q23" si="18">(P17-O17)/P17</f>
        <v>0.65690746632093244</v>
      </c>
      <c r="R17" s="24">
        <v>97.401600000000002</v>
      </c>
      <c r="S17" s="75">
        <f t="shared" ref="S17:S23" si="19">(R17-O17)/R17</f>
        <v>0.69121671968883913</v>
      </c>
      <c r="T17" s="28">
        <f>O17/(1-$T$16)</f>
        <v>85.686568534346321</v>
      </c>
      <c r="U17" s="20"/>
      <c r="V17" s="18">
        <f t="shared" ref="V17:V23" si="20">(P17*$J$5)</f>
        <v>5.2596863999999997</v>
      </c>
      <c r="W17" s="18">
        <f t="shared" ref="W17:W23" si="21">(R17*$K$5)</f>
        <v>5.8440959999999995</v>
      </c>
    </row>
    <row r="18" spans="1:23" x14ac:dyDescent="0.25">
      <c r="A18" s="8" t="s">
        <v>204</v>
      </c>
      <c r="B18" s="9" t="s">
        <v>70</v>
      </c>
      <c r="C18" s="12">
        <f>'BPSC. (+ Ply)'!G18</f>
        <v>25.249985555555558</v>
      </c>
      <c r="D18" s="22">
        <f t="shared" si="12"/>
        <v>79.29569699999999</v>
      </c>
      <c r="E18" s="23">
        <f t="shared" si="13"/>
        <v>0.68157180640513748</v>
      </c>
      <c r="F18" s="24">
        <v>88.106329999999986</v>
      </c>
      <c r="G18" s="75">
        <f t="shared" si="14"/>
        <v>0.71341462576462378</v>
      </c>
      <c r="H18" s="28">
        <f t="shared" ref="H18:H23" si="22">C18/(1-$H$16)</f>
        <v>75.373091210613609</v>
      </c>
      <c r="I18" s="20"/>
      <c r="J18" s="18">
        <f t="shared" si="15"/>
        <v>4.7577418199999988</v>
      </c>
      <c r="K18" s="18">
        <f t="shared" si="16"/>
        <v>5.2863797999999989</v>
      </c>
      <c r="M18" s="8" t="s">
        <v>204</v>
      </c>
      <c r="N18" s="9" t="s">
        <v>70</v>
      </c>
      <c r="O18" s="12">
        <f>'BPSC. (+ Ply)'!O18</f>
        <v>30.075985555555558</v>
      </c>
      <c r="P18" s="22">
        <f t="shared" si="17"/>
        <v>89.174789999999987</v>
      </c>
      <c r="Q18" s="23">
        <f t="shared" si="18"/>
        <v>0.66272995366116849</v>
      </c>
      <c r="R18" s="24">
        <v>99.083099999999988</v>
      </c>
      <c r="S18" s="75">
        <f t="shared" si="19"/>
        <v>0.69645695829505172</v>
      </c>
      <c r="T18" s="28">
        <f t="shared" ref="T18:T23" si="23">O18/(1-$T$16)</f>
        <v>85.686568534346321</v>
      </c>
      <c r="U18" s="20"/>
      <c r="V18" s="18">
        <f t="shared" si="20"/>
        <v>5.3504873999999987</v>
      </c>
      <c r="W18" s="18">
        <f t="shared" si="21"/>
        <v>5.9449859999999992</v>
      </c>
    </row>
    <row r="19" spans="1:23" x14ac:dyDescent="0.25">
      <c r="A19" s="8" t="s">
        <v>204</v>
      </c>
      <c r="B19" s="9" t="s">
        <v>87</v>
      </c>
      <c r="C19" s="12">
        <f>'BPSC. (+ Ply)'!G19</f>
        <v>25.579985555555556</v>
      </c>
      <c r="D19" s="22">
        <f t="shared" si="12"/>
        <v>81.567513000000005</v>
      </c>
      <c r="E19" s="23">
        <f t="shared" si="13"/>
        <v>0.68639493084022862</v>
      </c>
      <c r="F19" s="24">
        <v>90.630570000000006</v>
      </c>
      <c r="G19" s="75">
        <f t="shared" si="14"/>
        <v>0.71775543775620576</v>
      </c>
      <c r="H19" s="28">
        <f t="shared" si="22"/>
        <v>76.358165837479277</v>
      </c>
      <c r="I19" s="20"/>
      <c r="J19" s="18">
        <f t="shared" si="15"/>
        <v>4.8940507799999997</v>
      </c>
      <c r="K19" s="18">
        <f t="shared" si="16"/>
        <v>5.4378342000000002</v>
      </c>
      <c r="M19" s="8" t="s">
        <v>204</v>
      </c>
      <c r="N19" s="9" t="s">
        <v>87</v>
      </c>
      <c r="O19" s="12">
        <f>'BPSC. (+ Ply)'!O19</f>
        <v>30.665985555555554</v>
      </c>
      <c r="P19" s="22">
        <f t="shared" si="17"/>
        <v>90.624015000000014</v>
      </c>
      <c r="Q19" s="23">
        <f t="shared" si="18"/>
        <v>0.66161303319483755</v>
      </c>
      <c r="R19" s="24">
        <v>100.69335000000001</v>
      </c>
      <c r="S19" s="75">
        <f t="shared" si="19"/>
        <v>0.69545172987535375</v>
      </c>
      <c r="T19" s="28">
        <f t="shared" si="23"/>
        <v>87.367480215257999</v>
      </c>
      <c r="U19" s="20"/>
      <c r="V19" s="18">
        <f t="shared" si="20"/>
        <v>5.4374409000000004</v>
      </c>
      <c r="W19" s="18">
        <f t="shared" si="21"/>
        <v>6.041601</v>
      </c>
    </row>
    <row r="20" spans="1:23" x14ac:dyDescent="0.25">
      <c r="A20" s="8" t="s">
        <v>204</v>
      </c>
      <c r="B20" s="9" t="s">
        <v>88</v>
      </c>
      <c r="C20" s="12">
        <f>'BPSC. (+ Ply)'!G20</f>
        <v>25.579985555555556</v>
      </c>
      <c r="D20" s="22">
        <f t="shared" si="12"/>
        <v>83.844321750000006</v>
      </c>
      <c r="E20" s="23">
        <f t="shared" si="13"/>
        <v>0.69491093705990237</v>
      </c>
      <c r="F20" s="24">
        <v>93.160357500000003</v>
      </c>
      <c r="G20" s="75">
        <f t="shared" si="14"/>
        <v>0.72541984335391207</v>
      </c>
      <c r="H20" s="28">
        <f t="shared" si="22"/>
        <v>76.358165837479277</v>
      </c>
      <c r="I20" s="20"/>
      <c r="J20" s="18">
        <f t="shared" si="15"/>
        <v>5.0306593050000004</v>
      </c>
      <c r="K20" s="18">
        <f t="shared" si="16"/>
        <v>5.5896214500000001</v>
      </c>
      <c r="M20" s="8" t="s">
        <v>204</v>
      </c>
      <c r="N20" s="9" t="s">
        <v>88</v>
      </c>
      <c r="O20" s="12">
        <f>'BPSC. (+ Ply)'!O20</f>
        <v>30.665985555555554</v>
      </c>
      <c r="P20" s="22">
        <f t="shared" si="17"/>
        <v>92.797852500000005</v>
      </c>
      <c r="Q20" s="23">
        <f t="shared" si="18"/>
        <v>0.66953992221365732</v>
      </c>
      <c r="R20" s="24">
        <v>103.10872500000001</v>
      </c>
      <c r="S20" s="75">
        <f t="shared" si="19"/>
        <v>0.70258592999229164</v>
      </c>
      <c r="T20" s="28">
        <f t="shared" si="23"/>
        <v>87.367480215257999</v>
      </c>
      <c r="U20" s="20"/>
      <c r="V20" s="18">
        <f t="shared" si="20"/>
        <v>5.5678711500000002</v>
      </c>
      <c r="W20" s="18">
        <f t="shared" si="21"/>
        <v>6.1865234999999998</v>
      </c>
    </row>
    <row r="21" spans="1:23" x14ac:dyDescent="0.25">
      <c r="A21" s="8" t="s">
        <v>204</v>
      </c>
      <c r="B21" s="9" t="s">
        <v>68</v>
      </c>
      <c r="C21" s="12">
        <f>'BPSC. (+ Ply)'!G21</f>
        <v>35.447581666666672</v>
      </c>
      <c r="D21" s="22">
        <f t="shared" si="12"/>
        <v>95.456717999999981</v>
      </c>
      <c r="E21" s="23">
        <f t="shared" si="13"/>
        <v>0.62865283440117148</v>
      </c>
      <c r="F21" s="24">
        <v>106.06301999999998</v>
      </c>
      <c r="G21" s="75">
        <f t="shared" si="14"/>
        <v>0.66578755096105435</v>
      </c>
      <c r="H21" s="28">
        <f>C21/(1-$H$16)</f>
        <v>105.81367661691544</v>
      </c>
      <c r="I21" s="20"/>
      <c r="J21" s="18">
        <f t="shared" si="15"/>
        <v>5.7274030799999984</v>
      </c>
      <c r="K21" s="18">
        <f t="shared" si="16"/>
        <v>6.3637811999999983</v>
      </c>
      <c r="M21" s="8" t="s">
        <v>204</v>
      </c>
      <c r="N21" s="9" t="s">
        <v>68</v>
      </c>
      <c r="O21" s="12">
        <f>'BPSC. (+ Ply)'!O21</f>
        <v>41.999581666666671</v>
      </c>
      <c r="P21" s="22">
        <f t="shared" si="17"/>
        <v>107.53762499999999</v>
      </c>
      <c r="Q21" s="23">
        <f t="shared" si="18"/>
        <v>0.60944291203505119</v>
      </c>
      <c r="R21" s="24">
        <v>119.48625</v>
      </c>
      <c r="S21" s="75">
        <f t="shared" si="19"/>
        <v>0.64849862083154608</v>
      </c>
      <c r="T21" s="28">
        <f t="shared" si="23"/>
        <v>119.65692782526118</v>
      </c>
      <c r="U21" s="20"/>
      <c r="V21" s="18">
        <f t="shared" si="20"/>
        <v>6.4522574999999991</v>
      </c>
      <c r="W21" s="18">
        <f t="shared" si="21"/>
        <v>7.1691750000000001</v>
      </c>
    </row>
    <row r="22" spans="1:23" x14ac:dyDescent="0.25">
      <c r="A22" s="8" t="s">
        <v>204</v>
      </c>
      <c r="B22" s="9" t="s">
        <v>56</v>
      </c>
      <c r="C22" s="12">
        <f>'BPSC. (+ Ply)'!G22</f>
        <v>41.099575000000002</v>
      </c>
      <c r="D22" s="22">
        <f t="shared" si="12"/>
        <v>100.10436299999999</v>
      </c>
      <c r="E22" s="23">
        <f t="shared" si="13"/>
        <v>0.58943273031965648</v>
      </c>
      <c r="F22" s="24">
        <v>111.22707</v>
      </c>
      <c r="G22" s="75">
        <f t="shared" si="14"/>
        <v>0.63048945728769079</v>
      </c>
      <c r="H22" s="28">
        <f t="shared" si="22"/>
        <v>122.6852985074627</v>
      </c>
      <c r="I22" s="20"/>
      <c r="J22" s="18">
        <f t="shared" si="15"/>
        <v>6.0062617799999991</v>
      </c>
      <c r="K22" s="18">
        <f t="shared" si="16"/>
        <v>6.6736241999999999</v>
      </c>
      <c r="M22" s="8" t="s">
        <v>204</v>
      </c>
      <c r="N22" s="9" t="s">
        <v>56</v>
      </c>
      <c r="O22" s="12">
        <f>'BPSC. (+ Ply)'!O22</f>
        <v>48.605575000000002</v>
      </c>
      <c r="P22" s="22">
        <f t="shared" si="17"/>
        <v>114.36309</v>
      </c>
      <c r="Q22" s="23">
        <f t="shared" si="18"/>
        <v>0.57498896715714831</v>
      </c>
      <c r="R22" s="24">
        <v>127.0701</v>
      </c>
      <c r="S22" s="75">
        <f t="shared" si="19"/>
        <v>0.61749007044143345</v>
      </c>
      <c r="T22" s="28">
        <f t="shared" si="23"/>
        <v>138.47742165242167</v>
      </c>
      <c r="U22" s="20"/>
      <c r="V22" s="18">
        <f t="shared" si="20"/>
        <v>6.8617853999999996</v>
      </c>
      <c r="W22" s="18">
        <f t="shared" si="21"/>
        <v>7.6242059999999992</v>
      </c>
    </row>
    <row r="23" spans="1:23" x14ac:dyDescent="0.25">
      <c r="A23" s="8" t="s">
        <v>204</v>
      </c>
      <c r="B23" s="9" t="s">
        <v>89</v>
      </c>
      <c r="C23" s="12">
        <f>'BPSC. (+ Ply)'!G23</f>
        <v>48.550901666666661</v>
      </c>
      <c r="D23" s="22">
        <f t="shared" si="12"/>
        <v>127.51404749999998</v>
      </c>
      <c r="E23" s="23">
        <f t="shared" si="13"/>
        <v>0.61925056400812095</v>
      </c>
      <c r="F23" s="24">
        <v>141.68227499999998</v>
      </c>
      <c r="G23" s="75">
        <f t="shared" si="14"/>
        <v>0.6573255076073089</v>
      </c>
      <c r="H23" s="28">
        <f t="shared" si="22"/>
        <v>144.92806467661691</v>
      </c>
      <c r="I23" s="21"/>
      <c r="J23" s="18">
        <f t="shared" si="15"/>
        <v>7.6508428499999983</v>
      </c>
      <c r="K23" s="18">
        <f t="shared" si="16"/>
        <v>8.5009364999999981</v>
      </c>
      <c r="M23" s="8" t="s">
        <v>204</v>
      </c>
      <c r="N23" s="9" t="s">
        <v>89</v>
      </c>
      <c r="O23" s="12">
        <f>'BPSC. (+ Ply)'!O23</f>
        <v>57.926234999999998</v>
      </c>
      <c r="P23" s="22">
        <f t="shared" si="17"/>
        <v>138.8344725</v>
      </c>
      <c r="Q23" s="23">
        <f t="shared" si="18"/>
        <v>0.58276763719471769</v>
      </c>
      <c r="R23" s="24">
        <v>154.260525</v>
      </c>
      <c r="S23" s="75">
        <f t="shared" si="19"/>
        <v>0.6244908734752459</v>
      </c>
      <c r="T23" s="28">
        <f t="shared" si="23"/>
        <v>165.03200854700856</v>
      </c>
      <c r="U23" s="21"/>
      <c r="V23" s="18">
        <f t="shared" si="20"/>
        <v>8.3300683499999995</v>
      </c>
      <c r="W23" s="18">
        <f t="shared" si="21"/>
        <v>9.2556314999999998</v>
      </c>
    </row>
    <row r="24" spans="1:23" ht="14.85" customHeight="1" x14ac:dyDescent="0.25"/>
    <row r="26" spans="1:23" ht="18.75" x14ac:dyDescent="0.3">
      <c r="A26" s="299" t="s">
        <v>207</v>
      </c>
      <c r="B26" s="299"/>
      <c r="C26" s="299"/>
      <c r="D26" s="299"/>
      <c r="E26" s="299"/>
      <c r="F26" s="299"/>
      <c r="G26" s="299"/>
      <c r="H26" s="299"/>
      <c r="I26" s="29"/>
      <c r="J26" s="299" t="s">
        <v>31</v>
      </c>
      <c r="K26" s="299"/>
      <c r="M26" s="299" t="s">
        <v>208</v>
      </c>
      <c r="N26" s="299"/>
      <c r="O26" s="299"/>
      <c r="P26" s="299"/>
      <c r="Q26" s="299"/>
      <c r="R26" s="299"/>
      <c r="S26" s="299"/>
      <c r="T26" s="299"/>
      <c r="U26" s="29"/>
      <c r="V26" s="299" t="s">
        <v>31</v>
      </c>
      <c r="W26" s="299"/>
    </row>
    <row r="27" spans="1:23" ht="6" customHeight="1" x14ac:dyDescent="0.25">
      <c r="N27" s="1"/>
      <c r="O27" s="1"/>
      <c r="P27" s="2"/>
      <c r="Q27" s="1"/>
    </row>
    <row r="28" spans="1:23" x14ac:dyDescent="0.25">
      <c r="A28" s="290" t="s">
        <v>196</v>
      </c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M28" s="290" t="s">
        <v>197</v>
      </c>
      <c r="N28" s="290"/>
      <c r="O28" s="290"/>
      <c r="P28" s="290"/>
      <c r="Q28" s="290"/>
      <c r="R28" s="290"/>
      <c r="S28" s="290"/>
      <c r="T28" s="290"/>
      <c r="U28" s="290"/>
      <c r="V28" s="290"/>
      <c r="W28" s="290"/>
    </row>
    <row r="29" spans="1:23" x14ac:dyDescent="0.25">
      <c r="A29" s="291" t="s">
        <v>198</v>
      </c>
      <c r="B29" s="293" t="s">
        <v>83</v>
      </c>
      <c r="C29" s="293" t="s">
        <v>8</v>
      </c>
      <c r="D29" s="13" t="s">
        <v>199</v>
      </c>
      <c r="E29" s="295" t="s">
        <v>39</v>
      </c>
      <c r="F29" s="295" t="s">
        <v>200</v>
      </c>
      <c r="G29" s="297" t="s">
        <v>39</v>
      </c>
      <c r="H29" s="4" t="s">
        <v>141</v>
      </c>
      <c r="I29" s="19"/>
      <c r="J29" s="4" t="s">
        <v>201</v>
      </c>
      <c r="K29" s="4" t="s">
        <v>202</v>
      </c>
      <c r="M29" s="291" t="s">
        <v>198</v>
      </c>
      <c r="N29" s="293" t="s">
        <v>83</v>
      </c>
      <c r="O29" s="293" t="s">
        <v>8</v>
      </c>
      <c r="P29" s="13" t="s">
        <v>199</v>
      </c>
      <c r="Q29" s="295" t="s">
        <v>39</v>
      </c>
      <c r="R29" s="295" t="s">
        <v>200</v>
      </c>
      <c r="S29" s="297" t="s">
        <v>39</v>
      </c>
      <c r="T29" s="4" t="s">
        <v>141</v>
      </c>
      <c r="U29" s="19"/>
      <c r="V29" s="4" t="s">
        <v>201</v>
      </c>
      <c r="W29" s="4" t="s">
        <v>202</v>
      </c>
    </row>
    <row r="30" spans="1:23" x14ac:dyDescent="0.25">
      <c r="A30" s="292"/>
      <c r="B30" s="294"/>
      <c r="C30" s="294"/>
      <c r="D30" s="14" t="s">
        <v>203</v>
      </c>
      <c r="E30" s="296"/>
      <c r="F30" s="296"/>
      <c r="G30" s="298"/>
      <c r="H30" s="27">
        <v>0.66500000000000004</v>
      </c>
      <c r="I30" s="20"/>
      <c r="J30" s="17">
        <v>0.06</v>
      </c>
      <c r="K30" s="17">
        <v>0.06</v>
      </c>
      <c r="M30" s="292"/>
      <c r="N30" s="294"/>
      <c r="O30" s="294"/>
      <c r="P30" s="14" t="s">
        <v>203</v>
      </c>
      <c r="Q30" s="296"/>
      <c r="R30" s="296"/>
      <c r="S30" s="298"/>
      <c r="T30" s="27">
        <v>0.64900000000000002</v>
      </c>
      <c r="U30" s="20"/>
      <c r="V30" s="17">
        <v>0.06</v>
      </c>
      <c r="W30" s="17">
        <v>0.06</v>
      </c>
    </row>
    <row r="31" spans="1:23" x14ac:dyDescent="0.25">
      <c r="A31" s="8" t="s">
        <v>204</v>
      </c>
      <c r="B31" s="9" t="s">
        <v>16</v>
      </c>
      <c r="C31" s="12">
        <f>'BPSC. (+ Ply)'!G31</f>
        <v>24.650252222222221</v>
      </c>
      <c r="D31" s="22">
        <f t="shared" ref="D31:D37" si="24">F31-(F31*10%)</f>
        <v>77.844626865671643</v>
      </c>
      <c r="E31" s="23">
        <f t="shared" ref="E31:E37" si="25">(D31-C31)/D31</f>
        <v>0.68334035096913504</v>
      </c>
      <c r="F31" s="24">
        <v>86.494029850746273</v>
      </c>
      <c r="G31" s="75">
        <f t="shared" ref="G31:G37" si="26">(F31-C31)/F31</f>
        <v>0.71500631587222163</v>
      </c>
      <c r="H31" s="28">
        <f>C31/(1-$H$30)</f>
        <v>73.582842454394694</v>
      </c>
      <c r="I31" s="20"/>
      <c r="J31" s="18">
        <f t="shared" ref="J31:J37" si="27">(D31*$J$5)</f>
        <v>4.670677611940298</v>
      </c>
      <c r="K31" s="18">
        <f t="shared" ref="K31:K37" si="28">(F31*$K$5)</f>
        <v>5.1896417910447763</v>
      </c>
      <c r="M31" s="8" t="s">
        <v>204</v>
      </c>
      <c r="N31" s="9" t="s">
        <v>16</v>
      </c>
      <c r="O31" s="12">
        <f>'BPSC. (+ Ply)'!O31</f>
        <v>28.496252222222221</v>
      </c>
      <c r="P31" s="22">
        <f t="shared" ref="P31:P37" si="29">R31-(R31*10%)</f>
        <v>83.947435897435909</v>
      </c>
      <c r="Q31" s="23">
        <f t="shared" ref="Q31:Q37" si="30">(P31-O31)/P31</f>
        <v>0.66054648462356891</v>
      </c>
      <c r="R31" s="24">
        <v>93.274928774928782</v>
      </c>
      <c r="S31" s="75">
        <f t="shared" ref="S31:S37" si="31">(R31-O31)/R31</f>
        <v>0.69449183616121202</v>
      </c>
      <c r="T31" s="28">
        <f>O31/(1-$T$30)</f>
        <v>81.185903767014878</v>
      </c>
      <c r="U31" s="20"/>
      <c r="V31" s="18">
        <f t="shared" ref="V31:V37" si="32">(P31*$J$5)</f>
        <v>5.0368461538461542</v>
      </c>
      <c r="W31" s="18">
        <f t="shared" ref="W31:W37" si="33">(R31*$K$5)</f>
        <v>5.5964957264957267</v>
      </c>
    </row>
    <row r="32" spans="1:23" x14ac:dyDescent="0.25">
      <c r="A32" s="8" t="s">
        <v>204</v>
      </c>
      <c r="B32" s="9" t="s">
        <v>70</v>
      </c>
      <c r="C32" s="12">
        <f>'BPSC. (+ Ply)'!G32</f>
        <v>25.919585555555557</v>
      </c>
      <c r="D32" s="22">
        <f t="shared" si="24"/>
        <v>81.132985074626887</v>
      </c>
      <c r="E32" s="23">
        <f t="shared" si="25"/>
        <v>0.6805296202066955</v>
      </c>
      <c r="F32" s="24">
        <v>90.147761194029869</v>
      </c>
      <c r="G32" s="75">
        <f t="shared" si="26"/>
        <v>0.7124766581860259</v>
      </c>
      <c r="H32" s="28">
        <f t="shared" ref="H32:H37" si="34">C32/(1-$H$30)</f>
        <v>77.371897180762858</v>
      </c>
      <c r="I32" s="20"/>
      <c r="J32" s="18">
        <f t="shared" si="27"/>
        <v>4.8679791044776133</v>
      </c>
      <c r="K32" s="18">
        <f t="shared" si="28"/>
        <v>5.4088656716417916</v>
      </c>
      <c r="M32" s="8" t="s">
        <v>204</v>
      </c>
      <c r="N32" s="9" t="s">
        <v>70</v>
      </c>
      <c r="O32" s="12">
        <f>'BPSC. (+ Ply)'!O32</f>
        <v>30.33491888888889</v>
      </c>
      <c r="P32" s="22">
        <f t="shared" si="29"/>
        <v>90.006410256410263</v>
      </c>
      <c r="Q32" s="23">
        <f t="shared" si="30"/>
        <v>0.66296935071101293</v>
      </c>
      <c r="R32" s="24">
        <v>100.00712250712252</v>
      </c>
      <c r="S32" s="75">
        <f t="shared" si="31"/>
        <v>0.69667241563991167</v>
      </c>
      <c r="T32" s="28">
        <f t="shared" ref="T32:T37" si="35">O32/(1-$T$30)</f>
        <v>86.424270338714791</v>
      </c>
      <c r="U32" s="20"/>
      <c r="V32" s="18">
        <f t="shared" si="32"/>
        <v>5.4003846153846151</v>
      </c>
      <c r="W32" s="18">
        <f t="shared" si="33"/>
        <v>6.0004273504273504</v>
      </c>
    </row>
    <row r="33" spans="1:23" x14ac:dyDescent="0.25">
      <c r="A33" s="8" t="s">
        <v>204</v>
      </c>
      <c r="B33" s="9" t="s">
        <v>87</v>
      </c>
      <c r="C33" s="12">
        <f>'BPSC. (+ Ply)'!G33</f>
        <v>26.249585555555555</v>
      </c>
      <c r="D33" s="22">
        <f t="shared" si="24"/>
        <v>83.537462686567167</v>
      </c>
      <c r="E33" s="23">
        <f t="shared" si="25"/>
        <v>0.68577468465801883</v>
      </c>
      <c r="F33" s="24">
        <v>92.819402985074632</v>
      </c>
      <c r="G33" s="75">
        <f t="shared" si="26"/>
        <v>0.71719721619221699</v>
      </c>
      <c r="H33" s="28">
        <f t="shared" si="34"/>
        <v>78.356971807628526</v>
      </c>
      <c r="I33" s="20"/>
      <c r="J33" s="18">
        <f t="shared" si="27"/>
        <v>5.0122477611940299</v>
      </c>
      <c r="K33" s="18">
        <f t="shared" si="28"/>
        <v>5.5691641791044777</v>
      </c>
      <c r="M33" s="8" t="s">
        <v>204</v>
      </c>
      <c r="N33" s="9" t="s">
        <v>87</v>
      </c>
      <c r="O33" s="12">
        <f>'BPSC. (+ Ply)'!O33</f>
        <v>30.92491888888889</v>
      </c>
      <c r="P33" s="22">
        <f t="shared" si="29"/>
        <v>91.455128205128219</v>
      </c>
      <c r="Q33" s="23">
        <f t="shared" si="30"/>
        <v>0.66185691829630156</v>
      </c>
      <c r="R33" s="24">
        <v>101.61680911680914</v>
      </c>
      <c r="S33" s="75">
        <f t="shared" si="31"/>
        <v>0.69567122646667146</v>
      </c>
      <c r="T33" s="28">
        <f t="shared" si="35"/>
        <v>88.105182019626469</v>
      </c>
      <c r="U33" s="20"/>
      <c r="V33" s="18">
        <f t="shared" si="32"/>
        <v>5.4873076923076933</v>
      </c>
      <c r="W33" s="18">
        <f t="shared" si="33"/>
        <v>6.0970085470085476</v>
      </c>
    </row>
    <row r="34" spans="1:23" x14ac:dyDescent="0.25">
      <c r="A34" s="8" t="s">
        <v>204</v>
      </c>
      <c r="B34" s="9" t="s">
        <v>88</v>
      </c>
      <c r="C34" s="12">
        <f>'BPSC. (+ Ply)'!G34</f>
        <v>26.249585555555555</v>
      </c>
      <c r="D34" s="22">
        <f t="shared" si="24"/>
        <v>85.814328358208954</v>
      </c>
      <c r="E34" s="23">
        <f t="shared" si="25"/>
        <v>0.69411185686866084</v>
      </c>
      <c r="F34" s="24">
        <v>95.349253731343282</v>
      </c>
      <c r="G34" s="75">
        <f t="shared" si="26"/>
        <v>0.72470067118179482</v>
      </c>
      <c r="H34" s="28">
        <f t="shared" si="34"/>
        <v>78.356971807628526</v>
      </c>
      <c r="I34" s="20"/>
      <c r="J34" s="18">
        <f t="shared" si="27"/>
        <v>5.1488597014925368</v>
      </c>
      <c r="K34" s="18">
        <f t="shared" si="28"/>
        <v>5.7209552238805967</v>
      </c>
      <c r="M34" s="8" t="s">
        <v>204</v>
      </c>
      <c r="N34" s="9" t="s">
        <v>88</v>
      </c>
      <c r="O34" s="12">
        <f>'BPSC. (+ Ply)'!O34</f>
        <v>30.92491888888889</v>
      </c>
      <c r="P34" s="22">
        <f t="shared" si="29"/>
        <v>93.628205128205138</v>
      </c>
      <c r="Q34" s="23">
        <f t="shared" si="30"/>
        <v>0.66970509744853712</v>
      </c>
      <c r="R34" s="24">
        <v>104.03133903133904</v>
      </c>
      <c r="S34" s="75">
        <f t="shared" si="31"/>
        <v>0.70273458770368347</v>
      </c>
      <c r="T34" s="28">
        <f t="shared" si="35"/>
        <v>88.105182019626469</v>
      </c>
      <c r="U34" s="20"/>
      <c r="V34" s="18">
        <f t="shared" si="32"/>
        <v>5.617692307692308</v>
      </c>
      <c r="W34" s="18">
        <f t="shared" si="33"/>
        <v>6.2418803418803428</v>
      </c>
    </row>
    <row r="35" spans="1:23" x14ac:dyDescent="0.25">
      <c r="A35" s="8" t="s">
        <v>204</v>
      </c>
      <c r="B35" s="9" t="s">
        <v>68</v>
      </c>
      <c r="C35" s="12">
        <f>'BPSC. (+ Ply)'!G35</f>
        <v>34.549181666666669</v>
      </c>
      <c r="D35" s="22">
        <f t="shared" si="24"/>
        <v>93.364925373134326</v>
      </c>
      <c r="E35" s="23">
        <f t="shared" si="25"/>
        <v>0.62995545137973019</v>
      </c>
      <c r="F35" s="24">
        <v>103.73880597014926</v>
      </c>
      <c r="G35" s="75">
        <f t="shared" si="26"/>
        <v>0.66695990624175716</v>
      </c>
      <c r="H35" s="28">
        <f t="shared" si="34"/>
        <v>103.13188557213932</v>
      </c>
      <c r="I35" s="20"/>
      <c r="J35" s="18">
        <f t="shared" si="27"/>
        <v>5.6018955223880598</v>
      </c>
      <c r="K35" s="18">
        <f t="shared" si="28"/>
        <v>6.2243283582089557</v>
      </c>
      <c r="M35" s="8" t="s">
        <v>204</v>
      </c>
      <c r="N35" s="9" t="s">
        <v>68</v>
      </c>
      <c r="O35" s="12">
        <f>'BPSC. (+ Ply)'!O35</f>
        <v>39.999848333333333</v>
      </c>
      <c r="P35" s="22">
        <f t="shared" si="29"/>
        <v>102.77820512820513</v>
      </c>
      <c r="Q35" s="23">
        <f t="shared" si="30"/>
        <v>0.61081390472388886</v>
      </c>
      <c r="R35" s="24">
        <v>114.1980056980057</v>
      </c>
      <c r="S35" s="75">
        <f t="shared" si="31"/>
        <v>0.64973251425150003</v>
      </c>
      <c r="T35" s="28">
        <f t="shared" si="35"/>
        <v>113.95968186134853</v>
      </c>
      <c r="U35" s="20"/>
      <c r="V35" s="18">
        <f t="shared" si="32"/>
        <v>6.1666923076923075</v>
      </c>
      <c r="W35" s="18">
        <f t="shared" si="33"/>
        <v>6.8518803418803422</v>
      </c>
    </row>
    <row r="36" spans="1:23" x14ac:dyDescent="0.25">
      <c r="A36" s="8" t="s">
        <v>204</v>
      </c>
      <c r="B36" s="9" t="s">
        <v>56</v>
      </c>
      <c r="C36" s="12">
        <f>'BPSC. (+ Ply)'!G36</f>
        <v>39.85584166666667</v>
      </c>
      <c r="D36" s="22">
        <f t="shared" si="24"/>
        <v>97.11805970149257</v>
      </c>
      <c r="E36" s="23">
        <f t="shared" si="25"/>
        <v>0.58961451877055837</v>
      </c>
      <c r="F36" s="24">
        <v>107.90895522388062</v>
      </c>
      <c r="G36" s="75">
        <f t="shared" si="26"/>
        <v>0.63065306689350242</v>
      </c>
      <c r="H36" s="28">
        <f t="shared" si="34"/>
        <v>118.97266169154231</v>
      </c>
      <c r="I36" s="20"/>
      <c r="J36" s="18">
        <f t="shared" si="27"/>
        <v>5.8270835820895543</v>
      </c>
      <c r="K36" s="18">
        <f t="shared" si="28"/>
        <v>6.4745373134328377</v>
      </c>
      <c r="M36" s="8" t="s">
        <v>204</v>
      </c>
      <c r="N36" s="9" t="s">
        <v>56</v>
      </c>
      <c r="O36" s="12">
        <f>'BPSC. (+ Ply)'!O36</f>
        <v>46.092508333333328</v>
      </c>
      <c r="P36" s="22">
        <f t="shared" si="29"/>
        <v>108.33205128205128</v>
      </c>
      <c r="Q36" s="23">
        <f t="shared" si="30"/>
        <v>0.57452565710836823</v>
      </c>
      <c r="R36" s="24">
        <v>120.36894586894587</v>
      </c>
      <c r="S36" s="75">
        <f t="shared" si="31"/>
        <v>0.61707309139753141</v>
      </c>
      <c r="T36" s="28">
        <f t="shared" si="35"/>
        <v>131.31768755935423</v>
      </c>
      <c r="U36" s="20"/>
      <c r="V36" s="18">
        <f t="shared" si="32"/>
        <v>6.4999230769230767</v>
      </c>
      <c r="W36" s="18">
        <f t="shared" si="33"/>
        <v>7.2221367521367519</v>
      </c>
    </row>
    <row r="37" spans="1:23" x14ac:dyDescent="0.25">
      <c r="A37" s="8" t="s">
        <v>204</v>
      </c>
      <c r="B37" s="9" t="s">
        <v>89</v>
      </c>
      <c r="C37" s="12">
        <f>'BPSC. (+ Ply)'!G37</f>
        <v>46.607168333333334</v>
      </c>
      <c r="D37" s="22">
        <f t="shared" si="24"/>
        <v>116.03552238805969</v>
      </c>
      <c r="E37" s="23">
        <f t="shared" si="25"/>
        <v>0.5983370663212586</v>
      </c>
      <c r="F37" s="24">
        <v>128.92835820895522</v>
      </c>
      <c r="G37" s="75">
        <f t="shared" si="26"/>
        <v>0.63850335968913274</v>
      </c>
      <c r="H37" s="28">
        <f t="shared" si="34"/>
        <v>139.12587562189057</v>
      </c>
      <c r="I37" s="21"/>
      <c r="J37" s="18">
        <f t="shared" si="27"/>
        <v>6.9621313432835814</v>
      </c>
      <c r="K37" s="18">
        <f t="shared" si="28"/>
        <v>7.7357014925373129</v>
      </c>
      <c r="M37" s="8" t="s">
        <v>204</v>
      </c>
      <c r="N37" s="9" t="s">
        <v>89</v>
      </c>
      <c r="O37" s="12">
        <f>'BPSC. (+ Ply)'!O37</f>
        <v>54.395835000000005</v>
      </c>
      <c r="P37" s="22">
        <f t="shared" si="29"/>
        <v>130.27948717948721</v>
      </c>
      <c r="Q37" s="23">
        <f t="shared" si="30"/>
        <v>0.58246815229585314</v>
      </c>
      <c r="R37" s="24">
        <v>144.75498575498577</v>
      </c>
      <c r="S37" s="75">
        <f t="shared" si="31"/>
        <v>0.62422133706626781</v>
      </c>
      <c r="T37" s="28">
        <f t="shared" si="35"/>
        <v>154.97388888888892</v>
      </c>
      <c r="U37" s="21"/>
      <c r="V37" s="18">
        <f t="shared" si="32"/>
        <v>7.816769230769232</v>
      </c>
      <c r="W37" s="18">
        <f t="shared" si="33"/>
        <v>8.6852991452991457</v>
      </c>
    </row>
    <row r="38" spans="1:23" ht="7.35" customHeight="1" x14ac:dyDescent="0.25">
      <c r="N38" s="1"/>
      <c r="O38" s="1"/>
      <c r="P38" s="2"/>
      <c r="Q38" s="1"/>
    </row>
    <row r="39" spans="1:23" x14ac:dyDescent="0.25">
      <c r="A39" s="290" t="s">
        <v>205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M39" s="290" t="s">
        <v>206</v>
      </c>
      <c r="N39" s="290"/>
      <c r="O39" s="290"/>
      <c r="P39" s="290"/>
      <c r="Q39" s="290"/>
      <c r="R39" s="290"/>
      <c r="S39" s="290"/>
      <c r="T39" s="290"/>
      <c r="U39" s="290"/>
      <c r="V39" s="290"/>
      <c r="W39" s="290"/>
    </row>
    <row r="40" spans="1:23" x14ac:dyDescent="0.25">
      <c r="A40" s="291" t="s">
        <v>198</v>
      </c>
      <c r="B40" s="293" t="s">
        <v>83</v>
      </c>
      <c r="C40" s="293" t="s">
        <v>8</v>
      </c>
      <c r="D40" s="13" t="s">
        <v>199</v>
      </c>
      <c r="E40" s="295" t="s">
        <v>39</v>
      </c>
      <c r="F40" s="295" t="s">
        <v>200</v>
      </c>
      <c r="G40" s="297" t="s">
        <v>39</v>
      </c>
      <c r="H40" s="4" t="s">
        <v>141</v>
      </c>
      <c r="I40" s="19"/>
      <c r="J40" s="4" t="s">
        <v>201</v>
      </c>
      <c r="K40" s="4" t="s">
        <v>202</v>
      </c>
      <c r="M40" s="291" t="s">
        <v>198</v>
      </c>
      <c r="N40" s="293" t="s">
        <v>83</v>
      </c>
      <c r="O40" s="293" t="s">
        <v>8</v>
      </c>
      <c r="P40" s="13" t="s">
        <v>199</v>
      </c>
      <c r="Q40" s="295" t="s">
        <v>39</v>
      </c>
      <c r="R40" s="295" t="s">
        <v>200</v>
      </c>
      <c r="S40" s="297" t="s">
        <v>39</v>
      </c>
      <c r="T40" s="4" t="s">
        <v>141</v>
      </c>
      <c r="U40" s="19"/>
      <c r="V40" s="4" t="s">
        <v>201</v>
      </c>
      <c r="W40" s="4" t="s">
        <v>202</v>
      </c>
    </row>
    <row r="41" spans="1:23" x14ac:dyDescent="0.25">
      <c r="A41" s="292"/>
      <c r="B41" s="294"/>
      <c r="C41" s="294"/>
      <c r="D41" s="14" t="s">
        <v>203</v>
      </c>
      <c r="E41" s="296"/>
      <c r="F41" s="296"/>
      <c r="G41" s="298"/>
      <c r="H41" s="27">
        <v>0.66500000000000004</v>
      </c>
      <c r="I41" s="20"/>
      <c r="J41" s="17">
        <v>0.06</v>
      </c>
      <c r="K41" s="17">
        <v>0.06</v>
      </c>
      <c r="M41" s="292"/>
      <c r="N41" s="294"/>
      <c r="O41" s="294"/>
      <c r="P41" s="14" t="s">
        <v>203</v>
      </c>
      <c r="Q41" s="296"/>
      <c r="R41" s="296"/>
      <c r="S41" s="298"/>
      <c r="T41" s="27">
        <v>0.64900000000000002</v>
      </c>
      <c r="U41" s="20"/>
      <c r="V41" s="17">
        <v>0.06</v>
      </c>
      <c r="W41" s="17">
        <v>0.06</v>
      </c>
    </row>
    <row r="42" spans="1:23" ht="14.85" customHeight="1" x14ac:dyDescent="0.25">
      <c r="A42" s="8" t="s">
        <v>204</v>
      </c>
      <c r="B42" s="9" t="s">
        <v>16</v>
      </c>
      <c r="C42" s="12">
        <f>'BPSC. (+ Ply)'!G42</f>
        <v>26.815585555555558</v>
      </c>
      <c r="D42" s="22">
        <f t="shared" ref="D42:D48" si="36">F42-(F42*10%)</f>
        <v>83.454179104477618</v>
      </c>
      <c r="E42" s="23">
        <f t="shared" ref="E42:E48" si="37">(D42-C42)/D42</f>
        <v>0.67867893683329272</v>
      </c>
      <c r="F42" s="24">
        <v>92.726865671641789</v>
      </c>
      <c r="G42" s="75">
        <f t="shared" ref="G42:G48" si="38">(F42-C42)/F42</f>
        <v>0.71081104314996335</v>
      </c>
      <c r="H42" s="28">
        <f>C42/(1-$H$41)</f>
        <v>80.046524046434513</v>
      </c>
      <c r="I42" s="20"/>
      <c r="J42" s="18">
        <f t="shared" ref="J42:J48" si="39">(D42*$J$5)</f>
        <v>5.0072507462686566</v>
      </c>
      <c r="K42" s="18">
        <f t="shared" ref="K42:K48" si="40">(F42*$K$5)</f>
        <v>5.5636119402985074</v>
      </c>
      <c r="M42" s="8" t="s">
        <v>204</v>
      </c>
      <c r="N42" s="9" t="s">
        <v>16</v>
      </c>
      <c r="O42" s="12">
        <f>'BPSC. (+ Ply)'!O42</f>
        <v>31.641585555555558</v>
      </c>
      <c r="P42" s="22">
        <f t="shared" ref="P42:P48" si="41">R42-(R42*10%)</f>
        <v>91.724358974358964</v>
      </c>
      <c r="Q42" s="23">
        <f t="shared" ref="Q42:Q48" si="42">(P42-O42)/P42</f>
        <v>0.65503617676520598</v>
      </c>
      <c r="R42" s="24">
        <v>101.9159544159544</v>
      </c>
      <c r="S42" s="75">
        <f t="shared" ref="S42:S48" si="43">(R42-O42)/R42</f>
        <v>0.68953255908868549</v>
      </c>
      <c r="T42" s="28">
        <f>O42/(1-$T$41)</f>
        <v>90.146967394745189</v>
      </c>
      <c r="U42" s="20"/>
      <c r="V42" s="18">
        <f t="shared" ref="V42:V48" si="44">(P42*$J$5)</f>
        <v>5.5034615384615373</v>
      </c>
      <c r="W42" s="18">
        <f t="shared" ref="W42:W48" si="45">(R42*$K$5)</f>
        <v>6.1149572649572637</v>
      </c>
    </row>
    <row r="43" spans="1:23" ht="14.85" customHeight="1" x14ac:dyDescent="0.25">
      <c r="A43" s="8" t="s">
        <v>204</v>
      </c>
      <c r="B43" s="9" t="s">
        <v>70</v>
      </c>
      <c r="C43" s="12">
        <f>'BPSC. (+ Ply)'!G43</f>
        <v>26.815585555555558</v>
      </c>
      <c r="D43" s="22">
        <f t="shared" si="36"/>
        <v>83.454179104477618</v>
      </c>
      <c r="E43" s="23">
        <f t="shared" si="37"/>
        <v>0.67867893683329272</v>
      </c>
      <c r="F43" s="24">
        <v>92.726865671641789</v>
      </c>
      <c r="G43" s="75">
        <f t="shared" si="38"/>
        <v>0.71081104314996335</v>
      </c>
      <c r="H43" s="28">
        <f t="shared" ref="H43:H48" si="46">C43/(1-$H$41)</f>
        <v>80.046524046434513</v>
      </c>
      <c r="I43" s="20"/>
      <c r="J43" s="18">
        <f t="shared" si="39"/>
        <v>5.0072507462686566</v>
      </c>
      <c r="K43" s="18">
        <f t="shared" si="40"/>
        <v>5.5636119402985074</v>
      </c>
      <c r="M43" s="8" t="s">
        <v>204</v>
      </c>
      <c r="N43" s="9" t="s">
        <v>70</v>
      </c>
      <c r="O43" s="12">
        <f>'BPSC. (+ Ply)'!O43</f>
        <v>31.641585555555558</v>
      </c>
      <c r="P43" s="22">
        <f t="shared" si="41"/>
        <v>93.237179487179489</v>
      </c>
      <c r="Q43" s="23">
        <f t="shared" si="42"/>
        <v>0.66063338971009511</v>
      </c>
      <c r="R43" s="24">
        <v>103.59686609686609</v>
      </c>
      <c r="S43" s="75">
        <f t="shared" si="43"/>
        <v>0.69457005073908562</v>
      </c>
      <c r="T43" s="28">
        <f t="shared" ref="T43:T48" si="47">O43/(1-$T$41)</f>
        <v>90.146967394745189</v>
      </c>
      <c r="U43" s="20"/>
      <c r="V43" s="18">
        <f t="shared" si="44"/>
        <v>5.5942307692307693</v>
      </c>
      <c r="W43" s="18">
        <f t="shared" si="45"/>
        <v>6.215811965811965</v>
      </c>
    </row>
    <row r="44" spans="1:23" ht="14.85" customHeight="1" x14ac:dyDescent="0.25">
      <c r="A44" s="8" t="s">
        <v>204</v>
      </c>
      <c r="B44" s="9" t="s">
        <v>87</v>
      </c>
      <c r="C44" s="12">
        <f>'BPSC. (+ Ply)'!G44</f>
        <v>27.145585555555556</v>
      </c>
      <c r="D44" s="22">
        <f t="shared" si="36"/>
        <v>85.85865671641794</v>
      </c>
      <c r="E44" s="23">
        <f t="shared" si="37"/>
        <v>0.6838340291624343</v>
      </c>
      <c r="F44" s="24">
        <v>95.398507462686595</v>
      </c>
      <c r="G44" s="75">
        <f t="shared" si="38"/>
        <v>0.71545062624619093</v>
      </c>
      <c r="H44" s="28">
        <f t="shared" si="46"/>
        <v>81.031598673300181</v>
      </c>
      <c r="I44" s="20"/>
      <c r="J44" s="18">
        <f t="shared" si="39"/>
        <v>5.1515194029850759</v>
      </c>
      <c r="K44" s="18">
        <f t="shared" si="40"/>
        <v>5.7239104477611953</v>
      </c>
      <c r="M44" s="8" t="s">
        <v>204</v>
      </c>
      <c r="N44" s="9" t="s">
        <v>87</v>
      </c>
      <c r="O44" s="12">
        <f>'BPSC. (+ Ply)'!O44</f>
        <v>32.231585555555554</v>
      </c>
      <c r="P44" s="22">
        <f t="shared" si="41"/>
        <v>94.685897435897431</v>
      </c>
      <c r="Q44" s="23">
        <f t="shared" si="42"/>
        <v>0.65959465529302908</v>
      </c>
      <c r="R44" s="24">
        <v>105.2065527065527</v>
      </c>
      <c r="S44" s="75">
        <f t="shared" si="43"/>
        <v>0.69363518976372618</v>
      </c>
      <c r="T44" s="28">
        <f t="shared" si="47"/>
        <v>91.827879075656853</v>
      </c>
      <c r="U44" s="20"/>
      <c r="V44" s="18">
        <f t="shared" si="44"/>
        <v>5.6811538461538458</v>
      </c>
      <c r="W44" s="18">
        <f t="shared" si="45"/>
        <v>6.3123931623931613</v>
      </c>
    </row>
    <row r="45" spans="1:23" ht="14.85" customHeight="1" x14ac:dyDescent="0.25">
      <c r="A45" s="8" t="s">
        <v>204</v>
      </c>
      <c r="B45" s="9" t="s">
        <v>88</v>
      </c>
      <c r="C45" s="12">
        <f>'BPSC. (+ Ply)'!G45</f>
        <v>27.145585555555556</v>
      </c>
      <c r="D45" s="22">
        <f t="shared" si="36"/>
        <v>88.135522388059712</v>
      </c>
      <c r="E45" s="23">
        <f t="shared" si="37"/>
        <v>0.69200176251257861</v>
      </c>
      <c r="F45" s="24">
        <v>97.928358208955231</v>
      </c>
      <c r="G45" s="75">
        <f t="shared" si="38"/>
        <v>0.72280158626132074</v>
      </c>
      <c r="H45" s="28">
        <f t="shared" si="46"/>
        <v>81.031598673300181</v>
      </c>
      <c r="I45" s="20"/>
      <c r="J45" s="18">
        <f t="shared" si="39"/>
        <v>5.2881313432835828</v>
      </c>
      <c r="K45" s="18">
        <f t="shared" si="40"/>
        <v>5.8757014925373134</v>
      </c>
      <c r="M45" s="8" t="s">
        <v>204</v>
      </c>
      <c r="N45" s="9" t="s">
        <v>88</v>
      </c>
      <c r="O45" s="12">
        <f>'BPSC. (+ Ply)'!O45</f>
        <v>32.231585555555554</v>
      </c>
      <c r="P45" s="22">
        <f t="shared" si="41"/>
        <v>96.858974358974365</v>
      </c>
      <c r="Q45" s="23">
        <f t="shared" si="42"/>
        <v>0.66723181028016765</v>
      </c>
      <c r="R45" s="24">
        <v>107.62108262108262</v>
      </c>
      <c r="S45" s="75">
        <f t="shared" si="43"/>
        <v>0.70050862925215085</v>
      </c>
      <c r="T45" s="28">
        <f t="shared" si="47"/>
        <v>91.827879075656853</v>
      </c>
      <c r="U45" s="20"/>
      <c r="V45" s="18">
        <f t="shared" si="44"/>
        <v>5.8115384615384613</v>
      </c>
      <c r="W45" s="18">
        <f t="shared" si="45"/>
        <v>6.4572649572649574</v>
      </c>
    </row>
    <row r="46" spans="1:23" ht="14.85" customHeight="1" x14ac:dyDescent="0.25">
      <c r="A46" s="8" t="s">
        <v>204</v>
      </c>
      <c r="B46" s="9" t="s">
        <v>68</v>
      </c>
      <c r="C46" s="12">
        <f>'BPSC. (+ Ply)'!G46</f>
        <v>37.013181666666668</v>
      </c>
      <c r="D46" s="22">
        <f t="shared" si="36"/>
        <v>99.748208955223873</v>
      </c>
      <c r="E46" s="23">
        <f t="shared" si="37"/>
        <v>0.62893387205296514</v>
      </c>
      <c r="F46" s="24">
        <v>110.83134328358209</v>
      </c>
      <c r="G46" s="75">
        <f t="shared" si="38"/>
        <v>0.66604048484766865</v>
      </c>
      <c r="H46" s="28">
        <f t="shared" si="46"/>
        <v>110.48710945273633</v>
      </c>
      <c r="I46" s="20"/>
      <c r="J46" s="18">
        <f t="shared" si="39"/>
        <v>5.9848925373134323</v>
      </c>
      <c r="K46" s="18">
        <f t="shared" si="40"/>
        <v>6.6498805970149251</v>
      </c>
      <c r="M46" s="8" t="s">
        <v>204</v>
      </c>
      <c r="N46" s="9" t="s">
        <v>68</v>
      </c>
      <c r="O46" s="12">
        <f>'BPSC. (+ Ply)'!O46</f>
        <v>43.565181666666668</v>
      </c>
      <c r="P46" s="22">
        <f t="shared" si="41"/>
        <v>111.59358974358973</v>
      </c>
      <c r="Q46" s="23">
        <f t="shared" si="42"/>
        <v>0.60960856473237357</v>
      </c>
      <c r="R46" s="24">
        <v>123.99287749287748</v>
      </c>
      <c r="S46" s="75">
        <f t="shared" si="43"/>
        <v>0.64864770825913631</v>
      </c>
      <c r="T46" s="28">
        <f t="shared" si="47"/>
        <v>124.11732668566003</v>
      </c>
      <c r="U46" s="20"/>
      <c r="V46" s="18">
        <f t="shared" si="44"/>
        <v>6.6956153846153841</v>
      </c>
      <c r="W46" s="18">
        <f t="shared" si="45"/>
        <v>7.4395726495726491</v>
      </c>
    </row>
    <row r="47" spans="1:23" ht="14.85" customHeight="1" x14ac:dyDescent="0.25">
      <c r="A47" s="8" t="s">
        <v>204</v>
      </c>
      <c r="B47" s="9" t="s">
        <v>56</v>
      </c>
      <c r="C47" s="12">
        <f>'BPSC. (+ Ply)'!G47</f>
        <v>42.665174999999998</v>
      </c>
      <c r="D47" s="22">
        <f t="shared" si="36"/>
        <v>104.39597014925374</v>
      </c>
      <c r="E47" s="23">
        <f t="shared" si="37"/>
        <v>0.59131396605633268</v>
      </c>
      <c r="F47" s="24">
        <v>115.99552238805971</v>
      </c>
      <c r="G47" s="75">
        <f t="shared" si="38"/>
        <v>0.63218256945069939</v>
      </c>
      <c r="H47" s="28">
        <f t="shared" si="46"/>
        <v>127.35873134328359</v>
      </c>
      <c r="I47" s="20"/>
      <c r="J47" s="18">
        <f t="shared" si="39"/>
        <v>6.2637582089552239</v>
      </c>
      <c r="K47" s="18">
        <f t="shared" si="40"/>
        <v>6.9597313432835826</v>
      </c>
      <c r="M47" s="8" t="s">
        <v>204</v>
      </c>
      <c r="N47" s="9" t="s">
        <v>56</v>
      </c>
      <c r="O47" s="12">
        <f>'BPSC. (+ Ply)'!O47</f>
        <v>50.171174999999998</v>
      </c>
      <c r="P47" s="22">
        <f t="shared" si="41"/>
        <v>118.41666666666667</v>
      </c>
      <c r="Q47" s="23">
        <f t="shared" si="42"/>
        <v>0.57631660802251949</v>
      </c>
      <c r="R47" s="24">
        <v>131.57407407407408</v>
      </c>
      <c r="S47" s="75">
        <f t="shared" si="43"/>
        <v>0.61868494722026735</v>
      </c>
      <c r="T47" s="28">
        <f t="shared" si="47"/>
        <v>142.93782051282051</v>
      </c>
      <c r="U47" s="20"/>
      <c r="V47" s="18">
        <f t="shared" si="44"/>
        <v>7.1050000000000004</v>
      </c>
      <c r="W47" s="18">
        <f t="shared" si="45"/>
        <v>7.8944444444444439</v>
      </c>
    </row>
    <row r="48" spans="1:23" ht="14.85" customHeight="1" x14ac:dyDescent="0.25">
      <c r="A48" s="8" t="s">
        <v>204</v>
      </c>
      <c r="B48" s="9" t="s">
        <v>89</v>
      </c>
      <c r="C48" s="12">
        <f>'BPSC. (+ Ply)'!G48</f>
        <v>50.116501666666665</v>
      </c>
      <c r="D48" s="22">
        <f t="shared" si="36"/>
        <v>125.1268656716418</v>
      </c>
      <c r="E48" s="23">
        <f t="shared" si="37"/>
        <v>0.59947449016918153</v>
      </c>
      <c r="F48" s="24">
        <v>139.02985074626866</v>
      </c>
      <c r="G48" s="75">
        <f t="shared" si="38"/>
        <v>0.63952704115226344</v>
      </c>
      <c r="H48" s="28">
        <f t="shared" si="46"/>
        <v>149.60149751243782</v>
      </c>
      <c r="I48" s="21"/>
      <c r="J48" s="18">
        <f t="shared" si="39"/>
        <v>7.5076119402985073</v>
      </c>
      <c r="K48" s="18">
        <f t="shared" si="40"/>
        <v>8.3417910447761194</v>
      </c>
      <c r="M48" s="8" t="s">
        <v>204</v>
      </c>
      <c r="N48" s="9" t="s">
        <v>89</v>
      </c>
      <c r="O48" s="12">
        <f>'BPSC. (+ Ply)'!O48</f>
        <v>59.491835000000009</v>
      </c>
      <c r="P48" s="22">
        <f t="shared" si="41"/>
        <v>142.8794871794872</v>
      </c>
      <c r="Q48" s="23">
        <f t="shared" si="42"/>
        <v>0.58362228074583211</v>
      </c>
      <c r="R48" s="24">
        <v>158.75498575498577</v>
      </c>
      <c r="S48" s="75">
        <f t="shared" si="43"/>
        <v>0.62526005267124884</v>
      </c>
      <c r="T48" s="28">
        <f t="shared" si="47"/>
        <v>169.49240740740746</v>
      </c>
      <c r="U48" s="21"/>
      <c r="V48" s="18">
        <f t="shared" si="44"/>
        <v>8.5727692307692323</v>
      </c>
      <c r="W48" s="18">
        <f t="shared" si="45"/>
        <v>9.5252991452991456</v>
      </c>
    </row>
    <row r="51" spans="1:23" ht="18.75" x14ac:dyDescent="0.3">
      <c r="A51" s="299" t="s">
        <v>209</v>
      </c>
      <c r="B51" s="299"/>
      <c r="C51" s="299"/>
      <c r="D51" s="299"/>
      <c r="E51" s="299"/>
      <c r="F51" s="299"/>
      <c r="G51" s="299"/>
      <c r="H51" s="299"/>
      <c r="I51" s="29"/>
      <c r="J51" s="299" t="s">
        <v>31</v>
      </c>
      <c r="K51" s="299"/>
      <c r="M51" s="299" t="s">
        <v>210</v>
      </c>
      <c r="N51" s="299"/>
      <c r="O51" s="299"/>
      <c r="P51" s="299"/>
      <c r="Q51" s="299"/>
      <c r="R51" s="299"/>
      <c r="S51" s="299"/>
      <c r="T51" s="299"/>
      <c r="U51" s="29"/>
      <c r="V51" s="299" t="s">
        <v>31</v>
      </c>
      <c r="W51" s="299"/>
    </row>
    <row r="52" spans="1:23" ht="6" customHeight="1" x14ac:dyDescent="0.25">
      <c r="N52" s="1"/>
      <c r="O52" s="1"/>
      <c r="P52" s="2"/>
      <c r="Q52" s="1"/>
    </row>
    <row r="53" spans="1:23" x14ac:dyDescent="0.25">
      <c r="A53" s="290" t="s">
        <v>196</v>
      </c>
      <c r="B53" s="290"/>
      <c r="C53" s="290"/>
      <c r="D53" s="290"/>
      <c r="E53" s="290"/>
      <c r="F53" s="290"/>
      <c r="G53" s="290"/>
      <c r="H53" s="290"/>
      <c r="I53" s="290"/>
      <c r="J53" s="290"/>
      <c r="K53" s="290"/>
      <c r="M53" s="290" t="s">
        <v>197</v>
      </c>
      <c r="N53" s="290"/>
      <c r="O53" s="290"/>
      <c r="P53" s="290"/>
      <c r="Q53" s="290"/>
      <c r="R53" s="290"/>
      <c r="S53" s="290"/>
      <c r="T53" s="290"/>
      <c r="U53" s="290"/>
      <c r="V53" s="290"/>
      <c r="W53" s="290"/>
    </row>
    <row r="54" spans="1:23" x14ac:dyDescent="0.25">
      <c r="A54" s="291" t="s">
        <v>198</v>
      </c>
      <c r="B54" s="293" t="s">
        <v>83</v>
      </c>
      <c r="C54" s="293" t="s">
        <v>8</v>
      </c>
      <c r="D54" s="13" t="s">
        <v>199</v>
      </c>
      <c r="E54" s="295" t="s">
        <v>39</v>
      </c>
      <c r="F54" s="295" t="s">
        <v>200</v>
      </c>
      <c r="G54" s="297" t="s">
        <v>39</v>
      </c>
      <c r="H54" s="4" t="s">
        <v>141</v>
      </c>
      <c r="I54" s="19"/>
      <c r="J54" s="4" t="s">
        <v>201</v>
      </c>
      <c r="K54" s="4" t="s">
        <v>202</v>
      </c>
      <c r="M54" s="291" t="s">
        <v>198</v>
      </c>
      <c r="N54" s="293" t="s">
        <v>83</v>
      </c>
      <c r="O54" s="293" t="s">
        <v>8</v>
      </c>
      <c r="P54" s="13" t="s">
        <v>199</v>
      </c>
      <c r="Q54" s="295" t="s">
        <v>39</v>
      </c>
      <c r="R54" s="295" t="s">
        <v>200</v>
      </c>
      <c r="S54" s="297" t="s">
        <v>39</v>
      </c>
      <c r="T54" s="4" t="s">
        <v>141</v>
      </c>
      <c r="U54" s="19"/>
      <c r="V54" s="4" t="s">
        <v>201</v>
      </c>
      <c r="W54" s="4" t="s">
        <v>202</v>
      </c>
    </row>
    <row r="55" spans="1:23" x14ac:dyDescent="0.25">
      <c r="A55" s="292"/>
      <c r="B55" s="294"/>
      <c r="C55" s="294"/>
      <c r="D55" s="14" t="s">
        <v>203</v>
      </c>
      <c r="E55" s="296"/>
      <c r="F55" s="296"/>
      <c r="G55" s="298"/>
      <c r="H55" s="27">
        <v>0.66500000000000004</v>
      </c>
      <c r="I55" s="20"/>
      <c r="J55" s="17">
        <v>0.06</v>
      </c>
      <c r="K55" s="17">
        <v>0.06</v>
      </c>
      <c r="M55" s="292"/>
      <c r="N55" s="294"/>
      <c r="O55" s="294"/>
      <c r="P55" s="14" t="s">
        <v>203</v>
      </c>
      <c r="Q55" s="296"/>
      <c r="R55" s="296"/>
      <c r="S55" s="298"/>
      <c r="T55" s="27">
        <v>0.64900000000000002</v>
      </c>
      <c r="U55" s="20"/>
      <c r="V55" s="17">
        <v>0.06</v>
      </c>
      <c r="W55" s="17">
        <v>0.06</v>
      </c>
    </row>
    <row r="56" spans="1:23" x14ac:dyDescent="0.25">
      <c r="A56" s="8" t="s">
        <v>204</v>
      </c>
      <c r="B56" s="9" t="s">
        <v>16</v>
      </c>
      <c r="C56" s="12">
        <f>'BPSC. (+ Ply)'!G56</f>
        <v>26.915052222222226</v>
      </c>
      <c r="D56" s="22">
        <f t="shared" ref="D56:D62" si="48">F56-(F56*10%)</f>
        <v>84.447000000000003</v>
      </c>
      <c r="E56" s="23">
        <f t="shared" ref="E56:E62" si="49">(D56-C56)/D56</f>
        <v>0.68127876393214404</v>
      </c>
      <c r="F56" s="24">
        <v>93.83</v>
      </c>
      <c r="G56" s="75">
        <f t="shared" ref="G56:G62" si="50">(F56-C56)/F56</f>
        <v>0.71315088753892963</v>
      </c>
      <c r="H56" s="28">
        <f>C56/(1-$H$55)</f>
        <v>80.343439469320089</v>
      </c>
      <c r="I56" s="20"/>
      <c r="J56" s="18">
        <f t="shared" ref="J56:J62" si="51">(D56*$J$5)</f>
        <v>5.0668199999999999</v>
      </c>
      <c r="K56" s="18">
        <f t="shared" ref="K56:K62" si="52">(F56*$K$5)</f>
        <v>5.6297999999999995</v>
      </c>
      <c r="M56" s="8" t="s">
        <v>204</v>
      </c>
      <c r="N56" s="9" t="s">
        <v>16</v>
      </c>
      <c r="O56" s="12">
        <f>'BPSC. (+ Ply)'!O56</f>
        <v>30.761052222222226</v>
      </c>
      <c r="P56" s="22">
        <f t="shared" ref="P56:P62" si="53">R56-(R56*10%)</f>
        <v>90.278999999999996</v>
      </c>
      <c r="Q56" s="23">
        <f t="shared" ref="Q56:Q62" si="54">(P56-O56)/P56</f>
        <v>0.65926680377250269</v>
      </c>
      <c r="R56" s="24">
        <v>100.31</v>
      </c>
      <c r="S56" s="75">
        <f t="shared" ref="S56:S62" si="55">(R56-O56)/R56</f>
        <v>0.69334012339525253</v>
      </c>
      <c r="T56" s="28">
        <f>O56/(1-$T$55)</f>
        <v>87.638325419436541</v>
      </c>
      <c r="U56" s="20"/>
      <c r="V56" s="18">
        <f t="shared" ref="V56:V62" si="56">(P56*$J$5)</f>
        <v>5.4167399999999999</v>
      </c>
      <c r="W56" s="18">
        <f t="shared" ref="W56:W62" si="57">(R56*$K$5)</f>
        <v>6.0186000000000002</v>
      </c>
    </row>
    <row r="57" spans="1:23" x14ac:dyDescent="0.25">
      <c r="A57" s="8" t="s">
        <v>204</v>
      </c>
      <c r="B57" s="9" t="s">
        <v>70</v>
      </c>
      <c r="C57" s="12">
        <f>'BPSC. (+ Ply)'!G57</f>
        <v>28.184385555555554</v>
      </c>
      <c r="D57" s="22">
        <f t="shared" si="48"/>
        <v>87.731999999999999</v>
      </c>
      <c r="E57" s="23">
        <f t="shared" si="49"/>
        <v>0.67874452245981454</v>
      </c>
      <c r="F57" s="24">
        <v>97.48</v>
      </c>
      <c r="G57" s="75">
        <f t="shared" si="50"/>
        <v>0.71087007021383308</v>
      </c>
      <c r="H57" s="28">
        <f t="shared" ref="H57:H62" si="58">C57/(1-$H$55)</f>
        <v>84.132494195688224</v>
      </c>
      <c r="I57" s="20"/>
      <c r="J57" s="18">
        <f t="shared" si="51"/>
        <v>5.2639199999999997</v>
      </c>
      <c r="K57" s="18">
        <f t="shared" si="52"/>
        <v>5.8487999999999998</v>
      </c>
      <c r="M57" s="8" t="s">
        <v>204</v>
      </c>
      <c r="N57" s="9" t="s">
        <v>70</v>
      </c>
      <c r="O57" s="12">
        <f>'BPSC. (+ Ply)'!O57</f>
        <v>32.599718888888887</v>
      </c>
      <c r="P57" s="22">
        <f t="shared" si="53"/>
        <v>96.345000000000013</v>
      </c>
      <c r="Q57" s="23">
        <f t="shared" si="54"/>
        <v>0.66163559199866229</v>
      </c>
      <c r="R57" s="24">
        <v>107.05000000000001</v>
      </c>
      <c r="S57" s="75">
        <f t="shared" si="55"/>
        <v>0.69547203279879599</v>
      </c>
      <c r="T57" s="28">
        <f t="shared" ref="T57:T62" si="59">O57/(1-$T$55)</f>
        <v>92.87669199113644</v>
      </c>
      <c r="U57" s="20"/>
      <c r="V57" s="18">
        <f t="shared" si="56"/>
        <v>5.7807000000000004</v>
      </c>
      <c r="W57" s="18">
        <f t="shared" si="57"/>
        <v>6.423</v>
      </c>
    </row>
    <row r="58" spans="1:23" x14ac:dyDescent="0.25">
      <c r="A58" s="8" t="s">
        <v>204</v>
      </c>
      <c r="B58" s="9" t="s">
        <v>87</v>
      </c>
      <c r="C58" s="12">
        <f>'BPSC. (+ Ply)'!G58</f>
        <v>28.514385555555556</v>
      </c>
      <c r="D58" s="22">
        <f t="shared" si="48"/>
        <v>90.144000000000005</v>
      </c>
      <c r="E58" s="23">
        <f t="shared" si="49"/>
        <v>0.68367960645682957</v>
      </c>
      <c r="F58" s="24">
        <v>100.16000000000001</v>
      </c>
      <c r="G58" s="75">
        <f t="shared" si="50"/>
        <v>0.71531164581114659</v>
      </c>
      <c r="H58" s="28">
        <f t="shared" si="58"/>
        <v>85.117568822553906</v>
      </c>
      <c r="I58" s="20"/>
      <c r="J58" s="18">
        <f t="shared" si="51"/>
        <v>5.4086400000000001</v>
      </c>
      <c r="K58" s="18">
        <f t="shared" si="52"/>
        <v>6.0096000000000007</v>
      </c>
      <c r="M58" s="8" t="s">
        <v>204</v>
      </c>
      <c r="N58" s="9" t="s">
        <v>87</v>
      </c>
      <c r="O58" s="12">
        <f>'BPSC. (+ Ply)'!O58</f>
        <v>33.189718888888891</v>
      </c>
      <c r="P58" s="22">
        <f t="shared" si="53"/>
        <v>97.794000000000011</v>
      </c>
      <c r="Q58" s="23">
        <f t="shared" si="54"/>
        <v>0.66061600007271526</v>
      </c>
      <c r="R58" s="24">
        <v>108.66000000000001</v>
      </c>
      <c r="S58" s="75">
        <f t="shared" si="55"/>
        <v>0.69455440006544367</v>
      </c>
      <c r="T58" s="28">
        <f t="shared" si="59"/>
        <v>94.557603672048131</v>
      </c>
      <c r="U58" s="20"/>
      <c r="V58" s="18">
        <f t="shared" si="56"/>
        <v>5.8676400000000006</v>
      </c>
      <c r="W58" s="18">
        <f t="shared" si="57"/>
        <v>6.5196000000000005</v>
      </c>
    </row>
    <row r="59" spans="1:23" x14ac:dyDescent="0.25">
      <c r="A59" s="8" t="s">
        <v>204</v>
      </c>
      <c r="B59" s="9" t="s">
        <v>88</v>
      </c>
      <c r="C59" s="12">
        <f>'BPSC. (+ Ply)'!G59</f>
        <v>28.514385555555556</v>
      </c>
      <c r="D59" s="22">
        <f t="shared" si="48"/>
        <v>92.421000000000006</v>
      </c>
      <c r="E59" s="23">
        <f t="shared" si="49"/>
        <v>0.69147287352922437</v>
      </c>
      <c r="F59" s="24">
        <v>102.69000000000001</v>
      </c>
      <c r="G59" s="75">
        <f t="shared" si="50"/>
        <v>0.72232558617630183</v>
      </c>
      <c r="H59" s="28">
        <f t="shared" si="58"/>
        <v>85.117568822553906</v>
      </c>
      <c r="I59" s="20"/>
      <c r="J59" s="18">
        <f t="shared" si="51"/>
        <v>5.5452599999999999</v>
      </c>
      <c r="K59" s="18">
        <f t="shared" si="52"/>
        <v>6.1614000000000004</v>
      </c>
      <c r="M59" s="8" t="s">
        <v>204</v>
      </c>
      <c r="N59" s="9" t="s">
        <v>88</v>
      </c>
      <c r="O59" s="12">
        <f>'BPSC. (+ Ply)'!O59</f>
        <v>33.189718888888891</v>
      </c>
      <c r="P59" s="22">
        <f t="shared" si="53"/>
        <v>99.963000000000008</v>
      </c>
      <c r="Q59" s="23">
        <f t="shared" si="54"/>
        <v>0.66797996369767931</v>
      </c>
      <c r="R59" s="24">
        <v>111.07000000000001</v>
      </c>
      <c r="S59" s="75">
        <f t="shared" si="55"/>
        <v>0.70118196732791138</v>
      </c>
      <c r="T59" s="28">
        <f t="shared" si="59"/>
        <v>94.557603672048131</v>
      </c>
      <c r="U59" s="20"/>
      <c r="V59" s="18">
        <f t="shared" si="56"/>
        <v>5.9977800000000006</v>
      </c>
      <c r="W59" s="18">
        <f t="shared" si="57"/>
        <v>6.6642000000000001</v>
      </c>
    </row>
    <row r="60" spans="1:23" x14ac:dyDescent="0.25">
      <c r="A60" s="8" t="s">
        <v>204</v>
      </c>
      <c r="B60" s="9" t="s">
        <v>68</v>
      </c>
      <c r="C60" s="12">
        <f>'BPSC. (+ Ply)'!G60</f>
        <v>37.961581666666667</v>
      </c>
      <c r="D60" s="22">
        <f t="shared" si="48"/>
        <v>99.963000000000008</v>
      </c>
      <c r="E60" s="23">
        <f t="shared" si="49"/>
        <v>0.62024367349252563</v>
      </c>
      <c r="F60" s="24">
        <v>111.07000000000001</v>
      </c>
      <c r="G60" s="75">
        <f t="shared" si="50"/>
        <v>0.65821930614327295</v>
      </c>
      <c r="H60" s="28">
        <f t="shared" si="58"/>
        <v>113.31815422885573</v>
      </c>
      <c r="I60" s="20"/>
      <c r="J60" s="18">
        <f t="shared" si="51"/>
        <v>5.9977800000000006</v>
      </c>
      <c r="K60" s="18">
        <f t="shared" si="52"/>
        <v>6.6642000000000001</v>
      </c>
      <c r="M60" s="8" t="s">
        <v>204</v>
      </c>
      <c r="N60" s="9" t="s">
        <v>68</v>
      </c>
      <c r="O60" s="12">
        <f>'BPSC. (+ Ply)'!O60</f>
        <v>43.412248333333338</v>
      </c>
      <c r="P60" s="22">
        <f t="shared" si="53"/>
        <v>109.11600000000001</v>
      </c>
      <c r="Q60" s="23">
        <f t="shared" si="54"/>
        <v>0.60214589672153185</v>
      </c>
      <c r="R60" s="24">
        <v>121.24000000000001</v>
      </c>
      <c r="S60" s="75">
        <f t="shared" si="55"/>
        <v>0.64193130704937862</v>
      </c>
      <c r="T60" s="28">
        <f t="shared" si="59"/>
        <v>123.68161918328587</v>
      </c>
      <c r="U60" s="20"/>
      <c r="V60" s="18">
        <f t="shared" si="56"/>
        <v>6.5469600000000003</v>
      </c>
      <c r="W60" s="18">
        <f t="shared" si="57"/>
        <v>7.2744</v>
      </c>
    </row>
    <row r="61" spans="1:23" x14ac:dyDescent="0.25">
      <c r="A61" s="8" t="s">
        <v>204</v>
      </c>
      <c r="B61" s="9" t="s">
        <v>56</v>
      </c>
      <c r="C61" s="12">
        <f>'BPSC. (+ Ply)'!G61</f>
        <v>43.268241666666668</v>
      </c>
      <c r="D61" s="22">
        <f t="shared" si="48"/>
        <v>103.71600000000001</v>
      </c>
      <c r="E61" s="23">
        <f t="shared" si="49"/>
        <v>0.58281999241518512</v>
      </c>
      <c r="F61" s="24">
        <v>115.24000000000001</v>
      </c>
      <c r="G61" s="75">
        <f t="shared" si="50"/>
        <v>0.62453799317366654</v>
      </c>
      <c r="H61" s="28">
        <f t="shared" si="58"/>
        <v>129.15893034825874</v>
      </c>
      <c r="I61" s="20"/>
      <c r="J61" s="18">
        <f t="shared" si="51"/>
        <v>6.2229600000000005</v>
      </c>
      <c r="K61" s="18">
        <f t="shared" si="52"/>
        <v>6.9144000000000005</v>
      </c>
      <c r="M61" s="8" t="s">
        <v>204</v>
      </c>
      <c r="N61" s="9" t="s">
        <v>56</v>
      </c>
      <c r="O61" s="12">
        <f>'BPSC. (+ Ply)'!O61</f>
        <v>49.504908333333326</v>
      </c>
      <c r="P61" s="22">
        <f t="shared" si="53"/>
        <v>114.678</v>
      </c>
      <c r="Q61" s="23">
        <f t="shared" si="54"/>
        <v>0.5683138149136423</v>
      </c>
      <c r="R61" s="24">
        <v>127.42</v>
      </c>
      <c r="S61" s="75">
        <f t="shared" si="55"/>
        <v>0.61148243342227815</v>
      </c>
      <c r="T61" s="28">
        <f t="shared" si="59"/>
        <v>141.03962488129153</v>
      </c>
      <c r="U61" s="20"/>
      <c r="V61" s="18">
        <f t="shared" si="56"/>
        <v>6.8806799999999999</v>
      </c>
      <c r="W61" s="18">
        <f t="shared" si="57"/>
        <v>7.6452</v>
      </c>
    </row>
    <row r="62" spans="1:23" x14ac:dyDescent="0.25">
      <c r="A62" s="8" t="s">
        <v>204</v>
      </c>
      <c r="B62" s="9" t="s">
        <v>89</v>
      </c>
      <c r="C62" s="12">
        <f>'BPSC. (+ Ply)'!G62</f>
        <v>50.019568333333339</v>
      </c>
      <c r="D62" s="22">
        <f t="shared" si="48"/>
        <v>129.41999999999999</v>
      </c>
      <c r="E62" s="23">
        <f t="shared" si="49"/>
        <v>0.61350974862205732</v>
      </c>
      <c r="F62" s="24">
        <v>143.79999999999998</v>
      </c>
      <c r="G62" s="75">
        <f t="shared" si="50"/>
        <v>0.65215877375985154</v>
      </c>
      <c r="H62" s="28">
        <f t="shared" si="58"/>
        <v>149.31214427860701</v>
      </c>
      <c r="I62" s="21"/>
      <c r="J62" s="18">
        <f t="shared" si="51"/>
        <v>7.7651999999999992</v>
      </c>
      <c r="K62" s="18">
        <f t="shared" si="52"/>
        <v>8.6279999999999983</v>
      </c>
      <c r="M62" s="8" t="s">
        <v>204</v>
      </c>
      <c r="N62" s="9" t="s">
        <v>89</v>
      </c>
      <c r="O62" s="12">
        <f>'BPSC. (+ Ply)'!O62</f>
        <v>57.808234999999996</v>
      </c>
      <c r="P62" s="22">
        <f t="shared" si="53"/>
        <v>136.62899999999999</v>
      </c>
      <c r="Q62" s="23">
        <f t="shared" si="54"/>
        <v>0.57689630312744733</v>
      </c>
      <c r="R62" s="24">
        <v>151.81</v>
      </c>
      <c r="S62" s="75">
        <f t="shared" si="55"/>
        <v>0.61920667281470265</v>
      </c>
      <c r="T62" s="28">
        <f t="shared" si="59"/>
        <v>164.6958262108262</v>
      </c>
      <c r="U62" s="21"/>
      <c r="V62" s="18">
        <f t="shared" si="56"/>
        <v>8.1977399999999996</v>
      </c>
      <c r="W62" s="18">
        <f t="shared" si="57"/>
        <v>9.1085999999999991</v>
      </c>
    </row>
    <row r="63" spans="1:23" ht="7.35" customHeight="1" x14ac:dyDescent="0.25">
      <c r="N63" s="1"/>
      <c r="O63" s="1"/>
      <c r="P63" s="2"/>
      <c r="Q63" s="1"/>
    </row>
    <row r="64" spans="1:23" x14ac:dyDescent="0.25">
      <c r="A64" s="290" t="s">
        <v>205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M64" s="290" t="s">
        <v>206</v>
      </c>
      <c r="N64" s="290"/>
      <c r="O64" s="290"/>
      <c r="P64" s="290"/>
      <c r="Q64" s="290"/>
      <c r="R64" s="290"/>
      <c r="S64" s="290"/>
      <c r="T64" s="290"/>
      <c r="U64" s="290"/>
      <c r="V64" s="290"/>
      <c r="W64" s="290"/>
    </row>
    <row r="65" spans="1:23" x14ac:dyDescent="0.25">
      <c r="A65" s="291" t="s">
        <v>198</v>
      </c>
      <c r="B65" s="293" t="s">
        <v>83</v>
      </c>
      <c r="C65" s="293" t="s">
        <v>8</v>
      </c>
      <c r="D65" s="13" t="s">
        <v>199</v>
      </c>
      <c r="E65" s="295" t="s">
        <v>39</v>
      </c>
      <c r="F65" s="295" t="s">
        <v>200</v>
      </c>
      <c r="G65" s="297" t="s">
        <v>39</v>
      </c>
      <c r="H65" s="4" t="s">
        <v>141</v>
      </c>
      <c r="I65" s="19"/>
      <c r="J65" s="4" t="s">
        <v>201</v>
      </c>
      <c r="K65" s="4" t="s">
        <v>202</v>
      </c>
      <c r="M65" s="291" t="s">
        <v>198</v>
      </c>
      <c r="N65" s="293" t="s">
        <v>83</v>
      </c>
      <c r="O65" s="293" t="s">
        <v>8</v>
      </c>
      <c r="P65" s="13" t="s">
        <v>199</v>
      </c>
      <c r="Q65" s="295" t="s">
        <v>39</v>
      </c>
      <c r="R65" s="295" t="s">
        <v>200</v>
      </c>
      <c r="S65" s="297" t="s">
        <v>39</v>
      </c>
      <c r="T65" s="4" t="s">
        <v>141</v>
      </c>
      <c r="U65" s="19"/>
      <c r="V65" s="4" t="s">
        <v>201</v>
      </c>
      <c r="W65" s="4" t="s">
        <v>202</v>
      </c>
    </row>
    <row r="66" spans="1:23" x14ac:dyDescent="0.25">
      <c r="A66" s="292"/>
      <c r="B66" s="294"/>
      <c r="C66" s="294"/>
      <c r="D66" s="14" t="s">
        <v>203</v>
      </c>
      <c r="E66" s="296"/>
      <c r="F66" s="296"/>
      <c r="G66" s="298"/>
      <c r="H66" s="27">
        <v>0.66500000000000004</v>
      </c>
      <c r="I66" s="20"/>
      <c r="J66" s="17">
        <v>0.06</v>
      </c>
      <c r="K66" s="17">
        <v>0.06</v>
      </c>
      <c r="M66" s="292"/>
      <c r="N66" s="294"/>
      <c r="O66" s="294"/>
      <c r="P66" s="14" t="s">
        <v>203</v>
      </c>
      <c r="Q66" s="296"/>
      <c r="R66" s="296"/>
      <c r="S66" s="298"/>
      <c r="T66" s="27">
        <v>0.64900000000000002</v>
      </c>
      <c r="U66" s="20"/>
      <c r="V66" s="17">
        <v>0.06</v>
      </c>
      <c r="W66" s="17">
        <v>0.06</v>
      </c>
    </row>
    <row r="67" spans="1:23" ht="14.85" customHeight="1" x14ac:dyDescent="0.25">
      <c r="A67" s="8" t="s">
        <v>204</v>
      </c>
      <c r="B67" s="9" t="s">
        <v>16</v>
      </c>
      <c r="C67" s="12">
        <f>'BPSC. (+ Ply)'!G67</f>
        <v>29.080385555555559</v>
      </c>
      <c r="D67" s="22">
        <f t="shared" ref="D67:D73" si="60">F67-(F67*10%)</f>
        <v>90.054000000000002</v>
      </c>
      <c r="E67" s="23">
        <f t="shared" ref="E67:E73" si="61">(D67-C67)/D67</f>
        <v>0.67707835792351745</v>
      </c>
      <c r="F67" s="24">
        <v>100.06</v>
      </c>
      <c r="G67" s="75">
        <f t="shared" ref="G67:G73" si="62">(F67-C67)/F67</f>
        <v>0.7093705221311658</v>
      </c>
      <c r="H67" s="28">
        <f>C67/(1-$H$66)</f>
        <v>86.807121061359879</v>
      </c>
      <c r="I67" s="20"/>
      <c r="J67" s="18">
        <f t="shared" ref="J67:J73" si="63">(D67*$J$5)</f>
        <v>5.4032400000000003</v>
      </c>
      <c r="K67" s="18">
        <f t="shared" ref="K67:K73" si="64">(F67*$K$5)</f>
        <v>6.0035999999999996</v>
      </c>
      <c r="M67" s="8" t="s">
        <v>204</v>
      </c>
      <c r="N67" s="9" t="s">
        <v>16</v>
      </c>
      <c r="O67" s="12">
        <f>'BPSC. (+ Ply)'!O67</f>
        <v>33.906385555555559</v>
      </c>
      <c r="P67" s="22">
        <f t="shared" ref="P67:P73" si="65">R67-(R67*10%)</f>
        <v>98.064000000000007</v>
      </c>
      <c r="Q67" s="23">
        <f t="shared" ref="Q67:Q73" si="66">(P67-O67)/P67</f>
        <v>0.65424227488624209</v>
      </c>
      <c r="R67" s="24">
        <v>108.96000000000001</v>
      </c>
      <c r="S67" s="75">
        <f t="shared" ref="S67:S73" si="67">(R67-O67)/R67</f>
        <v>0.68881804739761787</v>
      </c>
      <c r="T67" s="28">
        <f>O67/(1-$T$66)</f>
        <v>96.599389047166838</v>
      </c>
      <c r="U67" s="20"/>
      <c r="V67" s="18">
        <f t="shared" ref="V67:V73" si="68">(P67*$J$5)</f>
        <v>5.8838400000000002</v>
      </c>
      <c r="W67" s="18">
        <f t="shared" ref="W67:W73" si="69">(R67*$K$5)</f>
        <v>6.5376000000000003</v>
      </c>
    </row>
    <row r="68" spans="1:23" ht="14.85" customHeight="1" x14ac:dyDescent="0.25">
      <c r="A68" s="8" t="s">
        <v>204</v>
      </c>
      <c r="B68" s="9" t="s">
        <v>70</v>
      </c>
      <c r="C68" s="12">
        <f>'BPSC. (+ Ply)'!G68</f>
        <v>29.080385555555559</v>
      </c>
      <c r="D68" s="22">
        <f t="shared" si="60"/>
        <v>90.054402985074631</v>
      </c>
      <c r="E68" s="23">
        <f t="shared" si="61"/>
        <v>0.67707980296782089</v>
      </c>
      <c r="F68" s="24">
        <v>100.06044776119403</v>
      </c>
      <c r="G68" s="75">
        <f t="shared" si="62"/>
        <v>0.70937182267103871</v>
      </c>
      <c r="H68" s="28">
        <f t="shared" ref="H68:H73" si="70">C68/(1-$H$66)</f>
        <v>86.807121061359879</v>
      </c>
      <c r="I68" s="20"/>
      <c r="J68" s="18">
        <f t="shared" si="63"/>
        <v>5.403264179104478</v>
      </c>
      <c r="K68" s="18">
        <f t="shared" si="64"/>
        <v>6.0036268656716416</v>
      </c>
      <c r="M68" s="8" t="s">
        <v>204</v>
      </c>
      <c r="N68" s="9" t="s">
        <v>70</v>
      </c>
      <c r="O68" s="12">
        <f>'BPSC. (+ Ply)'!O68</f>
        <v>33.906385555555559</v>
      </c>
      <c r="P68" s="22">
        <f t="shared" si="65"/>
        <v>99.575999999999993</v>
      </c>
      <c r="Q68" s="23">
        <f t="shared" si="66"/>
        <v>0.65949239218731859</v>
      </c>
      <c r="R68" s="24">
        <v>110.64</v>
      </c>
      <c r="S68" s="75">
        <f t="shared" si="67"/>
        <v>0.69354315296858682</v>
      </c>
      <c r="T68" s="28">
        <f t="shared" ref="T68:T73" si="71">O68/(1-$T$66)</f>
        <v>96.599389047166838</v>
      </c>
      <c r="U68" s="20"/>
      <c r="V68" s="18">
        <f t="shared" si="68"/>
        <v>5.9745599999999994</v>
      </c>
      <c r="W68" s="18">
        <f t="shared" si="69"/>
        <v>6.6383999999999999</v>
      </c>
    </row>
    <row r="69" spans="1:23" ht="14.85" customHeight="1" x14ac:dyDescent="0.25">
      <c r="A69" s="8" t="s">
        <v>204</v>
      </c>
      <c r="B69" s="9" t="s">
        <v>87</v>
      </c>
      <c r="C69" s="12">
        <f>'BPSC. (+ Ply)'!G69</f>
        <v>29.410385555555557</v>
      </c>
      <c r="D69" s="22">
        <f t="shared" si="60"/>
        <v>92.457000000000008</v>
      </c>
      <c r="E69" s="23">
        <f t="shared" si="61"/>
        <v>0.6819020133082887</v>
      </c>
      <c r="F69" s="24">
        <v>102.73</v>
      </c>
      <c r="G69" s="75">
        <f t="shared" si="62"/>
        <v>0.71371181197745981</v>
      </c>
      <c r="H69" s="28">
        <f t="shared" si="70"/>
        <v>87.792195688225547</v>
      </c>
      <c r="I69" s="20"/>
      <c r="J69" s="18">
        <f t="shared" si="63"/>
        <v>5.5474200000000007</v>
      </c>
      <c r="K69" s="18">
        <f t="shared" si="64"/>
        <v>6.1638000000000002</v>
      </c>
      <c r="M69" s="8" t="s">
        <v>204</v>
      </c>
      <c r="N69" s="9" t="s">
        <v>87</v>
      </c>
      <c r="O69" s="12">
        <f>'BPSC. (+ Ply)'!O69</f>
        <v>34.496385555555555</v>
      </c>
      <c r="P69" s="22">
        <f t="shared" si="65"/>
        <v>101.02500000000001</v>
      </c>
      <c r="Q69" s="23">
        <f t="shared" si="66"/>
        <v>0.65853614891803469</v>
      </c>
      <c r="R69" s="24">
        <v>112.25</v>
      </c>
      <c r="S69" s="75">
        <f t="shared" si="67"/>
        <v>0.69268253402623114</v>
      </c>
      <c r="T69" s="28">
        <f t="shared" si="71"/>
        <v>98.280300728078515</v>
      </c>
      <c r="U69" s="20"/>
      <c r="V69" s="18">
        <f t="shared" si="68"/>
        <v>6.0615000000000006</v>
      </c>
      <c r="W69" s="18">
        <f t="shared" si="69"/>
        <v>6.7349999999999994</v>
      </c>
    </row>
    <row r="70" spans="1:23" x14ac:dyDescent="0.25">
      <c r="A70" s="8" t="s">
        <v>204</v>
      </c>
      <c r="B70" s="9" t="s">
        <v>88</v>
      </c>
      <c r="C70" s="12">
        <f>'BPSC. (+ Ply)'!G70</f>
        <v>29.410385555555557</v>
      </c>
      <c r="D70" s="22">
        <f t="shared" si="60"/>
        <v>94.734000000000009</v>
      </c>
      <c r="E70" s="23">
        <f t="shared" si="61"/>
        <v>0.68954772778985829</v>
      </c>
      <c r="F70" s="24">
        <v>105.26</v>
      </c>
      <c r="G70" s="75">
        <f t="shared" si="62"/>
        <v>0.72059295501087262</v>
      </c>
      <c r="H70" s="28">
        <f t="shared" si="70"/>
        <v>87.792195688225547</v>
      </c>
      <c r="I70" s="20"/>
      <c r="J70" s="18">
        <f t="shared" si="63"/>
        <v>5.6840400000000004</v>
      </c>
      <c r="K70" s="18">
        <f t="shared" si="64"/>
        <v>6.3155999999999999</v>
      </c>
      <c r="M70" s="8" t="s">
        <v>204</v>
      </c>
      <c r="N70" s="9" t="s">
        <v>88</v>
      </c>
      <c r="O70" s="12">
        <f>'BPSC. (+ Ply)'!O70</f>
        <v>34.496385555555555</v>
      </c>
      <c r="P70" s="22">
        <f t="shared" si="65"/>
        <v>103.203</v>
      </c>
      <c r="Q70" s="23">
        <f t="shared" si="66"/>
        <v>0.66574241489534658</v>
      </c>
      <c r="R70" s="24">
        <v>114.67</v>
      </c>
      <c r="S70" s="75">
        <f t="shared" si="67"/>
        <v>0.69916817340581183</v>
      </c>
      <c r="T70" s="28">
        <f t="shared" si="71"/>
        <v>98.280300728078515</v>
      </c>
      <c r="U70" s="20"/>
      <c r="V70" s="18">
        <f t="shared" si="68"/>
        <v>6.1921799999999996</v>
      </c>
      <c r="W70" s="18">
        <f t="shared" si="69"/>
        <v>6.8801999999999994</v>
      </c>
    </row>
    <row r="71" spans="1:23" x14ac:dyDescent="0.25">
      <c r="A71" s="8" t="s">
        <v>204</v>
      </c>
      <c r="B71" s="9" t="s">
        <v>68</v>
      </c>
      <c r="C71" s="12">
        <f>'BPSC. (+ Ply)'!G71</f>
        <v>40.425581666666666</v>
      </c>
      <c r="D71" s="22">
        <f t="shared" si="60"/>
        <v>106.35300000000001</v>
      </c>
      <c r="E71" s="23">
        <f t="shared" si="61"/>
        <v>0.61989241801673056</v>
      </c>
      <c r="F71" s="24">
        <v>118.17</v>
      </c>
      <c r="G71" s="75">
        <f t="shared" si="62"/>
        <v>0.65790317621505734</v>
      </c>
      <c r="H71" s="28">
        <f t="shared" si="70"/>
        <v>120.67337810945274</v>
      </c>
      <c r="I71" s="20"/>
      <c r="J71" s="18">
        <f t="shared" si="63"/>
        <v>6.3811800000000005</v>
      </c>
      <c r="K71" s="18">
        <f t="shared" si="64"/>
        <v>7.0902000000000003</v>
      </c>
      <c r="M71" s="8" t="s">
        <v>204</v>
      </c>
      <c r="N71" s="9" t="s">
        <v>68</v>
      </c>
      <c r="O71" s="12">
        <f>'BPSC. (+ Ply)'!O71</f>
        <v>46.977581666666673</v>
      </c>
      <c r="P71" s="22">
        <f t="shared" si="65"/>
        <v>117.93599999999999</v>
      </c>
      <c r="Q71" s="23">
        <f t="shared" si="66"/>
        <v>0.60166885712024598</v>
      </c>
      <c r="R71" s="24">
        <v>131.04</v>
      </c>
      <c r="S71" s="75">
        <f t="shared" si="67"/>
        <v>0.64150197140822129</v>
      </c>
      <c r="T71" s="28">
        <f t="shared" si="71"/>
        <v>133.83926400759736</v>
      </c>
      <c r="U71" s="20"/>
      <c r="V71" s="18">
        <f t="shared" si="68"/>
        <v>7.0761599999999989</v>
      </c>
      <c r="W71" s="18">
        <f t="shared" si="69"/>
        <v>7.8623999999999992</v>
      </c>
    </row>
    <row r="72" spans="1:23" x14ac:dyDescent="0.25">
      <c r="A72" s="8" t="s">
        <v>204</v>
      </c>
      <c r="B72" s="9" t="s">
        <v>56</v>
      </c>
      <c r="C72" s="12">
        <f>'BPSC. (+ Ply)'!G72</f>
        <v>46.077575000000003</v>
      </c>
      <c r="D72" s="22">
        <f t="shared" si="60"/>
        <v>110.997</v>
      </c>
      <c r="E72" s="23">
        <f t="shared" si="61"/>
        <v>0.5848754921304179</v>
      </c>
      <c r="F72" s="24">
        <v>123.33</v>
      </c>
      <c r="G72" s="75">
        <f t="shared" si="62"/>
        <v>0.62638794291737609</v>
      </c>
      <c r="H72" s="28">
        <f t="shared" si="70"/>
        <v>137.54500000000002</v>
      </c>
      <c r="I72" s="20"/>
      <c r="J72" s="18">
        <f t="shared" si="63"/>
        <v>6.6598199999999999</v>
      </c>
      <c r="K72" s="18">
        <f t="shared" si="64"/>
        <v>7.3997999999999999</v>
      </c>
      <c r="M72" s="8" t="s">
        <v>204</v>
      </c>
      <c r="N72" s="9" t="s">
        <v>56</v>
      </c>
      <c r="O72" s="12">
        <f>'BPSC. (+ Ply)'!O72</f>
        <v>53.583574999999996</v>
      </c>
      <c r="P72" s="22">
        <f t="shared" si="65"/>
        <v>124.767</v>
      </c>
      <c r="Q72" s="23">
        <f t="shared" si="66"/>
        <v>0.5705308695408241</v>
      </c>
      <c r="R72" s="24">
        <v>138.63</v>
      </c>
      <c r="S72" s="75">
        <f t="shared" si="67"/>
        <v>0.61347778258674168</v>
      </c>
      <c r="T72" s="28">
        <f t="shared" si="71"/>
        <v>152.65975783475784</v>
      </c>
      <c r="U72" s="20"/>
      <c r="V72" s="18">
        <f t="shared" si="68"/>
        <v>7.4860199999999999</v>
      </c>
      <c r="W72" s="18">
        <f t="shared" si="69"/>
        <v>8.3178000000000001</v>
      </c>
    </row>
    <row r="73" spans="1:23" x14ac:dyDescent="0.25">
      <c r="A73" s="8" t="s">
        <v>204</v>
      </c>
      <c r="B73" s="9" t="s">
        <v>89</v>
      </c>
      <c r="C73" s="12">
        <f>'BPSC. (+ Ply)'!G73</f>
        <v>53.528901666666663</v>
      </c>
      <c r="D73" s="22">
        <f t="shared" si="60"/>
        <v>139.01399999999998</v>
      </c>
      <c r="E73" s="23">
        <f t="shared" si="61"/>
        <v>0.61493877115494366</v>
      </c>
      <c r="F73" s="24">
        <v>154.45999999999998</v>
      </c>
      <c r="G73" s="75">
        <f t="shared" si="62"/>
        <v>0.65344489403944928</v>
      </c>
      <c r="H73" s="28">
        <f t="shared" si="70"/>
        <v>159.78776616915422</v>
      </c>
      <c r="I73" s="21"/>
      <c r="J73" s="18">
        <f t="shared" si="63"/>
        <v>8.3408399999999983</v>
      </c>
      <c r="K73" s="18">
        <f t="shared" si="64"/>
        <v>9.2675999999999981</v>
      </c>
      <c r="M73" s="8" t="s">
        <v>204</v>
      </c>
      <c r="N73" s="9" t="s">
        <v>89</v>
      </c>
      <c r="O73" s="12">
        <f>'BPSC. (+ Ply)'!O73</f>
        <v>62.904235</v>
      </c>
      <c r="P73" s="22">
        <f t="shared" si="65"/>
        <v>149.238</v>
      </c>
      <c r="Q73" s="23">
        <f t="shared" si="66"/>
        <v>0.5784971991047857</v>
      </c>
      <c r="R73" s="24">
        <v>165.82</v>
      </c>
      <c r="S73" s="75">
        <f t="shared" si="67"/>
        <v>0.62064747919430707</v>
      </c>
      <c r="T73" s="28">
        <f t="shared" si="71"/>
        <v>179.21434472934473</v>
      </c>
      <c r="U73" s="21"/>
      <c r="V73" s="18">
        <f t="shared" si="68"/>
        <v>8.9542799999999989</v>
      </c>
      <c r="W73" s="18">
        <f t="shared" si="69"/>
        <v>9.9491999999999994</v>
      </c>
    </row>
    <row r="76" spans="1:23" ht="18.75" x14ac:dyDescent="0.3">
      <c r="A76" s="299" t="s">
        <v>211</v>
      </c>
      <c r="B76" s="299"/>
      <c r="C76" s="299"/>
      <c r="D76" s="299"/>
      <c r="E76" s="299"/>
      <c r="F76" s="299"/>
      <c r="G76" s="299"/>
      <c r="H76" s="299"/>
      <c r="I76" s="29"/>
      <c r="J76" s="299" t="s">
        <v>31</v>
      </c>
      <c r="K76" s="299"/>
      <c r="M76" s="299" t="s">
        <v>212</v>
      </c>
      <c r="N76" s="299"/>
      <c r="O76" s="299"/>
      <c r="P76" s="299"/>
      <c r="Q76" s="299"/>
      <c r="R76" s="299"/>
      <c r="S76" s="299"/>
      <c r="T76" s="299"/>
      <c r="U76" s="29"/>
      <c r="V76" s="299" t="s">
        <v>31</v>
      </c>
      <c r="W76" s="299"/>
    </row>
    <row r="77" spans="1:23" ht="6" customHeight="1" x14ac:dyDescent="0.25">
      <c r="N77" s="1"/>
      <c r="O77" s="1"/>
      <c r="P77" s="2"/>
      <c r="Q77" s="1"/>
    </row>
    <row r="78" spans="1:23" x14ac:dyDescent="0.25">
      <c r="A78" s="290" t="s">
        <v>196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M78" s="290" t="s">
        <v>197</v>
      </c>
      <c r="N78" s="290"/>
      <c r="O78" s="290"/>
      <c r="P78" s="290"/>
      <c r="Q78" s="290"/>
      <c r="R78" s="290"/>
      <c r="S78" s="290"/>
      <c r="T78" s="290"/>
      <c r="U78" s="290"/>
      <c r="V78" s="290"/>
      <c r="W78" s="290"/>
    </row>
    <row r="79" spans="1:23" x14ac:dyDescent="0.25">
      <c r="A79" s="291" t="s">
        <v>198</v>
      </c>
      <c r="B79" s="293" t="s">
        <v>83</v>
      </c>
      <c r="C79" s="293" t="s">
        <v>8</v>
      </c>
      <c r="D79" s="13" t="s">
        <v>199</v>
      </c>
      <c r="E79" s="295" t="s">
        <v>39</v>
      </c>
      <c r="F79" s="295" t="s">
        <v>200</v>
      </c>
      <c r="G79" s="297" t="s">
        <v>39</v>
      </c>
      <c r="H79" s="4" t="s">
        <v>141</v>
      </c>
      <c r="I79" s="19"/>
      <c r="J79" s="4" t="s">
        <v>201</v>
      </c>
      <c r="K79" s="4" t="s">
        <v>202</v>
      </c>
      <c r="M79" s="291" t="s">
        <v>198</v>
      </c>
      <c r="N79" s="293" t="s">
        <v>83</v>
      </c>
      <c r="O79" s="293" t="s">
        <v>8</v>
      </c>
      <c r="P79" s="13" t="s">
        <v>199</v>
      </c>
      <c r="Q79" s="295" t="s">
        <v>39</v>
      </c>
      <c r="R79" s="295" t="s">
        <v>200</v>
      </c>
      <c r="S79" s="297" t="s">
        <v>39</v>
      </c>
      <c r="T79" s="4" t="s">
        <v>141</v>
      </c>
      <c r="U79" s="19"/>
      <c r="V79" s="4" t="s">
        <v>201</v>
      </c>
      <c r="W79" s="4" t="s">
        <v>202</v>
      </c>
    </row>
    <row r="80" spans="1:23" x14ac:dyDescent="0.25">
      <c r="A80" s="292"/>
      <c r="B80" s="294"/>
      <c r="C80" s="294"/>
      <c r="D80" s="14" t="s">
        <v>203</v>
      </c>
      <c r="E80" s="296"/>
      <c r="F80" s="296"/>
      <c r="G80" s="298"/>
      <c r="H80" s="27">
        <v>0.66</v>
      </c>
      <c r="I80" s="20"/>
      <c r="J80" s="17">
        <v>0.06</v>
      </c>
      <c r="K80" s="17">
        <v>0.06</v>
      </c>
      <c r="M80" s="292"/>
      <c r="N80" s="294"/>
      <c r="O80" s="294"/>
      <c r="P80" s="14" t="s">
        <v>203</v>
      </c>
      <c r="Q80" s="296"/>
      <c r="R80" s="296"/>
      <c r="S80" s="298"/>
      <c r="T80" s="27">
        <v>0.65</v>
      </c>
      <c r="U80" s="20"/>
      <c r="V80" s="17">
        <v>0.06</v>
      </c>
      <c r="W80" s="17">
        <v>0.06</v>
      </c>
    </row>
    <row r="81" spans="1:23" x14ac:dyDescent="0.25">
      <c r="A81" s="8" t="s">
        <v>204</v>
      </c>
      <c r="B81" s="9" t="s">
        <v>16</v>
      </c>
      <c r="C81" s="12">
        <f>'BPSC. (+ Ply)'!G81</f>
        <v>26.263582777777781</v>
      </c>
      <c r="D81" s="22">
        <f t="shared" ref="D81:D87" si="72">F81-(F81*10%)</f>
        <v>84.356999999999999</v>
      </c>
      <c r="E81" s="23">
        <f t="shared" ref="E81:E87" si="73">(D81-C81)/D81</f>
        <v>0.68866148893656975</v>
      </c>
      <c r="F81" s="24">
        <v>93.73</v>
      </c>
      <c r="G81" s="75">
        <f t="shared" ref="G81:G87" si="74">(F81-C81)/F81</f>
        <v>0.71979534004291279</v>
      </c>
      <c r="H81" s="28">
        <f>C81/(1-$H$80)</f>
        <v>77.245831699346425</v>
      </c>
      <c r="I81" s="20"/>
      <c r="J81" s="18">
        <f t="shared" ref="J81:J87" si="75">(D81*$J$5)</f>
        <v>5.06142</v>
      </c>
      <c r="K81" s="18">
        <f t="shared" ref="K81:K87" si="76">(F81*$K$5)</f>
        <v>5.6238000000000001</v>
      </c>
      <c r="M81" s="8" t="s">
        <v>204</v>
      </c>
      <c r="N81" s="9" t="s">
        <v>16</v>
      </c>
      <c r="O81" s="12">
        <f>'BPSC. (+ Ply)'!O81</f>
        <v>30.109582777777778</v>
      </c>
      <c r="P81" s="22">
        <f t="shared" ref="P81:P87" si="77">R81-(R81*10%)</f>
        <v>90.683999999999997</v>
      </c>
      <c r="Q81" s="23">
        <f t="shared" ref="Q81:Q87" si="78">(P81-O81)/P81</f>
        <v>0.66797248932802067</v>
      </c>
      <c r="R81" s="24">
        <v>100.76</v>
      </c>
      <c r="S81" s="75">
        <f t="shared" ref="S81:S87" si="79">(R81-O81)/R81</f>
        <v>0.70117524039521861</v>
      </c>
      <c r="T81" s="28">
        <f>O81/(1-$T$80)</f>
        <v>86.027379365079369</v>
      </c>
      <c r="U81" s="20"/>
      <c r="V81" s="18">
        <f t="shared" ref="V81:V87" si="80">(P81*$J$5)</f>
        <v>5.4410399999999992</v>
      </c>
      <c r="W81" s="18">
        <f t="shared" ref="W81:W87" si="81">(R81*$K$5)</f>
        <v>6.0456000000000003</v>
      </c>
    </row>
    <row r="82" spans="1:23" x14ac:dyDescent="0.25">
      <c r="A82" s="8" t="s">
        <v>204</v>
      </c>
      <c r="B82" s="9" t="s">
        <v>70</v>
      </c>
      <c r="C82" s="12">
        <f>'BPSC. (+ Ply)'!G82</f>
        <v>27.53291611111111</v>
      </c>
      <c r="D82" s="22">
        <f t="shared" si="72"/>
        <v>87.64200000000001</v>
      </c>
      <c r="E82" s="23">
        <f t="shared" si="73"/>
        <v>0.68584792552530638</v>
      </c>
      <c r="F82" s="24">
        <v>97.38000000000001</v>
      </c>
      <c r="G82" s="75">
        <f t="shared" si="74"/>
        <v>0.71726313297277566</v>
      </c>
      <c r="H82" s="28">
        <f t="shared" ref="H82:H87" si="82">C82/(1-$H$80)</f>
        <v>80.979165032679745</v>
      </c>
      <c r="I82" s="20"/>
      <c r="J82" s="18">
        <f t="shared" si="75"/>
        <v>5.2585200000000007</v>
      </c>
      <c r="K82" s="18">
        <f t="shared" si="76"/>
        <v>5.8428000000000004</v>
      </c>
      <c r="M82" s="8" t="s">
        <v>204</v>
      </c>
      <c r="N82" s="9" t="s">
        <v>70</v>
      </c>
      <c r="O82" s="12">
        <f>'BPSC. (+ Ply)'!O82</f>
        <v>31.948249444444446</v>
      </c>
      <c r="P82" s="22">
        <f t="shared" si="77"/>
        <v>96.75</v>
      </c>
      <c r="Q82" s="23">
        <f t="shared" si="78"/>
        <v>0.66978553545793862</v>
      </c>
      <c r="R82" s="24">
        <v>107.5</v>
      </c>
      <c r="S82" s="75">
        <f t="shared" si="79"/>
        <v>0.70280698191214475</v>
      </c>
      <c r="T82" s="28">
        <f t="shared" ref="T82:T87" si="83">O82/(1-$T$80)</f>
        <v>91.280712698412714</v>
      </c>
      <c r="U82" s="20"/>
      <c r="V82" s="18">
        <f t="shared" si="80"/>
        <v>5.8049999999999997</v>
      </c>
      <c r="W82" s="18">
        <f t="shared" si="81"/>
        <v>6.45</v>
      </c>
    </row>
    <row r="83" spans="1:23" x14ac:dyDescent="0.25">
      <c r="A83" s="8" t="s">
        <v>204</v>
      </c>
      <c r="B83" s="9" t="s">
        <v>87</v>
      </c>
      <c r="C83" s="12">
        <f>'BPSC. (+ Ply)'!G83</f>
        <v>27.862916111111115</v>
      </c>
      <c r="D83" s="22">
        <f t="shared" si="72"/>
        <v>90.054000000000002</v>
      </c>
      <c r="E83" s="23">
        <f t="shared" si="73"/>
        <v>0.69059768459911697</v>
      </c>
      <c r="F83" s="24">
        <v>100.06</v>
      </c>
      <c r="G83" s="75">
        <f t="shared" si="74"/>
        <v>0.72153791613920526</v>
      </c>
      <c r="H83" s="28">
        <f t="shared" si="82"/>
        <v>81.949753267973875</v>
      </c>
      <c r="I83" s="20"/>
      <c r="J83" s="18">
        <f t="shared" si="75"/>
        <v>5.4032400000000003</v>
      </c>
      <c r="K83" s="18">
        <f t="shared" si="76"/>
        <v>6.0035999999999996</v>
      </c>
      <c r="M83" s="8" t="s">
        <v>204</v>
      </c>
      <c r="N83" s="9" t="s">
        <v>87</v>
      </c>
      <c r="O83" s="12">
        <f>'BPSC. (+ Ply)'!O83</f>
        <v>32.538249444444446</v>
      </c>
      <c r="P83" s="22">
        <f t="shared" si="77"/>
        <v>98.198999999999998</v>
      </c>
      <c r="Q83" s="23">
        <f t="shared" si="78"/>
        <v>0.6686498900758211</v>
      </c>
      <c r="R83" s="24">
        <v>109.11</v>
      </c>
      <c r="S83" s="75">
        <f t="shared" si="79"/>
        <v>0.70178490106823899</v>
      </c>
      <c r="T83" s="28">
        <f t="shared" si="83"/>
        <v>92.966426984126997</v>
      </c>
      <c r="U83" s="20"/>
      <c r="V83" s="18">
        <f t="shared" si="80"/>
        <v>5.89194</v>
      </c>
      <c r="W83" s="18">
        <f t="shared" si="81"/>
        <v>6.5465999999999998</v>
      </c>
    </row>
    <row r="84" spans="1:23" x14ac:dyDescent="0.25">
      <c r="A84" s="8" t="s">
        <v>204</v>
      </c>
      <c r="B84" s="9" t="s">
        <v>88</v>
      </c>
      <c r="C84" s="12">
        <f>'BPSC. (+ Ply)'!G84</f>
        <v>27.862916111111115</v>
      </c>
      <c r="D84" s="22">
        <f t="shared" si="72"/>
        <v>92.331000000000003</v>
      </c>
      <c r="E84" s="23">
        <f t="shared" si="73"/>
        <v>0.69822793957488694</v>
      </c>
      <c r="F84" s="24">
        <v>102.59</v>
      </c>
      <c r="G84" s="75">
        <f t="shared" si="74"/>
        <v>0.72840514561739822</v>
      </c>
      <c r="H84" s="28">
        <f t="shared" si="82"/>
        <v>81.949753267973875</v>
      </c>
      <c r="I84" s="20"/>
      <c r="J84" s="18">
        <f t="shared" si="75"/>
        <v>5.53986</v>
      </c>
      <c r="K84" s="18">
        <f t="shared" si="76"/>
        <v>6.1554000000000002</v>
      </c>
      <c r="M84" s="8" t="s">
        <v>204</v>
      </c>
      <c r="N84" s="9" t="s">
        <v>88</v>
      </c>
      <c r="O84" s="12">
        <f>'BPSC. (+ Ply)'!O84</f>
        <v>32.538249444444446</v>
      </c>
      <c r="P84" s="22">
        <f t="shared" si="77"/>
        <v>100.36800000000001</v>
      </c>
      <c r="Q84" s="23">
        <f t="shared" si="78"/>
        <v>0.67581052283153553</v>
      </c>
      <c r="R84" s="24">
        <v>111.52000000000001</v>
      </c>
      <c r="S84" s="75">
        <f t="shared" si="79"/>
        <v>0.70822947054838192</v>
      </c>
      <c r="T84" s="28">
        <f t="shared" si="83"/>
        <v>92.966426984126997</v>
      </c>
      <c r="U84" s="20"/>
      <c r="V84" s="18">
        <f t="shared" si="80"/>
        <v>6.0220800000000008</v>
      </c>
      <c r="W84" s="18">
        <f t="shared" si="81"/>
        <v>6.6912000000000003</v>
      </c>
    </row>
    <row r="85" spans="1:23" x14ac:dyDescent="0.25">
      <c r="A85" s="8" t="s">
        <v>204</v>
      </c>
      <c r="B85" s="9" t="s">
        <v>68</v>
      </c>
      <c r="C85" s="12">
        <f>'BPSC. (+ Ply)'!G85</f>
        <v>36.177712222222226</v>
      </c>
      <c r="D85" s="22">
        <f t="shared" si="72"/>
        <v>99.882000000000005</v>
      </c>
      <c r="E85" s="23">
        <f t="shared" si="73"/>
        <v>0.63779547643997692</v>
      </c>
      <c r="F85" s="24">
        <v>110.98</v>
      </c>
      <c r="G85" s="75">
        <f t="shared" si="74"/>
        <v>0.67401592879597927</v>
      </c>
      <c r="H85" s="28">
        <f t="shared" si="82"/>
        <v>106.40503594771243</v>
      </c>
      <c r="I85" s="20"/>
      <c r="J85" s="18">
        <f t="shared" si="75"/>
        <v>5.9929199999999998</v>
      </c>
      <c r="K85" s="18">
        <f t="shared" si="76"/>
        <v>6.6588000000000003</v>
      </c>
      <c r="M85" s="8" t="s">
        <v>204</v>
      </c>
      <c r="N85" s="9" t="s">
        <v>68</v>
      </c>
      <c r="O85" s="12">
        <f>'BPSC. (+ Ply)'!O85</f>
        <v>41.628378888888882</v>
      </c>
      <c r="P85" s="22">
        <f t="shared" si="77"/>
        <v>109.52100000000002</v>
      </c>
      <c r="Q85" s="23">
        <f t="shared" si="78"/>
        <v>0.61990505118754513</v>
      </c>
      <c r="R85" s="24">
        <v>121.69000000000001</v>
      </c>
      <c r="S85" s="75">
        <f t="shared" si="79"/>
        <v>0.65791454606879052</v>
      </c>
      <c r="T85" s="28">
        <f t="shared" si="83"/>
        <v>118.93822539682539</v>
      </c>
      <c r="U85" s="20"/>
      <c r="V85" s="18">
        <f t="shared" si="80"/>
        <v>6.5712600000000005</v>
      </c>
      <c r="W85" s="18">
        <f t="shared" si="81"/>
        <v>7.3014000000000001</v>
      </c>
    </row>
    <row r="86" spans="1:23" x14ac:dyDescent="0.25">
      <c r="A86" s="8" t="s">
        <v>204</v>
      </c>
      <c r="B86" s="9" t="s">
        <v>56</v>
      </c>
      <c r="C86" s="12">
        <f>'BPSC. (+ Ply)'!G86</f>
        <v>41.48437222222222</v>
      </c>
      <c r="D86" s="22">
        <f t="shared" si="72"/>
        <v>103.63500000000001</v>
      </c>
      <c r="E86" s="23">
        <f t="shared" si="73"/>
        <v>0.59970693084168269</v>
      </c>
      <c r="F86" s="24">
        <v>115.15</v>
      </c>
      <c r="G86" s="75">
        <f t="shared" si="74"/>
        <v>0.63973623775751443</v>
      </c>
      <c r="H86" s="28">
        <f t="shared" si="82"/>
        <v>122.01285947712418</v>
      </c>
      <c r="I86" s="20"/>
      <c r="J86" s="18">
        <f t="shared" si="75"/>
        <v>6.2180999999999997</v>
      </c>
      <c r="K86" s="18">
        <f t="shared" si="76"/>
        <v>6.9089999999999998</v>
      </c>
      <c r="M86" s="8" t="s">
        <v>204</v>
      </c>
      <c r="N86" s="9" t="s">
        <v>56</v>
      </c>
      <c r="O86" s="12">
        <f>'BPSC. (+ Ply)'!O86</f>
        <v>47.721038888888884</v>
      </c>
      <c r="P86" s="22">
        <f t="shared" si="77"/>
        <v>115.083</v>
      </c>
      <c r="Q86" s="23">
        <f t="shared" si="78"/>
        <v>0.58533372532095196</v>
      </c>
      <c r="R86" s="24">
        <v>127.87</v>
      </c>
      <c r="S86" s="75">
        <f t="shared" si="79"/>
        <v>0.62680035278885682</v>
      </c>
      <c r="T86" s="28">
        <f t="shared" si="83"/>
        <v>136.3458253968254</v>
      </c>
      <c r="U86" s="20"/>
      <c r="V86" s="18">
        <f t="shared" si="80"/>
        <v>6.9049799999999992</v>
      </c>
      <c r="W86" s="18">
        <f t="shared" si="81"/>
        <v>7.6722000000000001</v>
      </c>
    </row>
    <row r="87" spans="1:23" x14ac:dyDescent="0.25">
      <c r="A87" s="8" t="s">
        <v>204</v>
      </c>
      <c r="B87" s="9" t="s">
        <v>89</v>
      </c>
      <c r="C87" s="12">
        <f>'BPSC. (+ Ply)'!G87</f>
        <v>48.235698888888891</v>
      </c>
      <c r="D87" s="22">
        <f t="shared" si="72"/>
        <v>128.727</v>
      </c>
      <c r="E87" s="23">
        <f t="shared" si="73"/>
        <v>0.62528685599067102</v>
      </c>
      <c r="F87" s="24">
        <v>143.03</v>
      </c>
      <c r="G87" s="75">
        <f t="shared" si="74"/>
        <v>0.6627581703916039</v>
      </c>
      <c r="H87" s="28">
        <f t="shared" si="82"/>
        <v>141.86970261437909</v>
      </c>
      <c r="I87" s="21"/>
      <c r="J87" s="18">
        <f t="shared" si="75"/>
        <v>7.7236200000000004</v>
      </c>
      <c r="K87" s="18">
        <f t="shared" si="76"/>
        <v>8.5817999999999994</v>
      </c>
      <c r="M87" s="8" t="s">
        <v>204</v>
      </c>
      <c r="N87" s="9" t="s">
        <v>89</v>
      </c>
      <c r="O87" s="12">
        <f>'BPSC. (+ Ply)'!O87</f>
        <v>56.024365555555548</v>
      </c>
      <c r="P87" s="22">
        <f t="shared" si="77"/>
        <v>137.03399999999999</v>
      </c>
      <c r="Q87" s="23">
        <f t="shared" si="78"/>
        <v>0.59116448796973342</v>
      </c>
      <c r="R87" s="24">
        <v>152.26</v>
      </c>
      <c r="S87" s="75">
        <f t="shared" si="79"/>
        <v>0.63204803917276009</v>
      </c>
      <c r="T87" s="28">
        <f t="shared" si="83"/>
        <v>160.06961587301586</v>
      </c>
      <c r="U87" s="21"/>
      <c r="V87" s="18">
        <f t="shared" si="80"/>
        <v>8.2220399999999998</v>
      </c>
      <c r="W87" s="18">
        <f t="shared" si="81"/>
        <v>9.1355999999999984</v>
      </c>
    </row>
    <row r="88" spans="1:23" ht="7.35" customHeight="1" x14ac:dyDescent="0.25">
      <c r="N88" s="1"/>
      <c r="O88" s="1"/>
      <c r="P88" s="2"/>
      <c r="Q88" s="1"/>
    </row>
    <row r="89" spans="1:23" x14ac:dyDescent="0.25">
      <c r="A89" s="290" t="s">
        <v>205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M89" s="290" t="s">
        <v>206</v>
      </c>
      <c r="N89" s="290"/>
      <c r="O89" s="290"/>
      <c r="P89" s="290"/>
      <c r="Q89" s="290"/>
      <c r="R89" s="290"/>
      <c r="S89" s="290"/>
      <c r="T89" s="290"/>
      <c r="U89" s="290"/>
      <c r="V89" s="290"/>
      <c r="W89" s="290"/>
    </row>
    <row r="90" spans="1:23" x14ac:dyDescent="0.25">
      <c r="A90" s="291" t="s">
        <v>198</v>
      </c>
      <c r="B90" s="293" t="s">
        <v>83</v>
      </c>
      <c r="C90" s="293" t="s">
        <v>8</v>
      </c>
      <c r="D90" s="13" t="s">
        <v>199</v>
      </c>
      <c r="E90" s="295" t="s">
        <v>39</v>
      </c>
      <c r="F90" s="295" t="s">
        <v>200</v>
      </c>
      <c r="G90" s="297" t="s">
        <v>39</v>
      </c>
      <c r="H90" s="4" t="s">
        <v>141</v>
      </c>
      <c r="I90" s="19"/>
      <c r="J90" s="4" t="s">
        <v>201</v>
      </c>
      <c r="K90" s="4" t="s">
        <v>202</v>
      </c>
      <c r="M90" s="291" t="s">
        <v>198</v>
      </c>
      <c r="N90" s="293" t="s">
        <v>83</v>
      </c>
      <c r="O90" s="293" t="s">
        <v>8</v>
      </c>
      <c r="P90" s="13" t="s">
        <v>199</v>
      </c>
      <c r="Q90" s="295" t="s">
        <v>39</v>
      </c>
      <c r="R90" s="295" t="s">
        <v>200</v>
      </c>
      <c r="S90" s="297" t="s">
        <v>39</v>
      </c>
      <c r="T90" s="4" t="s">
        <v>141</v>
      </c>
      <c r="U90" s="19"/>
      <c r="V90" s="4" t="s">
        <v>201</v>
      </c>
      <c r="W90" s="4" t="s">
        <v>202</v>
      </c>
    </row>
    <row r="91" spans="1:23" x14ac:dyDescent="0.25">
      <c r="A91" s="292"/>
      <c r="B91" s="294"/>
      <c r="C91" s="294"/>
      <c r="D91" s="14" t="s">
        <v>203</v>
      </c>
      <c r="E91" s="296"/>
      <c r="F91" s="296"/>
      <c r="G91" s="298"/>
      <c r="H91" s="27">
        <v>0.66</v>
      </c>
      <c r="I91" s="20"/>
      <c r="J91" s="17">
        <v>0.06</v>
      </c>
      <c r="K91" s="17">
        <v>0.06</v>
      </c>
      <c r="M91" s="292"/>
      <c r="N91" s="294"/>
      <c r="O91" s="294"/>
      <c r="P91" s="14" t="s">
        <v>203</v>
      </c>
      <c r="Q91" s="296"/>
      <c r="R91" s="296"/>
      <c r="S91" s="298"/>
      <c r="T91" s="27">
        <v>0.65</v>
      </c>
      <c r="U91" s="20"/>
      <c r="V91" s="17">
        <v>0.06</v>
      </c>
      <c r="W91" s="17">
        <v>0.06</v>
      </c>
    </row>
    <row r="92" spans="1:23" x14ac:dyDescent="0.25">
      <c r="A92" s="8" t="s">
        <v>204</v>
      </c>
      <c r="B92" s="9" t="s">
        <v>16</v>
      </c>
      <c r="C92" s="12">
        <f>'BPSC. (+ Ply)'!G92</f>
        <v>28.428916111111114</v>
      </c>
      <c r="D92" s="22">
        <f t="shared" ref="D92:D98" si="84">F92-(F92*10%)</f>
        <v>89.963999999999999</v>
      </c>
      <c r="E92" s="23">
        <f t="shared" ref="E92:E98" si="85">(D92-C92)/D92</f>
        <v>0.68399675302219654</v>
      </c>
      <c r="F92" s="24">
        <v>99.960000000000008</v>
      </c>
      <c r="G92" s="75">
        <f t="shared" ref="G92:G98" si="86">(F92-C92)/F92</f>
        <v>0.71559707771997694</v>
      </c>
      <c r="H92" s="28">
        <f>C92/(1-$H$91)</f>
        <v>83.614459150326809</v>
      </c>
      <c r="I92" s="20"/>
      <c r="J92" s="18">
        <f t="shared" ref="J92:J98" si="87">(D92*$J$5)</f>
        <v>5.3978399999999995</v>
      </c>
      <c r="K92" s="18">
        <f t="shared" ref="K92:K98" si="88">(F92*$K$5)</f>
        <v>5.9976000000000003</v>
      </c>
      <c r="M92" s="8" t="s">
        <v>204</v>
      </c>
      <c r="N92" s="9" t="s">
        <v>16</v>
      </c>
      <c r="O92" s="12">
        <f>'BPSC. (+ Ply)'!O92</f>
        <v>33.254916111111115</v>
      </c>
      <c r="P92" s="22">
        <f t="shared" ref="P92:P98" si="89">R92-(R92*10%)</f>
        <v>98.469000000000008</v>
      </c>
      <c r="Q92" s="23">
        <f t="shared" ref="Q92:Q98" si="90">(P92-O92)/P92</f>
        <v>0.66228035106367378</v>
      </c>
      <c r="R92" s="24">
        <v>109.41000000000001</v>
      </c>
      <c r="S92" s="75">
        <f t="shared" ref="S92:S98" si="91">(R92-O92)/R92</f>
        <v>0.69605231595730632</v>
      </c>
      <c r="T92" s="28">
        <f>O92/(1-$T$91)</f>
        <v>95.014046031746048</v>
      </c>
      <c r="U92" s="20"/>
      <c r="V92" s="18">
        <f t="shared" ref="V92:V98" si="92">(P92*$J$5)</f>
        <v>5.9081400000000004</v>
      </c>
      <c r="W92" s="18">
        <f t="shared" ref="W92:W98" si="93">(R92*$K$5)</f>
        <v>6.5646000000000004</v>
      </c>
    </row>
    <row r="93" spans="1:23" x14ac:dyDescent="0.25">
      <c r="A93" s="8" t="s">
        <v>204</v>
      </c>
      <c r="B93" s="9" t="s">
        <v>70</v>
      </c>
      <c r="C93" s="12">
        <f>'BPSC. (+ Ply)'!G93</f>
        <v>28.428916111111114</v>
      </c>
      <c r="D93" s="22">
        <f t="shared" si="84"/>
        <v>90.099000000000004</v>
      </c>
      <c r="E93" s="23">
        <f t="shared" si="85"/>
        <v>0.68447023706022136</v>
      </c>
      <c r="F93" s="24">
        <v>100.11</v>
      </c>
      <c r="G93" s="75">
        <f t="shared" si="86"/>
        <v>0.71602321335419916</v>
      </c>
      <c r="H93" s="28">
        <f t="shared" ref="H93:H98" si="94">C93/(1-$H$91)</f>
        <v>83.614459150326809</v>
      </c>
      <c r="I93" s="20"/>
      <c r="J93" s="18">
        <f t="shared" si="87"/>
        <v>5.4059400000000002</v>
      </c>
      <c r="K93" s="18">
        <f t="shared" si="88"/>
        <v>6.0065999999999997</v>
      </c>
      <c r="M93" s="8" t="s">
        <v>204</v>
      </c>
      <c r="N93" s="9" t="s">
        <v>70</v>
      </c>
      <c r="O93" s="12">
        <f>'BPSC. (+ Ply)'!O93</f>
        <v>33.254916111111115</v>
      </c>
      <c r="P93" s="22">
        <f t="shared" si="89"/>
        <v>99.980999999999995</v>
      </c>
      <c r="Q93" s="23">
        <f t="shared" si="90"/>
        <v>0.6673876425409716</v>
      </c>
      <c r="R93" s="24">
        <v>111.09</v>
      </c>
      <c r="S93" s="75">
        <f t="shared" si="91"/>
        <v>0.7006488782868745</v>
      </c>
      <c r="T93" s="28">
        <f t="shared" ref="T93:T98" si="95">O93/(1-$T$91)</f>
        <v>95.014046031746048</v>
      </c>
      <c r="U93" s="20"/>
      <c r="V93" s="18">
        <f t="shared" si="92"/>
        <v>5.9988599999999996</v>
      </c>
      <c r="W93" s="18">
        <f t="shared" si="93"/>
        <v>6.6654</v>
      </c>
    </row>
    <row r="94" spans="1:23" x14ac:dyDescent="0.25">
      <c r="A94" s="8" t="s">
        <v>204</v>
      </c>
      <c r="B94" s="9" t="s">
        <v>87</v>
      </c>
      <c r="C94" s="12">
        <f>'BPSC. (+ Ply)'!G94</f>
        <v>28.758916111111109</v>
      </c>
      <c r="D94" s="22">
        <f t="shared" si="84"/>
        <v>92.376000000000005</v>
      </c>
      <c r="E94" s="23">
        <f t="shared" si="85"/>
        <v>0.6886754556257999</v>
      </c>
      <c r="F94" s="24">
        <v>102.64</v>
      </c>
      <c r="G94" s="75">
        <f t="shared" si="86"/>
        <v>0.71980791006321998</v>
      </c>
      <c r="H94" s="28">
        <f t="shared" si="94"/>
        <v>84.585047385620911</v>
      </c>
      <c r="I94" s="20"/>
      <c r="J94" s="18">
        <f t="shared" si="87"/>
        <v>5.5425599999999999</v>
      </c>
      <c r="K94" s="18">
        <f t="shared" si="88"/>
        <v>6.1583999999999994</v>
      </c>
      <c r="M94" s="8" t="s">
        <v>204</v>
      </c>
      <c r="N94" s="9" t="s">
        <v>87</v>
      </c>
      <c r="O94" s="12">
        <f>'BPSC. (+ Ply)'!O94</f>
        <v>33.844916111111118</v>
      </c>
      <c r="P94" s="22">
        <f t="shared" si="89"/>
        <v>101.43</v>
      </c>
      <c r="Q94" s="23">
        <f t="shared" si="90"/>
        <v>0.66632242816611342</v>
      </c>
      <c r="R94" s="24">
        <v>112.7</v>
      </c>
      <c r="S94" s="75">
        <f t="shared" si="91"/>
        <v>0.69969018534950211</v>
      </c>
      <c r="T94" s="28">
        <f t="shared" si="95"/>
        <v>96.699760317460346</v>
      </c>
      <c r="U94" s="20"/>
      <c r="V94" s="18">
        <f t="shared" si="92"/>
        <v>6.0857999999999999</v>
      </c>
      <c r="W94" s="18">
        <f t="shared" si="93"/>
        <v>6.7619999999999996</v>
      </c>
    </row>
    <row r="95" spans="1:23" x14ac:dyDescent="0.25">
      <c r="A95" s="8" t="s">
        <v>204</v>
      </c>
      <c r="B95" s="9" t="s">
        <v>88</v>
      </c>
      <c r="C95" s="12">
        <f>'BPSC. (+ Ply)'!G95</f>
        <v>28.758916111111109</v>
      </c>
      <c r="D95" s="22">
        <f t="shared" si="84"/>
        <v>94.653000000000006</v>
      </c>
      <c r="E95" s="23">
        <f t="shared" si="85"/>
        <v>0.69616476909225167</v>
      </c>
      <c r="F95" s="24">
        <v>105.17</v>
      </c>
      <c r="G95" s="75">
        <f t="shared" si="86"/>
        <v>0.72654829218302652</v>
      </c>
      <c r="H95" s="28">
        <f t="shared" si="94"/>
        <v>84.585047385620911</v>
      </c>
      <c r="I95" s="20"/>
      <c r="J95" s="18">
        <f t="shared" si="87"/>
        <v>5.6791800000000006</v>
      </c>
      <c r="K95" s="18">
        <f t="shared" si="88"/>
        <v>6.3102</v>
      </c>
      <c r="M95" s="8" t="s">
        <v>204</v>
      </c>
      <c r="N95" s="9" t="s">
        <v>88</v>
      </c>
      <c r="O95" s="12">
        <f>'BPSC. (+ Ply)'!O95</f>
        <v>33.844916111111118</v>
      </c>
      <c r="P95" s="22">
        <f t="shared" si="89"/>
        <v>103.599</v>
      </c>
      <c r="Q95" s="23">
        <f t="shared" si="90"/>
        <v>0.67330846715594628</v>
      </c>
      <c r="R95" s="24">
        <v>115.11</v>
      </c>
      <c r="S95" s="75">
        <f t="shared" si="91"/>
        <v>0.70597762044035173</v>
      </c>
      <c r="T95" s="28">
        <f t="shared" si="95"/>
        <v>96.699760317460346</v>
      </c>
      <c r="U95" s="20"/>
      <c r="V95" s="18">
        <f t="shared" si="92"/>
        <v>6.2159399999999998</v>
      </c>
      <c r="W95" s="18">
        <f t="shared" si="93"/>
        <v>6.9066000000000001</v>
      </c>
    </row>
    <row r="96" spans="1:23" x14ac:dyDescent="0.25">
      <c r="A96" s="8" t="s">
        <v>204</v>
      </c>
      <c r="B96" s="9" t="s">
        <v>68</v>
      </c>
      <c r="C96" s="12">
        <f>'BPSC. (+ Ply)'!G96</f>
        <v>38.641712222222218</v>
      </c>
      <c r="D96" s="22">
        <f t="shared" si="84"/>
        <v>106.26300000000001</v>
      </c>
      <c r="E96" s="23">
        <f t="shared" si="85"/>
        <v>0.63635778942602583</v>
      </c>
      <c r="F96" s="24">
        <v>118.07000000000001</v>
      </c>
      <c r="G96" s="75">
        <f t="shared" si="86"/>
        <v>0.67272201048342328</v>
      </c>
      <c r="H96" s="28">
        <f t="shared" si="94"/>
        <v>113.65209477124182</v>
      </c>
      <c r="I96" s="20"/>
      <c r="J96" s="18">
        <f t="shared" si="87"/>
        <v>6.3757799999999998</v>
      </c>
      <c r="K96" s="18">
        <f t="shared" si="88"/>
        <v>7.0842000000000001</v>
      </c>
      <c r="M96" s="8" t="s">
        <v>204</v>
      </c>
      <c r="N96" s="9" t="s">
        <v>68</v>
      </c>
      <c r="O96" s="12">
        <f>'BPSC. (+ Ply)'!O96</f>
        <v>45.193712222222217</v>
      </c>
      <c r="P96" s="22">
        <f t="shared" si="89"/>
        <v>118.34099999999998</v>
      </c>
      <c r="Q96" s="23">
        <f t="shared" si="90"/>
        <v>0.61810604758940502</v>
      </c>
      <c r="R96" s="24">
        <v>131.48999999999998</v>
      </c>
      <c r="S96" s="75">
        <f t="shared" si="91"/>
        <v>0.65629544283046448</v>
      </c>
      <c r="T96" s="28">
        <f t="shared" si="95"/>
        <v>129.12489206349207</v>
      </c>
      <c r="U96" s="20"/>
      <c r="V96" s="18">
        <f t="shared" si="92"/>
        <v>7.1004599999999982</v>
      </c>
      <c r="W96" s="18">
        <f t="shared" si="93"/>
        <v>7.8893999999999984</v>
      </c>
    </row>
    <row r="97" spans="1:23" x14ac:dyDescent="0.25">
      <c r="A97" s="8" t="s">
        <v>204</v>
      </c>
      <c r="B97" s="9" t="s">
        <v>56</v>
      </c>
      <c r="C97" s="12">
        <f>'BPSC. (+ Ply)'!G97</f>
        <v>44.293705555555562</v>
      </c>
      <c r="D97" s="22">
        <f t="shared" si="84"/>
        <v>110.90700000000001</v>
      </c>
      <c r="E97" s="23">
        <f t="shared" si="85"/>
        <v>0.60062299444078771</v>
      </c>
      <c r="F97" s="24">
        <v>123.23</v>
      </c>
      <c r="G97" s="75">
        <f t="shared" si="86"/>
        <v>0.64056069499670887</v>
      </c>
      <c r="H97" s="28">
        <f t="shared" si="94"/>
        <v>130.27560457516344</v>
      </c>
      <c r="I97" s="20"/>
      <c r="J97" s="18">
        <f t="shared" si="87"/>
        <v>6.65442</v>
      </c>
      <c r="K97" s="18">
        <f t="shared" si="88"/>
        <v>7.3937999999999997</v>
      </c>
      <c r="M97" s="8" t="s">
        <v>204</v>
      </c>
      <c r="N97" s="9" t="s">
        <v>56</v>
      </c>
      <c r="O97" s="12">
        <f>'BPSC. (+ Ply)'!O97</f>
        <v>51.799705555555555</v>
      </c>
      <c r="P97" s="22">
        <f t="shared" si="89"/>
        <v>125.17199999999998</v>
      </c>
      <c r="Q97" s="23">
        <f t="shared" si="90"/>
        <v>0.58617178318189722</v>
      </c>
      <c r="R97" s="24">
        <v>139.07999999999998</v>
      </c>
      <c r="S97" s="75">
        <f t="shared" si="91"/>
        <v>0.6275546048637074</v>
      </c>
      <c r="T97" s="28">
        <f t="shared" si="95"/>
        <v>147.99915873015874</v>
      </c>
      <c r="U97" s="20"/>
      <c r="V97" s="18">
        <f t="shared" si="92"/>
        <v>7.5103199999999983</v>
      </c>
      <c r="W97" s="18">
        <f t="shared" si="93"/>
        <v>8.3447999999999993</v>
      </c>
    </row>
    <row r="98" spans="1:23" x14ac:dyDescent="0.25">
      <c r="A98" s="8" t="s">
        <v>204</v>
      </c>
      <c r="B98" s="9" t="s">
        <v>89</v>
      </c>
      <c r="C98" s="12">
        <f>'BPSC. (+ Ply)'!G98</f>
        <v>51.745032222222228</v>
      </c>
      <c r="D98" s="22">
        <f t="shared" si="84"/>
        <v>138.321</v>
      </c>
      <c r="E98" s="23">
        <f t="shared" si="85"/>
        <v>0.62590617316081998</v>
      </c>
      <c r="F98" s="24">
        <v>153.69</v>
      </c>
      <c r="G98" s="75">
        <f t="shared" si="86"/>
        <v>0.663315555844738</v>
      </c>
      <c r="H98" s="28">
        <f t="shared" si="94"/>
        <v>152.19127124183009</v>
      </c>
      <c r="I98" s="21"/>
      <c r="J98" s="18">
        <f t="shared" si="87"/>
        <v>8.2992600000000003</v>
      </c>
      <c r="K98" s="18">
        <f t="shared" si="88"/>
        <v>9.2213999999999992</v>
      </c>
      <c r="M98" s="8" t="s">
        <v>204</v>
      </c>
      <c r="N98" s="9" t="s">
        <v>89</v>
      </c>
      <c r="O98" s="12">
        <f>'BPSC. (+ Ply)'!O98</f>
        <v>61.120365555555551</v>
      </c>
      <c r="P98" s="22">
        <f t="shared" si="89"/>
        <v>149.64299999999997</v>
      </c>
      <c r="Q98" s="23">
        <f t="shared" si="90"/>
        <v>0.59155880625518353</v>
      </c>
      <c r="R98" s="24">
        <v>166.26999999999998</v>
      </c>
      <c r="S98" s="75">
        <f t="shared" si="91"/>
        <v>0.63240292562966527</v>
      </c>
      <c r="T98" s="28">
        <f t="shared" si="95"/>
        <v>174.62961587301587</v>
      </c>
      <c r="U98" s="21"/>
      <c r="V98" s="18">
        <f t="shared" si="92"/>
        <v>8.9785799999999973</v>
      </c>
      <c r="W98" s="18">
        <f t="shared" si="93"/>
        <v>9.9761999999999986</v>
      </c>
    </row>
    <row r="101" spans="1:23" ht="18.75" x14ac:dyDescent="0.3">
      <c r="A101" s="299" t="s">
        <v>213</v>
      </c>
      <c r="B101" s="299"/>
      <c r="C101" s="299"/>
      <c r="D101" s="299"/>
      <c r="E101" s="299"/>
      <c r="F101" s="299"/>
      <c r="G101" s="299"/>
      <c r="H101" s="299"/>
      <c r="I101" s="29"/>
      <c r="J101" s="299" t="s">
        <v>31</v>
      </c>
      <c r="K101" s="299"/>
      <c r="M101" s="299" t="s">
        <v>214</v>
      </c>
      <c r="N101" s="299"/>
      <c r="O101" s="299"/>
      <c r="P101" s="299"/>
      <c r="Q101" s="299"/>
      <c r="R101" s="299"/>
      <c r="S101" s="299"/>
      <c r="T101" s="299"/>
      <c r="U101" s="29"/>
      <c r="V101" s="299" t="s">
        <v>31</v>
      </c>
      <c r="W101" s="299"/>
    </row>
    <row r="102" spans="1:23" ht="6" customHeight="1" x14ac:dyDescent="0.25">
      <c r="N102" s="1"/>
      <c r="O102" s="1"/>
      <c r="P102" s="2"/>
      <c r="Q102" s="1"/>
    </row>
    <row r="103" spans="1:23" x14ac:dyDescent="0.25">
      <c r="A103" s="290" t="s">
        <v>196</v>
      </c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M103" s="290" t="s">
        <v>197</v>
      </c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</row>
    <row r="104" spans="1:23" x14ac:dyDescent="0.25">
      <c r="A104" s="291" t="s">
        <v>198</v>
      </c>
      <c r="B104" s="293" t="s">
        <v>83</v>
      </c>
      <c r="C104" s="293" t="s">
        <v>8</v>
      </c>
      <c r="D104" s="13" t="s">
        <v>199</v>
      </c>
      <c r="E104" s="295" t="s">
        <v>39</v>
      </c>
      <c r="F104" s="295" t="s">
        <v>200</v>
      </c>
      <c r="G104" s="297" t="s">
        <v>39</v>
      </c>
      <c r="H104" s="4" t="s">
        <v>141</v>
      </c>
      <c r="I104" s="19"/>
      <c r="J104" s="4" t="s">
        <v>201</v>
      </c>
      <c r="K104" s="4" t="s">
        <v>202</v>
      </c>
      <c r="M104" s="291" t="s">
        <v>198</v>
      </c>
      <c r="N104" s="293" t="s">
        <v>83</v>
      </c>
      <c r="O104" s="293" t="s">
        <v>8</v>
      </c>
      <c r="P104" s="13" t="s">
        <v>199</v>
      </c>
      <c r="Q104" s="295" t="s">
        <v>39</v>
      </c>
      <c r="R104" s="295" t="s">
        <v>200</v>
      </c>
      <c r="S104" s="297" t="s">
        <v>39</v>
      </c>
      <c r="T104" s="4" t="s">
        <v>141</v>
      </c>
      <c r="U104" s="19"/>
      <c r="V104" s="4" t="s">
        <v>201</v>
      </c>
      <c r="W104" s="4" t="s">
        <v>202</v>
      </c>
    </row>
    <row r="105" spans="1:23" x14ac:dyDescent="0.25">
      <c r="A105" s="292"/>
      <c r="B105" s="294"/>
      <c r="C105" s="294"/>
      <c r="D105" s="14" t="s">
        <v>203</v>
      </c>
      <c r="E105" s="296"/>
      <c r="F105" s="296"/>
      <c r="G105" s="298"/>
      <c r="H105" s="27">
        <v>0.66</v>
      </c>
      <c r="I105" s="20"/>
      <c r="J105" s="17">
        <v>0.06</v>
      </c>
      <c r="K105" s="17">
        <v>0.06</v>
      </c>
      <c r="M105" s="292"/>
      <c r="N105" s="294"/>
      <c r="O105" s="294"/>
      <c r="P105" s="14" t="s">
        <v>203</v>
      </c>
      <c r="Q105" s="296"/>
      <c r="R105" s="296"/>
      <c r="S105" s="298"/>
      <c r="T105" s="27">
        <v>0.65</v>
      </c>
      <c r="U105" s="20"/>
      <c r="V105" s="17">
        <v>0.06</v>
      </c>
      <c r="W105" s="17">
        <v>0.06</v>
      </c>
    </row>
    <row r="106" spans="1:23" x14ac:dyDescent="0.25">
      <c r="A106" s="8" t="s">
        <v>204</v>
      </c>
      <c r="B106" s="9" t="s">
        <v>16</v>
      </c>
      <c r="C106" s="12">
        <f>'BPSC. (+ Ply)'!G106</f>
        <v>28.528382777777779</v>
      </c>
      <c r="D106" s="22">
        <f t="shared" ref="D106:D112" si="96">F106-(F106*10%)</f>
        <v>90.486000000000004</v>
      </c>
      <c r="E106" s="23">
        <f t="shared" ref="E106:E112" si="97">(D106-C106)/D106</f>
        <v>0.68472047855162366</v>
      </c>
      <c r="F106" s="24">
        <v>100.54</v>
      </c>
      <c r="G106" s="75">
        <f t="shared" ref="G106:G112" si="98">(F106-C106)/F106</f>
        <v>0.71624843069646138</v>
      </c>
      <c r="H106" s="28">
        <f>C106/(1-$H$105)</f>
        <v>83.907008169934656</v>
      </c>
      <c r="I106" s="20"/>
      <c r="J106" s="18">
        <f t="shared" ref="J106:J112" si="99">(D106*$J$5)</f>
        <v>5.4291600000000004</v>
      </c>
      <c r="K106" s="18">
        <f t="shared" ref="K106:K112" si="100">(F106*$K$5)</f>
        <v>6.0324</v>
      </c>
      <c r="M106" s="8" t="s">
        <v>204</v>
      </c>
      <c r="N106" s="9" t="s">
        <v>16</v>
      </c>
      <c r="O106" s="12">
        <f>'BPSC. (+ Ply)'!O106</f>
        <v>32.374382777777782</v>
      </c>
      <c r="P106" s="22">
        <f t="shared" ref="P106:P112" si="101">R106-(R106*10%)</f>
        <v>96.579000000000008</v>
      </c>
      <c r="Q106" s="23">
        <f t="shared" ref="Q106:Q112" si="102">(P106-O106)/P106</f>
        <v>0.66478858988208844</v>
      </c>
      <c r="R106" s="24">
        <v>107.31</v>
      </c>
      <c r="S106" s="75">
        <f t="shared" ref="S106:S112" si="103">(R106-O106)/R106</f>
        <v>0.6983097308938796</v>
      </c>
      <c r="T106" s="28">
        <f>O106/(1-$T$105)</f>
        <v>92.498236507936525</v>
      </c>
      <c r="U106" s="20"/>
      <c r="V106" s="18">
        <f t="shared" ref="V106:V112" si="104">(P106*$J$5)</f>
        <v>5.79474</v>
      </c>
      <c r="W106" s="18">
        <f t="shared" ref="W106:W112" si="105">(R106*$K$5)</f>
        <v>6.4386000000000001</v>
      </c>
    </row>
    <row r="107" spans="1:23" x14ac:dyDescent="0.25">
      <c r="A107" s="8" t="s">
        <v>204</v>
      </c>
      <c r="B107" s="9" t="s">
        <v>70</v>
      </c>
      <c r="C107" s="12">
        <f>'BPSC. (+ Ply)'!G107</f>
        <v>29.797716111111111</v>
      </c>
      <c r="D107" s="22">
        <f t="shared" si="96"/>
        <v>93.78</v>
      </c>
      <c r="E107" s="23">
        <f t="shared" si="97"/>
        <v>0.68225937181583374</v>
      </c>
      <c r="F107" s="24">
        <v>104.2</v>
      </c>
      <c r="G107" s="75">
        <f t="shared" si="98"/>
        <v>0.7140334346342504</v>
      </c>
      <c r="H107" s="28">
        <f t="shared" ref="H107:H112" si="106">C107/(1-$H$105)</f>
        <v>87.640341503267976</v>
      </c>
      <c r="I107" s="20"/>
      <c r="J107" s="18">
        <f t="shared" si="99"/>
        <v>5.6268000000000002</v>
      </c>
      <c r="K107" s="18">
        <f t="shared" si="100"/>
        <v>6.2519999999999998</v>
      </c>
      <c r="M107" s="8" t="s">
        <v>204</v>
      </c>
      <c r="N107" s="9" t="s">
        <v>70</v>
      </c>
      <c r="O107" s="12">
        <f>'BPSC. (+ Ply)'!O107</f>
        <v>34.213049444444444</v>
      </c>
      <c r="P107" s="22">
        <f t="shared" si="101"/>
        <v>102.64500000000001</v>
      </c>
      <c r="Q107" s="23">
        <f t="shared" si="102"/>
        <v>0.66668566959477393</v>
      </c>
      <c r="R107" s="24">
        <v>114.05000000000001</v>
      </c>
      <c r="S107" s="75">
        <f t="shared" si="103"/>
        <v>0.70001710263529648</v>
      </c>
      <c r="T107" s="28">
        <f t="shared" ref="T107:T112" si="107">O107/(1-$T$105)</f>
        <v>97.751569841269841</v>
      </c>
      <c r="U107" s="20"/>
      <c r="V107" s="18">
        <f t="shared" si="104"/>
        <v>6.1587000000000005</v>
      </c>
      <c r="W107" s="18">
        <f t="shared" si="105"/>
        <v>6.8430000000000009</v>
      </c>
    </row>
    <row r="108" spans="1:23" x14ac:dyDescent="0.25">
      <c r="A108" s="8" t="s">
        <v>204</v>
      </c>
      <c r="B108" s="9" t="s">
        <v>87</v>
      </c>
      <c r="C108" s="12">
        <f>'BPSC. (+ Ply)'!G108</f>
        <v>30.127716111111113</v>
      </c>
      <c r="D108" s="22">
        <f t="shared" si="96"/>
        <v>96.192000000000007</v>
      </c>
      <c r="E108" s="23">
        <f t="shared" si="97"/>
        <v>0.68679603177903448</v>
      </c>
      <c r="F108" s="24">
        <v>106.88000000000001</v>
      </c>
      <c r="G108" s="75">
        <f t="shared" si="98"/>
        <v>0.71811642860113112</v>
      </c>
      <c r="H108" s="28">
        <f t="shared" si="106"/>
        <v>88.610929738562106</v>
      </c>
      <c r="I108" s="20"/>
      <c r="J108" s="18">
        <f t="shared" si="99"/>
        <v>5.7715200000000006</v>
      </c>
      <c r="K108" s="18">
        <f t="shared" si="100"/>
        <v>6.4128000000000007</v>
      </c>
      <c r="M108" s="8" t="s">
        <v>204</v>
      </c>
      <c r="N108" s="9" t="s">
        <v>87</v>
      </c>
      <c r="O108" s="12">
        <f>'BPSC. (+ Ply)'!O108</f>
        <v>34.803049444444447</v>
      </c>
      <c r="P108" s="22">
        <f t="shared" si="101"/>
        <v>104.09400000000001</v>
      </c>
      <c r="Q108" s="23">
        <f t="shared" si="102"/>
        <v>0.6656574879969599</v>
      </c>
      <c r="R108" s="24">
        <v>115.66000000000001</v>
      </c>
      <c r="S108" s="75">
        <f t="shared" si="103"/>
        <v>0.69909173919726397</v>
      </c>
      <c r="T108" s="28">
        <f t="shared" si="107"/>
        <v>99.437284126984139</v>
      </c>
      <c r="U108" s="20"/>
      <c r="V108" s="18">
        <f t="shared" si="104"/>
        <v>6.2456399999999999</v>
      </c>
      <c r="W108" s="18">
        <f t="shared" si="105"/>
        <v>6.9396000000000004</v>
      </c>
    </row>
    <row r="109" spans="1:23" x14ac:dyDescent="0.25">
      <c r="A109" s="8" t="s">
        <v>204</v>
      </c>
      <c r="B109" s="9" t="s">
        <v>88</v>
      </c>
      <c r="C109" s="12">
        <f>'BPSC. (+ Ply)'!G109</f>
        <v>30.127716111111113</v>
      </c>
      <c r="D109" s="22">
        <f t="shared" si="96"/>
        <v>98.469000000000008</v>
      </c>
      <c r="E109" s="23">
        <f t="shared" si="97"/>
        <v>0.69403856938619146</v>
      </c>
      <c r="F109" s="24">
        <v>109.41000000000001</v>
      </c>
      <c r="G109" s="75">
        <f t="shared" si="98"/>
        <v>0.72463471244757238</v>
      </c>
      <c r="H109" s="28">
        <f t="shared" si="106"/>
        <v>88.610929738562106</v>
      </c>
      <c r="I109" s="20"/>
      <c r="J109" s="18">
        <f t="shared" si="99"/>
        <v>5.9081400000000004</v>
      </c>
      <c r="K109" s="18">
        <f t="shared" si="100"/>
        <v>6.5646000000000004</v>
      </c>
      <c r="M109" s="8" t="s">
        <v>204</v>
      </c>
      <c r="N109" s="9" t="s">
        <v>88</v>
      </c>
      <c r="O109" s="12">
        <f>'BPSC. (+ Ply)'!O109</f>
        <v>34.803049444444447</v>
      </c>
      <c r="P109" s="22">
        <f t="shared" si="101"/>
        <v>106.26300000000001</v>
      </c>
      <c r="Q109" s="23">
        <f t="shared" si="102"/>
        <v>0.67248196037713559</v>
      </c>
      <c r="R109" s="24">
        <v>118.07000000000001</v>
      </c>
      <c r="S109" s="75">
        <f t="shared" si="103"/>
        <v>0.70523376433942198</v>
      </c>
      <c r="T109" s="28">
        <f t="shared" si="107"/>
        <v>99.437284126984139</v>
      </c>
      <c r="U109" s="20"/>
      <c r="V109" s="18">
        <f t="shared" si="104"/>
        <v>6.3757799999999998</v>
      </c>
      <c r="W109" s="18">
        <f t="shared" si="105"/>
        <v>7.0842000000000001</v>
      </c>
    </row>
    <row r="110" spans="1:23" x14ac:dyDescent="0.25">
      <c r="A110" s="8" t="s">
        <v>204</v>
      </c>
      <c r="B110" s="9" t="s">
        <v>68</v>
      </c>
      <c r="C110" s="12">
        <f>'BPSC. (+ Ply)'!G110</f>
        <v>39.574912222222224</v>
      </c>
      <c r="D110" s="22">
        <f t="shared" si="96"/>
        <v>106.029</v>
      </c>
      <c r="E110" s="23">
        <f t="shared" si="97"/>
        <v>0.62675388599135873</v>
      </c>
      <c r="F110" s="24">
        <v>117.81</v>
      </c>
      <c r="G110" s="75">
        <f t="shared" si="98"/>
        <v>0.66407849739222291</v>
      </c>
      <c r="H110" s="28">
        <f t="shared" si="106"/>
        <v>116.39680065359478</v>
      </c>
      <c r="I110" s="20"/>
      <c r="J110" s="18">
        <f t="shared" si="99"/>
        <v>6.3617399999999993</v>
      </c>
      <c r="K110" s="18">
        <f t="shared" si="100"/>
        <v>7.0686</v>
      </c>
      <c r="M110" s="8" t="s">
        <v>204</v>
      </c>
      <c r="N110" s="9" t="s">
        <v>68</v>
      </c>
      <c r="O110" s="12">
        <f>'BPSC. (+ Ply)'!O110</f>
        <v>45.025578888888887</v>
      </c>
      <c r="P110" s="22">
        <f t="shared" si="101"/>
        <v>115.41599999999998</v>
      </c>
      <c r="Q110" s="23">
        <f t="shared" si="102"/>
        <v>0.60988442773195317</v>
      </c>
      <c r="R110" s="24">
        <v>128.23999999999998</v>
      </c>
      <c r="S110" s="75">
        <f t="shared" si="103"/>
        <v>0.64889598495875789</v>
      </c>
      <c r="T110" s="28">
        <f t="shared" si="107"/>
        <v>128.64451111111111</v>
      </c>
      <c r="U110" s="20"/>
      <c r="V110" s="18">
        <f t="shared" si="104"/>
        <v>6.9249599999999987</v>
      </c>
      <c r="W110" s="18">
        <f t="shared" si="105"/>
        <v>7.6943999999999981</v>
      </c>
    </row>
    <row r="111" spans="1:23" x14ac:dyDescent="0.25">
      <c r="A111" s="8" t="s">
        <v>204</v>
      </c>
      <c r="B111" s="9" t="s">
        <v>56</v>
      </c>
      <c r="C111" s="12">
        <f>'BPSC. (+ Ply)'!G111</f>
        <v>44.881572222222225</v>
      </c>
      <c r="D111" s="22">
        <f t="shared" si="96"/>
        <v>109.78200000000001</v>
      </c>
      <c r="E111" s="23">
        <f t="shared" si="97"/>
        <v>0.59117549122604607</v>
      </c>
      <c r="F111" s="24">
        <v>121.98</v>
      </c>
      <c r="G111" s="75">
        <f t="shared" si="98"/>
        <v>0.63205794210344135</v>
      </c>
      <c r="H111" s="28">
        <f t="shared" si="106"/>
        <v>132.00462418300657</v>
      </c>
      <c r="I111" s="20"/>
      <c r="J111" s="18">
        <f t="shared" si="99"/>
        <v>6.5869200000000001</v>
      </c>
      <c r="K111" s="18">
        <f t="shared" si="100"/>
        <v>7.3187999999999995</v>
      </c>
      <c r="M111" s="8" t="s">
        <v>204</v>
      </c>
      <c r="N111" s="9" t="s">
        <v>56</v>
      </c>
      <c r="O111" s="12">
        <f>'BPSC. (+ Ply)'!O111</f>
        <v>51.118238888888882</v>
      </c>
      <c r="P111" s="22">
        <f t="shared" si="101"/>
        <v>120.98699999999998</v>
      </c>
      <c r="Q111" s="23">
        <f t="shared" si="102"/>
        <v>0.57748982213883404</v>
      </c>
      <c r="R111" s="24">
        <v>134.42999999999998</v>
      </c>
      <c r="S111" s="75">
        <f t="shared" si="103"/>
        <v>0.61974083992495055</v>
      </c>
      <c r="T111" s="28">
        <f t="shared" si="107"/>
        <v>146.05211111111109</v>
      </c>
      <c r="U111" s="20"/>
      <c r="V111" s="18">
        <f t="shared" si="104"/>
        <v>7.2592199999999982</v>
      </c>
      <c r="W111" s="18">
        <f t="shared" si="105"/>
        <v>8.0657999999999976</v>
      </c>
    </row>
    <row r="112" spans="1:23" x14ac:dyDescent="0.25">
      <c r="A112" s="8" t="s">
        <v>204</v>
      </c>
      <c r="B112" s="9" t="s">
        <v>89</v>
      </c>
      <c r="C112" s="12">
        <f>'BPSC. (+ Ply)'!G112</f>
        <v>51.632898888888896</v>
      </c>
      <c r="D112" s="22">
        <f t="shared" si="96"/>
        <v>135.18899999999999</v>
      </c>
      <c r="E112" s="23">
        <f t="shared" si="97"/>
        <v>0.61806878600412096</v>
      </c>
      <c r="F112" s="24">
        <v>150.20999999999998</v>
      </c>
      <c r="G112" s="75">
        <f t="shared" si="98"/>
        <v>0.65626190740370882</v>
      </c>
      <c r="H112" s="28">
        <f t="shared" si="106"/>
        <v>151.86146732026148</v>
      </c>
      <c r="I112" s="21"/>
      <c r="J112" s="18">
        <f t="shared" si="99"/>
        <v>8.1113399999999984</v>
      </c>
      <c r="K112" s="18">
        <f t="shared" si="100"/>
        <v>9.0125999999999991</v>
      </c>
      <c r="M112" s="8" t="s">
        <v>204</v>
      </c>
      <c r="N112" s="9" t="s">
        <v>89</v>
      </c>
      <c r="O112" s="12">
        <f>'BPSC. (+ Ply)'!O112</f>
        <v>59.421565555555553</v>
      </c>
      <c r="P112" s="22">
        <f t="shared" si="101"/>
        <v>142.93799999999999</v>
      </c>
      <c r="Q112" s="23">
        <f t="shared" si="102"/>
        <v>0.58428433617683495</v>
      </c>
      <c r="R112" s="24">
        <v>158.82</v>
      </c>
      <c r="S112" s="75">
        <f t="shared" si="103"/>
        <v>0.62585590255915147</v>
      </c>
      <c r="T112" s="28">
        <f t="shared" si="107"/>
        <v>169.7759015873016</v>
      </c>
      <c r="U112" s="21"/>
      <c r="V112" s="18">
        <f t="shared" si="104"/>
        <v>8.5762799999999988</v>
      </c>
      <c r="W112" s="18">
        <f t="shared" si="105"/>
        <v>9.5291999999999994</v>
      </c>
    </row>
    <row r="113" spans="1:23" ht="6" customHeight="1" x14ac:dyDescent="0.25">
      <c r="N113" s="1"/>
      <c r="O113" s="1"/>
      <c r="P113" s="2"/>
      <c r="Q113" s="1"/>
    </row>
    <row r="114" spans="1:23" x14ac:dyDescent="0.25">
      <c r="A114" s="290" t="s">
        <v>205</v>
      </c>
      <c r="B114" s="290"/>
      <c r="C114" s="290"/>
      <c r="D114" s="290"/>
      <c r="E114" s="290"/>
      <c r="F114" s="290"/>
      <c r="G114" s="290"/>
      <c r="H114" s="290"/>
      <c r="I114" s="290"/>
      <c r="J114" s="290"/>
      <c r="K114" s="290"/>
      <c r="M114" s="290" t="s">
        <v>206</v>
      </c>
      <c r="N114" s="290"/>
      <c r="O114" s="290"/>
      <c r="P114" s="290"/>
      <c r="Q114" s="290"/>
      <c r="R114" s="290"/>
      <c r="S114" s="290"/>
      <c r="T114" s="290"/>
      <c r="U114" s="290"/>
      <c r="V114" s="290"/>
      <c r="W114" s="290"/>
    </row>
    <row r="115" spans="1:23" x14ac:dyDescent="0.25">
      <c r="A115" s="291" t="s">
        <v>198</v>
      </c>
      <c r="B115" s="293" t="s">
        <v>83</v>
      </c>
      <c r="C115" s="293" t="s">
        <v>8</v>
      </c>
      <c r="D115" s="13" t="s">
        <v>199</v>
      </c>
      <c r="E115" s="295" t="s">
        <v>39</v>
      </c>
      <c r="F115" s="295" t="s">
        <v>200</v>
      </c>
      <c r="G115" s="297" t="s">
        <v>39</v>
      </c>
      <c r="H115" s="4" t="s">
        <v>141</v>
      </c>
      <c r="I115" s="19"/>
      <c r="J115" s="4" t="s">
        <v>201</v>
      </c>
      <c r="K115" s="4" t="s">
        <v>202</v>
      </c>
      <c r="M115" s="291" t="s">
        <v>198</v>
      </c>
      <c r="N115" s="293" t="s">
        <v>83</v>
      </c>
      <c r="O115" s="293" t="s">
        <v>8</v>
      </c>
      <c r="P115" s="13" t="s">
        <v>199</v>
      </c>
      <c r="Q115" s="295" t="s">
        <v>39</v>
      </c>
      <c r="R115" s="295" t="s">
        <v>200</v>
      </c>
      <c r="S115" s="297" t="s">
        <v>39</v>
      </c>
      <c r="T115" s="4" t="s">
        <v>141</v>
      </c>
      <c r="U115" s="19"/>
      <c r="V115" s="4" t="s">
        <v>201</v>
      </c>
      <c r="W115" s="4" t="s">
        <v>202</v>
      </c>
    </row>
    <row r="116" spans="1:23" x14ac:dyDescent="0.25">
      <c r="A116" s="292"/>
      <c r="B116" s="294"/>
      <c r="C116" s="294"/>
      <c r="D116" s="14" t="s">
        <v>203</v>
      </c>
      <c r="E116" s="296"/>
      <c r="F116" s="296"/>
      <c r="G116" s="298"/>
      <c r="H116" s="27">
        <v>0.66</v>
      </c>
      <c r="I116" s="20"/>
      <c r="J116" s="17">
        <v>0.06</v>
      </c>
      <c r="K116" s="17">
        <v>0.06</v>
      </c>
      <c r="M116" s="292"/>
      <c r="N116" s="294"/>
      <c r="O116" s="294"/>
      <c r="P116" s="14" t="s">
        <v>203</v>
      </c>
      <c r="Q116" s="296"/>
      <c r="R116" s="296"/>
      <c r="S116" s="298"/>
      <c r="T116" s="27">
        <v>0.65</v>
      </c>
      <c r="U116" s="20"/>
      <c r="V116" s="17">
        <v>0.06</v>
      </c>
      <c r="W116" s="17">
        <v>0.06</v>
      </c>
    </row>
    <row r="117" spans="1:23" x14ac:dyDescent="0.25">
      <c r="A117" s="8" t="s">
        <v>204</v>
      </c>
      <c r="B117" s="9" t="s">
        <v>16</v>
      </c>
      <c r="C117" s="12">
        <f>'BPSC. (+ Ply)'!G117</f>
        <v>30.693716111111112</v>
      </c>
      <c r="D117" s="22">
        <f t="shared" ref="D117:D123" si="108">F117-(F117*10%)</f>
        <v>96.102000000000004</v>
      </c>
      <c r="E117" s="23">
        <f t="shared" ref="E117:E123" si="109">(D117-C117)/D117</f>
        <v>0.68061313904901966</v>
      </c>
      <c r="F117" s="24">
        <v>106.78</v>
      </c>
      <c r="G117" s="75">
        <f t="shared" ref="G117:G123" si="110">(F117-C117)/F117</f>
        <v>0.71255182514411763</v>
      </c>
      <c r="H117" s="28">
        <f>C117/(1-$H$116)</f>
        <v>90.27563562091504</v>
      </c>
      <c r="I117" s="20"/>
      <c r="J117" s="18">
        <f t="shared" ref="J117:J123" si="111">(D117*$J$5)</f>
        <v>5.7661199999999999</v>
      </c>
      <c r="K117" s="18">
        <f t="shared" ref="K117:K123" si="112">(F117*$K$5)</f>
        <v>6.4067999999999996</v>
      </c>
      <c r="M117" s="8" t="s">
        <v>204</v>
      </c>
      <c r="N117" s="9" t="s">
        <v>16</v>
      </c>
      <c r="O117" s="12">
        <f>'BPSC. (+ Ply)'!O117</f>
        <v>35.519716111111116</v>
      </c>
      <c r="P117" s="22">
        <f t="shared" ref="P117:P123" si="113">R117-(R117*10%)</f>
        <v>104.364</v>
      </c>
      <c r="Q117" s="23">
        <f t="shared" ref="Q117:Q123" si="114">(P117-O117)/P117</f>
        <v>0.65965547400338131</v>
      </c>
      <c r="R117" s="24">
        <v>115.96000000000001</v>
      </c>
      <c r="S117" s="75">
        <f t="shared" ref="S117:S123" si="115">(R117-O117)/R117</f>
        <v>0.69368992660304318</v>
      </c>
      <c r="T117" s="28">
        <f>O117/(1-$T$116)</f>
        <v>101.48490317460319</v>
      </c>
      <c r="U117" s="20"/>
      <c r="V117" s="18">
        <f t="shared" ref="V117:V123" si="116">(P117*$J$5)</f>
        <v>6.2618400000000003</v>
      </c>
      <c r="W117" s="18">
        <f t="shared" ref="W117:W123" si="117">(R117*$K$5)</f>
        <v>6.9576000000000002</v>
      </c>
    </row>
    <row r="118" spans="1:23" x14ac:dyDescent="0.25">
      <c r="A118" s="8" t="s">
        <v>204</v>
      </c>
      <c r="B118" s="9" t="s">
        <v>70</v>
      </c>
      <c r="C118" s="12">
        <f>'BPSC. (+ Ply)'!G118</f>
        <v>30.693716111111112</v>
      </c>
      <c r="D118" s="22">
        <f t="shared" si="108"/>
        <v>96.246000000000009</v>
      </c>
      <c r="E118" s="23">
        <f t="shared" si="109"/>
        <v>0.68109099483499458</v>
      </c>
      <c r="F118" s="24">
        <v>106.94000000000001</v>
      </c>
      <c r="G118" s="75">
        <f t="shared" si="110"/>
        <v>0.71298189535149514</v>
      </c>
      <c r="H118" s="28">
        <f t="shared" ref="H118:H123" si="118">C118/(1-$H$116)</f>
        <v>90.27563562091504</v>
      </c>
      <c r="I118" s="20"/>
      <c r="J118" s="18">
        <f t="shared" si="111"/>
        <v>5.7747600000000006</v>
      </c>
      <c r="K118" s="18">
        <f t="shared" si="112"/>
        <v>6.4164000000000003</v>
      </c>
      <c r="M118" s="8" t="s">
        <v>204</v>
      </c>
      <c r="N118" s="9" t="s">
        <v>70</v>
      </c>
      <c r="O118" s="12">
        <f>'BPSC. (+ Ply)'!O118</f>
        <v>35.519716111111116</v>
      </c>
      <c r="P118" s="22">
        <f t="shared" si="113"/>
        <v>105.876</v>
      </c>
      <c r="Q118" s="23">
        <f t="shared" si="114"/>
        <v>0.6645158854593004</v>
      </c>
      <c r="R118" s="24">
        <v>117.64</v>
      </c>
      <c r="S118" s="75">
        <f t="shared" si="115"/>
        <v>0.69806429691337024</v>
      </c>
      <c r="T118" s="28">
        <f t="shared" ref="T118:T123" si="119">O118/(1-$T$116)</f>
        <v>101.48490317460319</v>
      </c>
      <c r="U118" s="20"/>
      <c r="V118" s="18">
        <f t="shared" si="116"/>
        <v>6.3525600000000004</v>
      </c>
      <c r="W118" s="18">
        <f t="shared" si="117"/>
        <v>7.0583999999999998</v>
      </c>
    </row>
    <row r="119" spans="1:23" x14ac:dyDescent="0.25">
      <c r="A119" s="8" t="s">
        <v>204</v>
      </c>
      <c r="B119" s="9" t="s">
        <v>87</v>
      </c>
      <c r="C119" s="12">
        <f>'BPSC. (+ Ply)'!G119</f>
        <v>31.023716111111117</v>
      </c>
      <c r="D119" s="22">
        <f t="shared" si="108"/>
        <v>98.51400000000001</v>
      </c>
      <c r="E119" s="23">
        <f t="shared" si="109"/>
        <v>0.68508317486741876</v>
      </c>
      <c r="F119" s="24">
        <v>109.46000000000001</v>
      </c>
      <c r="G119" s="75">
        <f t="shared" si="110"/>
        <v>0.71657485738067683</v>
      </c>
      <c r="H119" s="28">
        <f t="shared" si="118"/>
        <v>91.24622385620917</v>
      </c>
      <c r="I119" s="20"/>
      <c r="J119" s="18">
        <f t="shared" si="111"/>
        <v>5.9108400000000003</v>
      </c>
      <c r="K119" s="18">
        <f t="shared" si="112"/>
        <v>6.5676000000000005</v>
      </c>
      <c r="M119" s="8" t="s">
        <v>204</v>
      </c>
      <c r="N119" s="9" t="s">
        <v>87</v>
      </c>
      <c r="O119" s="12">
        <f>'BPSC. (+ Ply)'!O119</f>
        <v>36.109716111111112</v>
      </c>
      <c r="P119" s="22">
        <f t="shared" si="113"/>
        <v>107.325</v>
      </c>
      <c r="Q119" s="23">
        <f t="shared" si="114"/>
        <v>0.6635479514455056</v>
      </c>
      <c r="R119" s="24">
        <v>119.25</v>
      </c>
      <c r="S119" s="75">
        <f t="shared" si="115"/>
        <v>0.69719315630095502</v>
      </c>
      <c r="T119" s="28">
        <f t="shared" si="119"/>
        <v>103.17061746031747</v>
      </c>
      <c r="U119" s="20"/>
      <c r="V119" s="18">
        <f t="shared" si="116"/>
        <v>6.4394999999999998</v>
      </c>
      <c r="W119" s="18">
        <f t="shared" si="117"/>
        <v>7.1549999999999994</v>
      </c>
    </row>
    <row r="120" spans="1:23" x14ac:dyDescent="0.25">
      <c r="A120" s="8" t="s">
        <v>204</v>
      </c>
      <c r="B120" s="9" t="s">
        <v>88</v>
      </c>
      <c r="C120" s="12">
        <f>'BPSC. (+ Ply)'!G120</f>
        <v>31.023716111111117</v>
      </c>
      <c r="D120" s="22">
        <f t="shared" si="108"/>
        <v>100.79100000000001</v>
      </c>
      <c r="E120" s="23">
        <f t="shared" si="109"/>
        <v>0.6921975562191951</v>
      </c>
      <c r="F120" s="24">
        <v>111.99000000000001</v>
      </c>
      <c r="G120" s="75">
        <f t="shared" si="110"/>
        <v>0.72297780059727557</v>
      </c>
      <c r="H120" s="28">
        <f t="shared" si="118"/>
        <v>91.24622385620917</v>
      </c>
      <c r="I120" s="20"/>
      <c r="J120" s="18">
        <f t="shared" si="111"/>
        <v>6.0474600000000001</v>
      </c>
      <c r="K120" s="18">
        <f t="shared" si="112"/>
        <v>6.7194000000000003</v>
      </c>
      <c r="M120" s="8" t="s">
        <v>204</v>
      </c>
      <c r="N120" s="9" t="s">
        <v>88</v>
      </c>
      <c r="O120" s="12">
        <f>'BPSC. (+ Ply)'!O120</f>
        <v>36.109716111111112</v>
      </c>
      <c r="P120" s="22">
        <f t="shared" si="113"/>
        <v>109.49400000000001</v>
      </c>
      <c r="Q120" s="23">
        <f t="shared" si="114"/>
        <v>0.67021283256515329</v>
      </c>
      <c r="R120" s="24">
        <v>121.66000000000001</v>
      </c>
      <c r="S120" s="75">
        <f t="shared" si="115"/>
        <v>0.70319154930863792</v>
      </c>
      <c r="T120" s="28">
        <f t="shared" si="119"/>
        <v>103.17061746031747</v>
      </c>
      <c r="U120" s="20"/>
      <c r="V120" s="18">
        <f t="shared" si="116"/>
        <v>6.5696400000000006</v>
      </c>
      <c r="W120" s="18">
        <f t="shared" si="117"/>
        <v>7.2996000000000008</v>
      </c>
    </row>
    <row r="121" spans="1:23" x14ac:dyDescent="0.25">
      <c r="A121" s="8" t="s">
        <v>204</v>
      </c>
      <c r="B121" s="9" t="s">
        <v>68</v>
      </c>
      <c r="C121" s="12">
        <f>'BPSC. (+ Ply)'!G121</f>
        <v>42.038912222222216</v>
      </c>
      <c r="D121" s="22">
        <f t="shared" si="108"/>
        <v>112.41</v>
      </c>
      <c r="E121" s="23">
        <f t="shared" si="109"/>
        <v>0.62602159752493347</v>
      </c>
      <c r="F121" s="24">
        <v>124.9</v>
      </c>
      <c r="G121" s="75">
        <f t="shared" si="110"/>
        <v>0.66341943777244017</v>
      </c>
      <c r="H121" s="28">
        <f t="shared" si="118"/>
        <v>123.64385947712418</v>
      </c>
      <c r="I121" s="20"/>
      <c r="J121" s="18">
        <f t="shared" si="111"/>
        <v>6.7445999999999993</v>
      </c>
      <c r="K121" s="18">
        <f t="shared" si="112"/>
        <v>7.4939999999999998</v>
      </c>
      <c r="M121" s="8" t="s">
        <v>204</v>
      </c>
      <c r="N121" s="9" t="s">
        <v>68</v>
      </c>
      <c r="O121" s="12">
        <f>'BPSC. (+ Ply)'!O121</f>
        <v>48.590912222222222</v>
      </c>
      <c r="P121" s="22">
        <f t="shared" si="113"/>
        <v>124.24499999999998</v>
      </c>
      <c r="Q121" s="23">
        <f t="shared" si="114"/>
        <v>0.60891052177373561</v>
      </c>
      <c r="R121" s="24">
        <v>138.04999999999998</v>
      </c>
      <c r="S121" s="75">
        <f t="shared" si="115"/>
        <v>0.64801946959636203</v>
      </c>
      <c r="T121" s="28">
        <f t="shared" si="119"/>
        <v>138.83117777777778</v>
      </c>
      <c r="U121" s="20"/>
      <c r="V121" s="18">
        <f t="shared" si="116"/>
        <v>7.4546999999999981</v>
      </c>
      <c r="W121" s="18">
        <f t="shared" si="117"/>
        <v>8.2829999999999995</v>
      </c>
    </row>
    <row r="122" spans="1:23" x14ac:dyDescent="0.25">
      <c r="A122" s="8" t="s">
        <v>204</v>
      </c>
      <c r="B122" s="9" t="s">
        <v>56</v>
      </c>
      <c r="C122" s="12">
        <f>'BPSC. (+ Ply)'!G122</f>
        <v>47.690905555555553</v>
      </c>
      <c r="D122" s="22">
        <f t="shared" si="108"/>
        <v>117.054</v>
      </c>
      <c r="E122" s="23">
        <f t="shared" si="109"/>
        <v>0.59257346561795787</v>
      </c>
      <c r="F122" s="24">
        <v>130.06</v>
      </c>
      <c r="G122" s="75">
        <f t="shared" si="110"/>
        <v>0.63331611905616214</v>
      </c>
      <c r="H122" s="28">
        <f t="shared" si="118"/>
        <v>140.26736928104575</v>
      </c>
      <c r="I122" s="20"/>
      <c r="J122" s="18">
        <f t="shared" si="111"/>
        <v>7.0232399999999995</v>
      </c>
      <c r="K122" s="18">
        <f t="shared" si="112"/>
        <v>7.8035999999999994</v>
      </c>
      <c r="M122" s="8" t="s">
        <v>204</v>
      </c>
      <c r="N122" s="9" t="s">
        <v>56</v>
      </c>
      <c r="O122" s="12">
        <f>'BPSC. (+ Ply)'!O122</f>
        <v>55.196905555555553</v>
      </c>
      <c r="P122" s="22">
        <f t="shared" si="113"/>
        <v>131.07599999999999</v>
      </c>
      <c r="Q122" s="23">
        <f t="shared" si="114"/>
        <v>0.57889388175138423</v>
      </c>
      <c r="R122" s="24">
        <v>145.63999999999999</v>
      </c>
      <c r="S122" s="75">
        <f t="shared" si="115"/>
        <v>0.62100449357624576</v>
      </c>
      <c r="T122" s="28">
        <f t="shared" si="119"/>
        <v>157.70544444444445</v>
      </c>
      <c r="U122" s="20"/>
      <c r="V122" s="18">
        <f t="shared" si="116"/>
        <v>7.8645599999999991</v>
      </c>
      <c r="W122" s="18">
        <f t="shared" si="117"/>
        <v>8.7383999999999986</v>
      </c>
    </row>
    <row r="123" spans="1:23" x14ac:dyDescent="0.25">
      <c r="A123" s="8" t="s">
        <v>204</v>
      </c>
      <c r="B123" s="9" t="s">
        <v>89</v>
      </c>
      <c r="C123" s="12">
        <f>'BPSC. (+ Ply)'!G123</f>
        <v>55.142232222222219</v>
      </c>
      <c r="D123" s="22">
        <f t="shared" si="108"/>
        <v>144.792</v>
      </c>
      <c r="E123" s="23">
        <f t="shared" si="109"/>
        <v>0.61916243837903873</v>
      </c>
      <c r="F123" s="24">
        <v>160.88</v>
      </c>
      <c r="G123" s="75">
        <f t="shared" si="110"/>
        <v>0.65724619454113486</v>
      </c>
      <c r="H123" s="28">
        <f t="shared" si="118"/>
        <v>162.18303594771243</v>
      </c>
      <c r="I123" s="21"/>
      <c r="J123" s="18">
        <f t="shared" si="111"/>
        <v>8.6875199999999992</v>
      </c>
      <c r="K123" s="18">
        <f t="shared" si="112"/>
        <v>9.6527999999999992</v>
      </c>
      <c r="M123" s="8" t="s">
        <v>204</v>
      </c>
      <c r="N123" s="9" t="s">
        <v>89</v>
      </c>
      <c r="O123" s="12">
        <f>'BPSC. (+ Ply)'!O123</f>
        <v>64.517565555555564</v>
      </c>
      <c r="P123" s="22">
        <f t="shared" si="113"/>
        <v>155.547</v>
      </c>
      <c r="Q123" s="23">
        <f t="shared" si="114"/>
        <v>0.58522140860604466</v>
      </c>
      <c r="R123" s="24">
        <v>172.82999999999998</v>
      </c>
      <c r="S123" s="75">
        <f t="shared" si="115"/>
        <v>0.62669926774544016</v>
      </c>
      <c r="T123" s="28">
        <f t="shared" si="119"/>
        <v>184.33590158730163</v>
      </c>
      <c r="U123" s="21"/>
      <c r="V123" s="18">
        <f t="shared" si="116"/>
        <v>9.3328199999999999</v>
      </c>
      <c r="W123" s="18">
        <f t="shared" si="117"/>
        <v>10.369799999999998</v>
      </c>
    </row>
    <row r="125" spans="1:23" x14ac:dyDescent="0.25">
      <c r="E125" s="57"/>
      <c r="F125" s="32"/>
      <c r="Q125" s="40"/>
      <c r="R125" s="40"/>
    </row>
    <row r="126" spans="1:23" x14ac:dyDescent="0.25">
      <c r="E126" s="57"/>
      <c r="F126" s="32"/>
      <c r="Q126" s="40"/>
      <c r="R126" s="40"/>
    </row>
    <row r="127" spans="1:23" x14ac:dyDescent="0.25">
      <c r="E127" s="57"/>
      <c r="F127" s="32"/>
      <c r="Q127" s="40"/>
      <c r="R127" s="40"/>
    </row>
    <row r="128" spans="1:23" x14ac:dyDescent="0.25">
      <c r="E128" s="57"/>
      <c r="F128" s="32"/>
      <c r="Q128" s="40"/>
      <c r="R128" s="40"/>
    </row>
    <row r="129" spans="5:18" x14ac:dyDescent="0.25">
      <c r="E129" s="57"/>
      <c r="F129" s="32"/>
      <c r="Q129" s="40"/>
      <c r="R129" s="40"/>
    </row>
    <row r="130" spans="5:18" x14ac:dyDescent="0.25">
      <c r="E130" s="57"/>
      <c r="F130" s="32"/>
      <c r="Q130" s="40"/>
      <c r="R130" s="40"/>
    </row>
    <row r="131" spans="5:18" x14ac:dyDescent="0.25">
      <c r="E131" s="57"/>
      <c r="F131" s="32"/>
      <c r="Q131" s="40"/>
      <c r="R131" s="40"/>
    </row>
  </sheetData>
  <mergeCells count="160">
    <mergeCell ref="A114:K114"/>
    <mergeCell ref="M114:W114"/>
    <mergeCell ref="A115:A116"/>
    <mergeCell ref="B115:B116"/>
    <mergeCell ref="C115:C116"/>
    <mergeCell ref="E115:E116"/>
    <mergeCell ref="F115:F116"/>
    <mergeCell ref="G115:G116"/>
    <mergeCell ref="M115:M116"/>
    <mergeCell ref="N115:N116"/>
    <mergeCell ref="O115:O116"/>
    <mergeCell ref="Q115:Q116"/>
    <mergeCell ref="R115:R116"/>
    <mergeCell ref="S115:S116"/>
    <mergeCell ref="A101:H101"/>
    <mergeCell ref="J101:K101"/>
    <mergeCell ref="M101:T101"/>
    <mergeCell ref="V101:W101"/>
    <mergeCell ref="A103:K103"/>
    <mergeCell ref="M103:W103"/>
    <mergeCell ref="A104:A105"/>
    <mergeCell ref="B104:B105"/>
    <mergeCell ref="C104:C105"/>
    <mergeCell ref="E104:E105"/>
    <mergeCell ref="F104:F105"/>
    <mergeCell ref="G104:G105"/>
    <mergeCell ref="M104:M105"/>
    <mergeCell ref="N104:N105"/>
    <mergeCell ref="O104:O105"/>
    <mergeCell ref="Q104:Q105"/>
    <mergeCell ref="R104:R105"/>
    <mergeCell ref="S104:S105"/>
    <mergeCell ref="A76:H76"/>
    <mergeCell ref="J76:K76"/>
    <mergeCell ref="M76:T76"/>
    <mergeCell ref="V76:W76"/>
    <mergeCell ref="A26:H26"/>
    <mergeCell ref="J26:K26"/>
    <mergeCell ref="M26:T26"/>
    <mergeCell ref="V26:W26"/>
    <mergeCell ref="A51:H51"/>
    <mergeCell ref="J51:K51"/>
    <mergeCell ref="M51:T51"/>
    <mergeCell ref="V51:W51"/>
    <mergeCell ref="A64:K64"/>
    <mergeCell ref="M64:W64"/>
    <mergeCell ref="A65:A66"/>
    <mergeCell ref="B65:B66"/>
    <mergeCell ref="C65:C66"/>
    <mergeCell ref="E65:E66"/>
    <mergeCell ref="F65:F66"/>
    <mergeCell ref="G65:G66"/>
    <mergeCell ref="M65:M66"/>
    <mergeCell ref="N65:N66"/>
    <mergeCell ref="O65:O66"/>
    <mergeCell ref="Q65:Q66"/>
    <mergeCell ref="A89:K89"/>
    <mergeCell ref="M89:W89"/>
    <mergeCell ref="A90:A91"/>
    <mergeCell ref="B90:B91"/>
    <mergeCell ref="C90:C91"/>
    <mergeCell ref="E90:E91"/>
    <mergeCell ref="F90:F91"/>
    <mergeCell ref="G90:G91"/>
    <mergeCell ref="M90:M91"/>
    <mergeCell ref="N90:N91"/>
    <mergeCell ref="O90:O91"/>
    <mergeCell ref="Q90:Q91"/>
    <mergeCell ref="R90:R91"/>
    <mergeCell ref="S90:S91"/>
    <mergeCell ref="A78:K78"/>
    <mergeCell ref="M78:W78"/>
    <mergeCell ref="A79:A80"/>
    <mergeCell ref="B79:B80"/>
    <mergeCell ref="C79:C80"/>
    <mergeCell ref="E79:E80"/>
    <mergeCell ref="F79:F80"/>
    <mergeCell ref="G79:G80"/>
    <mergeCell ref="M79:M80"/>
    <mergeCell ref="N79:N80"/>
    <mergeCell ref="O79:O80"/>
    <mergeCell ref="Q79:Q80"/>
    <mergeCell ref="R79:R80"/>
    <mergeCell ref="S79:S80"/>
    <mergeCell ref="R65:R66"/>
    <mergeCell ref="S65:S66"/>
    <mergeCell ref="A53:K53"/>
    <mergeCell ref="M53:W53"/>
    <mergeCell ref="A54:A55"/>
    <mergeCell ref="B54:B55"/>
    <mergeCell ref="C54:C55"/>
    <mergeCell ref="E54:E55"/>
    <mergeCell ref="F54:F55"/>
    <mergeCell ref="G54:G55"/>
    <mergeCell ref="M54:M55"/>
    <mergeCell ref="N54:N55"/>
    <mergeCell ref="O54:O55"/>
    <mergeCell ref="Q54:Q55"/>
    <mergeCell ref="R54:R55"/>
    <mergeCell ref="S54:S55"/>
    <mergeCell ref="A39:K39"/>
    <mergeCell ref="M39:W39"/>
    <mergeCell ref="A40:A41"/>
    <mergeCell ref="B40:B41"/>
    <mergeCell ref="C40:C41"/>
    <mergeCell ref="E40:E41"/>
    <mergeCell ref="F40:F41"/>
    <mergeCell ref="G40:G41"/>
    <mergeCell ref="M40:M41"/>
    <mergeCell ref="N40:N41"/>
    <mergeCell ref="O40:O41"/>
    <mergeCell ref="Q40:Q41"/>
    <mergeCell ref="R40:R41"/>
    <mergeCell ref="S40:S41"/>
    <mergeCell ref="A28:K28"/>
    <mergeCell ref="M28:W28"/>
    <mergeCell ref="A29:A30"/>
    <mergeCell ref="B29:B30"/>
    <mergeCell ref="C29:C30"/>
    <mergeCell ref="E29:E30"/>
    <mergeCell ref="F29:F30"/>
    <mergeCell ref="G29:G30"/>
    <mergeCell ref="M29:M30"/>
    <mergeCell ref="N29:N30"/>
    <mergeCell ref="O29:O30"/>
    <mergeCell ref="Q29:Q30"/>
    <mergeCell ref="R29:R30"/>
    <mergeCell ref="S29:S30"/>
    <mergeCell ref="B15:B16"/>
    <mergeCell ref="J1:K1"/>
    <mergeCell ref="A3:K3"/>
    <mergeCell ref="A14:K14"/>
    <mergeCell ref="C15:C16"/>
    <mergeCell ref="E15:E16"/>
    <mergeCell ref="F15:F16"/>
    <mergeCell ref="G15:G16"/>
    <mergeCell ref="A1:H1"/>
    <mergeCell ref="G4:G5"/>
    <mergeCell ref="E4:E5"/>
    <mergeCell ref="B4:B5"/>
    <mergeCell ref="C4:C5"/>
    <mergeCell ref="A4:A5"/>
    <mergeCell ref="F4:F5"/>
    <mergeCell ref="A15:A16"/>
    <mergeCell ref="M14:W14"/>
    <mergeCell ref="M15:M16"/>
    <mergeCell ref="N15:N16"/>
    <mergeCell ref="O15:O16"/>
    <mergeCell ref="Q15:Q16"/>
    <mergeCell ref="R15:R16"/>
    <mergeCell ref="S15:S16"/>
    <mergeCell ref="M1:T1"/>
    <mergeCell ref="V1:W1"/>
    <mergeCell ref="M3:W3"/>
    <mergeCell ref="M4:M5"/>
    <mergeCell ref="N4:N5"/>
    <mergeCell ref="O4:O5"/>
    <mergeCell ref="Q4:Q5"/>
    <mergeCell ref="R4:R5"/>
    <mergeCell ref="S4:S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9361-66FF-490F-BFB8-6EDF2AC9F65A}">
  <sheetPr codeName="Sheet11">
    <tabColor rgb="FF00B050"/>
  </sheetPr>
  <dimension ref="A1:K67"/>
  <sheetViews>
    <sheetView topLeftCell="A17" workbookViewId="0">
      <selection activeCell="F33" sqref="F33"/>
    </sheetView>
  </sheetViews>
  <sheetFormatPr defaultRowHeight="15" x14ac:dyDescent="0.25"/>
  <cols>
    <col min="1" max="1" width="13.140625" customWidth="1"/>
    <col min="2" max="3" width="8.85546875" style="1"/>
    <col min="4" max="4" width="13.42578125" style="2" bestFit="1" customWidth="1"/>
    <col min="5" max="5" width="8.85546875" style="1"/>
    <col min="6" max="6" width="12.140625" bestFit="1" customWidth="1"/>
    <col min="8" max="8" width="11.85546875" bestFit="1" customWidth="1"/>
    <col min="9" max="9" width="1.140625" customWidth="1"/>
    <col min="10" max="10" width="15" bestFit="1" customWidth="1"/>
    <col min="11" max="11" width="14.140625" bestFit="1" customWidth="1"/>
  </cols>
  <sheetData>
    <row r="1" spans="1:11" ht="18.75" x14ac:dyDescent="0.3">
      <c r="A1" s="299" t="s">
        <v>215</v>
      </c>
      <c r="B1" s="299"/>
      <c r="C1" s="299"/>
      <c r="D1" s="299"/>
      <c r="E1" s="299"/>
      <c r="F1" s="299"/>
      <c r="G1" s="299"/>
      <c r="H1" s="299"/>
      <c r="I1" s="29"/>
      <c r="J1" s="299" t="s">
        <v>31</v>
      </c>
      <c r="K1" s="299"/>
    </row>
    <row r="2" spans="1:11" ht="6" customHeight="1" x14ac:dyDescent="0.25"/>
    <row r="3" spans="1:11" ht="6" customHeight="1" x14ac:dyDescent="0.25"/>
    <row r="4" spans="1:11" x14ac:dyDescent="0.25">
      <c r="A4" s="290" t="s">
        <v>216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</row>
    <row r="5" spans="1:11" x14ac:dyDescent="0.25">
      <c r="A5" s="291" t="s">
        <v>198</v>
      </c>
      <c r="B5" s="293" t="s">
        <v>83</v>
      </c>
      <c r="C5" s="293" t="s">
        <v>8</v>
      </c>
      <c r="D5" s="13" t="s">
        <v>199</v>
      </c>
      <c r="E5" s="295" t="s">
        <v>39</v>
      </c>
      <c r="F5" s="295" t="s">
        <v>200</v>
      </c>
      <c r="G5" s="295" t="s">
        <v>39</v>
      </c>
      <c r="H5" s="4" t="s">
        <v>141</v>
      </c>
      <c r="I5" s="19"/>
      <c r="J5" s="4" t="s">
        <v>201</v>
      </c>
      <c r="K5" s="4" t="s">
        <v>202</v>
      </c>
    </row>
    <row r="6" spans="1:11" x14ac:dyDescent="0.25">
      <c r="A6" s="292"/>
      <c r="B6" s="294"/>
      <c r="C6" s="294"/>
      <c r="D6" s="14" t="s">
        <v>203</v>
      </c>
      <c r="E6" s="296"/>
      <c r="F6" s="296"/>
      <c r="G6" s="296"/>
      <c r="H6" s="27">
        <v>0.65</v>
      </c>
      <c r="I6" s="20"/>
      <c r="J6" s="17">
        <v>0.06</v>
      </c>
      <c r="K6" s="17">
        <v>0.06</v>
      </c>
    </row>
    <row r="7" spans="1:11" x14ac:dyDescent="0.25">
      <c r="A7" s="8" t="s">
        <v>217</v>
      </c>
      <c r="B7" s="9" t="s">
        <v>16</v>
      </c>
      <c r="C7" s="12">
        <f>'KO Spec.'!G6</f>
        <v>30.396652222222222</v>
      </c>
      <c r="D7" s="22">
        <f t="shared" ref="D7:D13" si="0">F7-(F7*10%)</f>
        <v>88.605000000000004</v>
      </c>
      <c r="E7" s="23">
        <f t="shared" ref="E7:E13" si="1">(D7-C7)/D7</f>
        <v>0.65694202107982369</v>
      </c>
      <c r="F7" s="24">
        <v>98.45</v>
      </c>
      <c r="G7" s="25">
        <f t="shared" ref="G7:G13" si="2">(F7-C7)/F7</f>
        <v>0.6912478189718414</v>
      </c>
      <c r="H7" s="28">
        <f t="shared" ref="H7:H13" si="3">C7/(1-$H$6)</f>
        <v>86.847577777777786</v>
      </c>
      <c r="I7" s="20"/>
      <c r="J7" s="18">
        <f t="shared" ref="J7:J13" si="4">(D7*$J$6)</f>
        <v>5.3163</v>
      </c>
      <c r="K7" s="18">
        <f t="shared" ref="K7:K13" si="5">(F7*$K$6)</f>
        <v>5.907</v>
      </c>
    </row>
    <row r="8" spans="1:11" x14ac:dyDescent="0.25">
      <c r="A8" s="8" t="s">
        <v>217</v>
      </c>
      <c r="B8" s="9" t="s">
        <v>70</v>
      </c>
      <c r="C8" s="12">
        <f>'KO Spec.'!G7</f>
        <v>32.785985555555563</v>
      </c>
      <c r="D8" s="22">
        <f t="shared" si="0"/>
        <v>94.518000000000001</v>
      </c>
      <c r="E8" s="23">
        <f t="shared" si="1"/>
        <v>0.65312442544747495</v>
      </c>
      <c r="F8" s="24">
        <v>105.02</v>
      </c>
      <c r="G8" s="25">
        <f t="shared" si="2"/>
        <v>0.68781198290272738</v>
      </c>
      <c r="H8" s="28">
        <f t="shared" si="3"/>
        <v>93.674244444444469</v>
      </c>
      <c r="I8" s="20"/>
      <c r="J8" s="18">
        <f t="shared" si="4"/>
        <v>5.6710799999999999</v>
      </c>
      <c r="K8" s="18">
        <f t="shared" si="5"/>
        <v>6.3011999999999997</v>
      </c>
    </row>
    <row r="9" spans="1:11" x14ac:dyDescent="0.25">
      <c r="A9" s="8" t="s">
        <v>217</v>
      </c>
      <c r="B9" s="9" t="s">
        <v>87</v>
      </c>
      <c r="C9" s="12">
        <f>'KO Spec.'!G8</f>
        <v>33.47598555555556</v>
      </c>
      <c r="D9" s="22">
        <f t="shared" si="0"/>
        <v>97.730999999999995</v>
      </c>
      <c r="E9" s="23">
        <f t="shared" si="1"/>
        <v>0.65746809553206709</v>
      </c>
      <c r="F9" s="24">
        <v>108.59</v>
      </c>
      <c r="G9" s="25">
        <f t="shared" si="2"/>
        <v>0.6917212859788604</v>
      </c>
      <c r="H9" s="28">
        <f t="shared" si="3"/>
        <v>95.645673015873029</v>
      </c>
      <c r="I9" s="20"/>
      <c r="J9" s="18">
        <f t="shared" si="4"/>
        <v>5.8638599999999999</v>
      </c>
      <c r="K9" s="18">
        <f t="shared" si="5"/>
        <v>6.5153999999999996</v>
      </c>
    </row>
    <row r="10" spans="1:11" x14ac:dyDescent="0.25">
      <c r="A10" s="8" t="s">
        <v>217</v>
      </c>
      <c r="B10" s="9" t="s">
        <v>88</v>
      </c>
      <c r="C10" s="12">
        <f>'KO Spec.'!G9</f>
        <v>33.47598555555556</v>
      </c>
      <c r="D10" s="22">
        <f t="shared" si="0"/>
        <v>99.909000000000006</v>
      </c>
      <c r="E10" s="23">
        <f t="shared" si="1"/>
        <v>0.66493523550875733</v>
      </c>
      <c r="F10" s="24">
        <v>111.01</v>
      </c>
      <c r="G10" s="25">
        <f t="shared" si="2"/>
        <v>0.69844171195788163</v>
      </c>
      <c r="H10" s="28">
        <f t="shared" si="3"/>
        <v>95.645673015873029</v>
      </c>
      <c r="I10" s="20"/>
      <c r="J10" s="18">
        <f t="shared" si="4"/>
        <v>5.9945399999999998</v>
      </c>
      <c r="K10" s="18">
        <f t="shared" si="5"/>
        <v>6.6605999999999996</v>
      </c>
    </row>
    <row r="11" spans="1:11" x14ac:dyDescent="0.25">
      <c r="A11" s="8" t="s">
        <v>217</v>
      </c>
      <c r="B11" s="9" t="s">
        <v>68</v>
      </c>
      <c r="C11" s="12">
        <f>'KO Spec.'!G10</f>
        <v>44.923248333333341</v>
      </c>
      <c r="D11" s="22">
        <f t="shared" si="0"/>
        <v>110.47499999999999</v>
      </c>
      <c r="E11" s="23">
        <f t="shared" si="1"/>
        <v>0.59336276684015987</v>
      </c>
      <c r="F11" s="24">
        <v>122.75</v>
      </c>
      <c r="G11" s="25">
        <f t="shared" si="2"/>
        <v>0.63402649015614387</v>
      </c>
      <c r="H11" s="28">
        <f t="shared" si="3"/>
        <v>128.35213809523813</v>
      </c>
      <c r="I11" s="20"/>
      <c r="J11" s="18">
        <f t="shared" si="4"/>
        <v>6.6284999999999998</v>
      </c>
      <c r="K11" s="18">
        <f t="shared" si="5"/>
        <v>7.3649999999999993</v>
      </c>
    </row>
    <row r="12" spans="1:11" x14ac:dyDescent="0.25">
      <c r="A12" s="8" t="s">
        <v>217</v>
      </c>
      <c r="B12" s="9" t="s">
        <v>56</v>
      </c>
      <c r="C12" s="12">
        <f>'KO Spec.'!G11</f>
        <v>51.592575000000004</v>
      </c>
      <c r="D12" s="22">
        <f t="shared" si="0"/>
        <v>117.468</v>
      </c>
      <c r="E12" s="23">
        <f t="shared" si="1"/>
        <v>0.56079464194504036</v>
      </c>
      <c r="F12" s="24">
        <v>130.52000000000001</v>
      </c>
      <c r="G12" s="25">
        <f t="shared" si="2"/>
        <v>0.60471517775053629</v>
      </c>
      <c r="H12" s="28">
        <f t="shared" si="3"/>
        <v>147.40735714285717</v>
      </c>
      <c r="I12" s="20"/>
      <c r="J12" s="18">
        <f t="shared" si="4"/>
        <v>7.0480799999999997</v>
      </c>
      <c r="K12" s="18">
        <f t="shared" si="5"/>
        <v>7.8311999999999999</v>
      </c>
    </row>
    <row r="13" spans="1:11" x14ac:dyDescent="0.25">
      <c r="A13" s="8" t="s">
        <v>217</v>
      </c>
      <c r="B13" s="9" t="s">
        <v>89</v>
      </c>
      <c r="C13" s="12">
        <f>'KO Spec.'!G12</f>
        <v>61.030568333333335</v>
      </c>
      <c r="D13" s="22">
        <f t="shared" si="0"/>
        <v>142.245</v>
      </c>
      <c r="E13" s="23">
        <f t="shared" si="1"/>
        <v>0.57094753184060365</v>
      </c>
      <c r="F13" s="24">
        <v>158.05000000000001</v>
      </c>
      <c r="G13" s="25">
        <f t="shared" si="2"/>
        <v>0.61385277865654331</v>
      </c>
      <c r="H13" s="28">
        <f t="shared" si="3"/>
        <v>174.3730523809524</v>
      </c>
      <c r="I13" s="21"/>
      <c r="J13" s="18">
        <f t="shared" si="4"/>
        <v>8.5347000000000008</v>
      </c>
      <c r="K13" s="18">
        <f t="shared" si="5"/>
        <v>9.4830000000000005</v>
      </c>
    </row>
    <row r="14" spans="1:11" ht="6" customHeight="1" x14ac:dyDescent="0.25"/>
    <row r="15" spans="1:11" x14ac:dyDescent="0.25">
      <c r="A15" s="290" t="s">
        <v>218</v>
      </c>
      <c r="B15" s="290"/>
      <c r="C15" s="290"/>
      <c r="D15" s="290"/>
      <c r="E15" s="290"/>
      <c r="F15" s="290"/>
      <c r="G15" s="290"/>
      <c r="H15" s="290"/>
      <c r="I15" s="290"/>
      <c r="J15" s="290"/>
      <c r="K15" s="290"/>
    </row>
    <row r="16" spans="1:11" x14ac:dyDescent="0.25">
      <c r="A16" s="291" t="s">
        <v>198</v>
      </c>
      <c r="B16" s="293" t="s">
        <v>83</v>
      </c>
      <c r="C16" s="293" t="s">
        <v>8</v>
      </c>
      <c r="D16" s="13" t="s">
        <v>199</v>
      </c>
      <c r="E16" s="295" t="s">
        <v>39</v>
      </c>
      <c r="F16" s="295" t="s">
        <v>200</v>
      </c>
      <c r="G16" s="295" t="s">
        <v>39</v>
      </c>
      <c r="H16" s="4" t="s">
        <v>141</v>
      </c>
      <c r="I16" s="19"/>
      <c r="J16" s="4" t="s">
        <v>201</v>
      </c>
      <c r="K16" s="4" t="s">
        <v>202</v>
      </c>
    </row>
    <row r="17" spans="1:11" x14ac:dyDescent="0.25">
      <c r="A17" s="292"/>
      <c r="B17" s="294"/>
      <c r="C17" s="294"/>
      <c r="D17" s="14" t="s">
        <v>203</v>
      </c>
      <c r="E17" s="296"/>
      <c r="F17" s="296"/>
      <c r="G17" s="296"/>
      <c r="H17" s="27">
        <v>0.65</v>
      </c>
      <c r="I17" s="20"/>
      <c r="J17" s="17">
        <v>0.06</v>
      </c>
      <c r="K17" s="17">
        <v>0.06</v>
      </c>
    </row>
    <row r="18" spans="1:11" x14ac:dyDescent="0.25">
      <c r="A18" s="8" t="s">
        <v>217</v>
      </c>
      <c r="B18" s="9" t="s">
        <v>16</v>
      </c>
      <c r="C18" s="12">
        <f>'KO Spec.'!G17</f>
        <v>34.493985555555561</v>
      </c>
      <c r="D18" s="22">
        <f t="shared" ref="D18:D24" si="6">F18-(F18*10%)</f>
        <v>98.738392500000003</v>
      </c>
      <c r="E18" s="23">
        <f t="shared" ref="E18:E24" si="7">(D18-C18)/D18</f>
        <v>0.65065275338004358</v>
      </c>
      <c r="F18" s="24">
        <v>109.70932500000001</v>
      </c>
      <c r="G18" s="25">
        <f t="shared" ref="G18:G24" si="8">(F18-C18)/F18</f>
        <v>0.68558747804203923</v>
      </c>
      <c r="H18" s="28">
        <f>C18/(1-$H$17)</f>
        <v>98.554244444444464</v>
      </c>
      <c r="I18" s="20"/>
      <c r="J18" s="18">
        <f t="shared" ref="J18:J24" si="9">(D18*$J$6)</f>
        <v>5.9243035500000003</v>
      </c>
      <c r="K18" s="18">
        <f t="shared" ref="K18:K24" si="10">(F18*$K$6)</f>
        <v>6.5825595000000003</v>
      </c>
    </row>
    <row r="19" spans="1:11" x14ac:dyDescent="0.25">
      <c r="A19" s="8" t="s">
        <v>217</v>
      </c>
      <c r="B19" s="9" t="s">
        <v>70</v>
      </c>
      <c r="C19" s="12">
        <f>'KO Spec.'!G18</f>
        <v>34.493985555555561</v>
      </c>
      <c r="D19" s="22">
        <f t="shared" si="6"/>
        <v>98.738392500000003</v>
      </c>
      <c r="E19" s="23">
        <f t="shared" si="7"/>
        <v>0.65065275338004358</v>
      </c>
      <c r="F19" s="24">
        <v>109.70932500000001</v>
      </c>
      <c r="G19" s="25">
        <f t="shared" si="8"/>
        <v>0.68558747804203923</v>
      </c>
      <c r="H19" s="28">
        <f t="shared" ref="H19:H24" si="11">C19/(1-$H$6)</f>
        <v>98.554244444444464</v>
      </c>
      <c r="I19" s="20"/>
      <c r="J19" s="18">
        <f t="shared" si="9"/>
        <v>5.9243035500000003</v>
      </c>
      <c r="K19" s="18">
        <f t="shared" si="10"/>
        <v>6.5825595000000003</v>
      </c>
    </row>
    <row r="20" spans="1:11" x14ac:dyDescent="0.25">
      <c r="A20" s="8" t="s">
        <v>217</v>
      </c>
      <c r="B20" s="9" t="s">
        <v>87</v>
      </c>
      <c r="C20" s="12">
        <f>'KO Spec.'!G19</f>
        <v>35.183985555555559</v>
      </c>
      <c r="D20" s="22">
        <f t="shared" si="6"/>
        <v>101.95746750000001</v>
      </c>
      <c r="E20" s="23">
        <f t="shared" si="7"/>
        <v>0.65491506980049741</v>
      </c>
      <c r="F20" s="24">
        <v>113.28607500000001</v>
      </c>
      <c r="G20" s="25">
        <f t="shared" si="8"/>
        <v>0.6894235628204477</v>
      </c>
      <c r="H20" s="28">
        <f t="shared" si="11"/>
        <v>100.52567301587302</v>
      </c>
      <c r="I20" s="20"/>
      <c r="J20" s="18">
        <f t="shared" si="9"/>
        <v>6.1174480500000001</v>
      </c>
      <c r="K20" s="18">
        <f t="shared" si="10"/>
        <v>6.7971645000000001</v>
      </c>
    </row>
    <row r="21" spans="1:11" x14ac:dyDescent="0.25">
      <c r="A21" s="8" t="s">
        <v>217</v>
      </c>
      <c r="B21" s="9" t="s">
        <v>88</v>
      </c>
      <c r="C21" s="12">
        <f>'KO Spec.'!G20</f>
        <v>35.183985555555559</v>
      </c>
      <c r="D21" s="22">
        <f t="shared" si="6"/>
        <v>104.13130500000003</v>
      </c>
      <c r="E21" s="23">
        <f t="shared" si="7"/>
        <v>0.66211903754057877</v>
      </c>
      <c r="F21" s="24">
        <v>115.70145000000002</v>
      </c>
      <c r="G21" s="25">
        <f t="shared" si="8"/>
        <v>0.69590713378652092</v>
      </c>
      <c r="H21" s="28">
        <f t="shared" si="11"/>
        <v>100.52567301587302</v>
      </c>
      <c r="I21" s="20"/>
      <c r="J21" s="18">
        <f t="shared" si="9"/>
        <v>6.2478783000000009</v>
      </c>
      <c r="K21" s="18">
        <f t="shared" si="10"/>
        <v>6.9420870000000008</v>
      </c>
    </row>
    <row r="22" spans="1:11" x14ac:dyDescent="0.25">
      <c r="A22" s="8" t="s">
        <v>217</v>
      </c>
      <c r="B22" s="9" t="s">
        <v>68</v>
      </c>
      <c r="C22" s="12">
        <f>'KO Spec.'!G21</f>
        <v>49.571248333333337</v>
      </c>
      <c r="D22" s="22">
        <f t="shared" si="6"/>
        <v>121.96959749999999</v>
      </c>
      <c r="E22" s="23">
        <f t="shared" si="7"/>
        <v>0.59357701140783603</v>
      </c>
      <c r="F22" s="24">
        <v>135.52177499999999</v>
      </c>
      <c r="G22" s="25">
        <f t="shared" si="8"/>
        <v>0.63421931026705236</v>
      </c>
      <c r="H22" s="28">
        <f t="shared" si="11"/>
        <v>141.6321380952381</v>
      </c>
      <c r="I22" s="20"/>
      <c r="J22" s="18">
        <f t="shared" si="9"/>
        <v>7.3181758499999994</v>
      </c>
      <c r="K22" s="18">
        <f t="shared" si="10"/>
        <v>8.1313064999999991</v>
      </c>
    </row>
    <row r="23" spans="1:11" x14ac:dyDescent="0.25">
      <c r="A23" s="8" t="s">
        <v>217</v>
      </c>
      <c r="B23" s="9" t="s">
        <v>56</v>
      </c>
      <c r="C23" s="12">
        <f>'KO Spec.'!G22</f>
        <v>56.903241666666666</v>
      </c>
      <c r="D23" s="22">
        <f t="shared" si="6"/>
        <v>130.60082250000002</v>
      </c>
      <c r="E23" s="23">
        <f t="shared" si="7"/>
        <v>0.56429645252297955</v>
      </c>
      <c r="F23" s="24">
        <v>145.11202500000002</v>
      </c>
      <c r="G23" s="25">
        <f t="shared" si="8"/>
        <v>0.60786680727068165</v>
      </c>
      <c r="H23" s="28">
        <f t="shared" si="11"/>
        <v>162.58069047619048</v>
      </c>
      <c r="I23" s="20"/>
      <c r="J23" s="18">
        <f t="shared" si="9"/>
        <v>7.8360493500000006</v>
      </c>
      <c r="K23" s="18">
        <f t="shared" si="10"/>
        <v>8.7067215000000004</v>
      </c>
    </row>
    <row r="24" spans="1:11" x14ac:dyDescent="0.25">
      <c r="A24" s="8" t="s">
        <v>217</v>
      </c>
      <c r="B24" s="9" t="s">
        <v>89</v>
      </c>
      <c r="C24" s="12">
        <f>'KO Spec.'!G23</f>
        <v>67.666568333333331</v>
      </c>
      <c r="D24" s="22">
        <f t="shared" si="6"/>
        <v>158.66064</v>
      </c>
      <c r="E24" s="23">
        <f t="shared" si="7"/>
        <v>0.57351383220606367</v>
      </c>
      <c r="F24" s="24">
        <v>176.28960000000001</v>
      </c>
      <c r="G24" s="25">
        <f t="shared" si="8"/>
        <v>0.61616244898545725</v>
      </c>
      <c r="H24" s="28">
        <f t="shared" si="11"/>
        <v>193.33305238095238</v>
      </c>
      <c r="I24" s="21"/>
      <c r="J24" s="18">
        <f t="shared" si="9"/>
        <v>9.5196383999999998</v>
      </c>
      <c r="K24" s="18">
        <f t="shared" si="10"/>
        <v>10.577375999999999</v>
      </c>
    </row>
    <row r="25" spans="1:11" ht="6" customHeight="1" x14ac:dyDescent="0.25"/>
    <row r="26" spans="1:11" ht="6" customHeight="1" x14ac:dyDescent="0.25"/>
    <row r="27" spans="1:11" ht="18.75" x14ac:dyDescent="0.3">
      <c r="A27" s="299" t="s">
        <v>219</v>
      </c>
      <c r="B27" s="299"/>
      <c r="C27" s="299"/>
      <c r="D27" s="299"/>
      <c r="E27" s="299"/>
      <c r="F27" s="299"/>
      <c r="G27" s="299"/>
      <c r="H27" s="299"/>
      <c r="J27" s="299" t="s">
        <v>31</v>
      </c>
      <c r="K27" s="299"/>
    </row>
    <row r="28" spans="1:11" ht="6" customHeight="1" x14ac:dyDescent="0.25"/>
    <row r="29" spans="1:11" ht="6" customHeight="1" x14ac:dyDescent="0.25"/>
    <row r="30" spans="1:11" x14ac:dyDescent="0.25">
      <c r="A30" s="300" t="s">
        <v>220</v>
      </c>
      <c r="B30" s="301"/>
      <c r="C30" s="301"/>
      <c r="D30" s="301"/>
      <c r="E30" s="301"/>
      <c r="F30" s="301"/>
      <c r="G30" s="301"/>
      <c r="H30" s="301"/>
      <c r="I30" s="301"/>
      <c r="J30" s="301"/>
      <c r="K30" s="302"/>
    </row>
    <row r="31" spans="1:11" x14ac:dyDescent="0.25">
      <c r="A31" s="291" t="s">
        <v>198</v>
      </c>
      <c r="B31" s="293" t="s">
        <v>83</v>
      </c>
      <c r="C31" s="293" t="s">
        <v>8</v>
      </c>
      <c r="D31" s="13" t="s">
        <v>199</v>
      </c>
      <c r="E31" s="295" t="s">
        <v>39</v>
      </c>
      <c r="F31" s="295" t="s">
        <v>200</v>
      </c>
      <c r="G31" s="295" t="s">
        <v>39</v>
      </c>
      <c r="H31" s="4" t="s">
        <v>141</v>
      </c>
      <c r="I31" s="19"/>
      <c r="J31" s="4" t="s">
        <v>201</v>
      </c>
      <c r="K31" s="4" t="s">
        <v>202</v>
      </c>
    </row>
    <row r="32" spans="1:11" x14ac:dyDescent="0.25">
      <c r="A32" s="292"/>
      <c r="B32" s="294"/>
      <c r="C32" s="294"/>
      <c r="D32" s="14" t="s">
        <v>203</v>
      </c>
      <c r="E32" s="296"/>
      <c r="F32" s="296"/>
      <c r="G32" s="296"/>
      <c r="H32" s="27">
        <v>0.65</v>
      </c>
      <c r="I32" s="20"/>
      <c r="J32" s="17">
        <v>0.06</v>
      </c>
      <c r="K32" s="17">
        <v>0.06</v>
      </c>
    </row>
    <row r="33" spans="1:11" x14ac:dyDescent="0.25">
      <c r="A33" s="8" t="s">
        <v>217</v>
      </c>
      <c r="B33" s="9" t="s">
        <v>16</v>
      </c>
      <c r="C33" s="12">
        <f>'KO Spec.'!G30</f>
        <v>34.857852222222228</v>
      </c>
      <c r="D33" s="22">
        <f t="shared" ref="D33:D39" si="12">F33-(F33*10%)</f>
        <v>103.83235714285715</v>
      </c>
      <c r="E33" s="23">
        <f t="shared" ref="E33:E39" si="13">(D33-C33)/D33</f>
        <v>0.66428719157108951</v>
      </c>
      <c r="F33" s="24">
        <v>115.36928571428572</v>
      </c>
      <c r="G33" s="25">
        <f t="shared" ref="G33:G39" si="14">(F33-C33)/F33</f>
        <v>0.69785847241398058</v>
      </c>
      <c r="H33" s="28">
        <f>C33/(1-$H$32)</f>
        <v>99.59386349206352</v>
      </c>
      <c r="I33" s="20"/>
      <c r="J33" s="18">
        <f t="shared" ref="J33:J39" si="15">(D33*$J$6)</f>
        <v>6.2299414285714283</v>
      </c>
      <c r="K33" s="18">
        <f t="shared" ref="K33:K39" si="16">(F33*$K$6)</f>
        <v>6.9221571428571433</v>
      </c>
    </row>
    <row r="34" spans="1:11" x14ac:dyDescent="0.25">
      <c r="A34" s="8" t="s">
        <v>217</v>
      </c>
      <c r="B34" s="9" t="s">
        <v>70</v>
      </c>
      <c r="C34" s="12">
        <f>'KO Spec.'!G31</f>
        <v>37.247185555555561</v>
      </c>
      <c r="D34" s="22">
        <f t="shared" si="12"/>
        <v>109.75692857142859</v>
      </c>
      <c r="E34" s="23">
        <f t="shared" si="13"/>
        <v>0.66063932327228425</v>
      </c>
      <c r="F34" s="24">
        <v>121.95214285714287</v>
      </c>
      <c r="G34" s="25">
        <f t="shared" si="14"/>
        <v>0.69457539094505583</v>
      </c>
      <c r="H34" s="28">
        <f t="shared" ref="H34:H39" si="17">C34/(1-$H$32)</f>
        <v>106.42053015873017</v>
      </c>
      <c r="I34" s="20"/>
      <c r="J34" s="18">
        <f t="shared" si="15"/>
        <v>6.5854157142857153</v>
      </c>
      <c r="K34" s="18">
        <f t="shared" si="16"/>
        <v>7.3171285714285723</v>
      </c>
    </row>
    <row r="35" spans="1:11" x14ac:dyDescent="0.25">
      <c r="A35" s="8" t="s">
        <v>217</v>
      </c>
      <c r="B35" s="9" t="s">
        <v>87</v>
      </c>
      <c r="C35" s="12">
        <f>'KO Spec.'!G32</f>
        <v>37.937185555555558</v>
      </c>
      <c r="D35" s="22">
        <f t="shared" si="12"/>
        <v>112.98407142857144</v>
      </c>
      <c r="E35" s="23">
        <f t="shared" si="13"/>
        <v>0.66422536313413472</v>
      </c>
      <c r="F35" s="24">
        <v>125.53785714285716</v>
      </c>
      <c r="G35" s="25">
        <f t="shared" si="14"/>
        <v>0.69780282682072126</v>
      </c>
      <c r="H35" s="28">
        <f t="shared" si="17"/>
        <v>108.39195873015875</v>
      </c>
      <c r="I35" s="20"/>
      <c r="J35" s="18">
        <f t="shared" si="15"/>
        <v>6.7790442857142859</v>
      </c>
      <c r="K35" s="18">
        <f t="shared" si="16"/>
        <v>7.5322714285714296</v>
      </c>
    </row>
    <row r="36" spans="1:11" x14ac:dyDescent="0.25">
      <c r="A36" s="8" t="s">
        <v>217</v>
      </c>
      <c r="B36" s="9" t="s">
        <v>88</v>
      </c>
      <c r="C36" s="12">
        <f>'KO Spec.'!G33</f>
        <v>37.937185555555558</v>
      </c>
      <c r="D36" s="22">
        <f t="shared" si="12"/>
        <v>115.16335714285715</v>
      </c>
      <c r="E36" s="23">
        <f t="shared" si="13"/>
        <v>0.67057937093223619</v>
      </c>
      <c r="F36" s="24">
        <v>127.95928571428573</v>
      </c>
      <c r="G36" s="25">
        <f t="shared" si="14"/>
        <v>0.70352143383901256</v>
      </c>
      <c r="H36" s="28">
        <f t="shared" si="17"/>
        <v>108.39195873015875</v>
      </c>
      <c r="I36" s="20"/>
      <c r="J36" s="18">
        <f t="shared" si="15"/>
        <v>6.9098014285714289</v>
      </c>
      <c r="K36" s="18">
        <f t="shared" si="16"/>
        <v>7.6775571428571432</v>
      </c>
    </row>
    <row r="37" spans="1:11" x14ac:dyDescent="0.25">
      <c r="A37" s="8" t="s">
        <v>217</v>
      </c>
      <c r="B37" s="9" t="s">
        <v>68</v>
      </c>
      <c r="C37" s="12">
        <f>'KO Spec.'!G34</f>
        <v>49.384448333333339</v>
      </c>
      <c r="D37" s="22">
        <f t="shared" si="12"/>
        <v>125.75635714285715</v>
      </c>
      <c r="E37" s="23">
        <f t="shared" si="13"/>
        <v>0.60730058141527254</v>
      </c>
      <c r="F37" s="24">
        <v>139.72928571428574</v>
      </c>
      <c r="G37" s="25">
        <f t="shared" si="14"/>
        <v>0.64657052327374531</v>
      </c>
      <c r="H37" s="28">
        <f t="shared" si="17"/>
        <v>141.09842380952384</v>
      </c>
      <c r="I37" s="20"/>
      <c r="J37" s="18">
        <f t="shared" si="15"/>
        <v>7.5453814285714289</v>
      </c>
      <c r="K37" s="18">
        <f t="shared" si="16"/>
        <v>8.383757142857144</v>
      </c>
    </row>
    <row r="38" spans="1:11" x14ac:dyDescent="0.25">
      <c r="A38" s="8" t="s">
        <v>217</v>
      </c>
      <c r="B38" s="9" t="s">
        <v>56</v>
      </c>
      <c r="C38" s="12">
        <f>'KO Spec.'!G35</f>
        <v>56.053774999999995</v>
      </c>
      <c r="D38" s="22">
        <f t="shared" si="12"/>
        <v>132.76607142857145</v>
      </c>
      <c r="E38" s="23">
        <f t="shared" si="13"/>
        <v>0.57780045461270502</v>
      </c>
      <c r="F38" s="24">
        <v>147.51785714285717</v>
      </c>
      <c r="G38" s="25">
        <f t="shared" si="14"/>
        <v>0.62002040915143453</v>
      </c>
      <c r="H38" s="28">
        <f t="shared" si="17"/>
        <v>160.15364285714284</v>
      </c>
      <c r="I38" s="20"/>
      <c r="J38" s="18">
        <f t="shared" si="15"/>
        <v>7.9659642857142865</v>
      </c>
      <c r="K38" s="18">
        <f t="shared" si="16"/>
        <v>8.85107142857143</v>
      </c>
    </row>
    <row r="39" spans="1:11" x14ac:dyDescent="0.25">
      <c r="A39" s="8" t="s">
        <v>217</v>
      </c>
      <c r="B39" s="9" t="s">
        <v>89</v>
      </c>
      <c r="C39" s="12">
        <f>'KO Spec.'!G36</f>
        <v>65.491768333333326</v>
      </c>
      <c r="D39" s="22">
        <f t="shared" si="12"/>
        <v>157.60992857142858</v>
      </c>
      <c r="E39" s="23">
        <f t="shared" si="13"/>
        <v>0.58446927216483979</v>
      </c>
      <c r="F39" s="24">
        <v>175.12214285714288</v>
      </c>
      <c r="G39" s="25">
        <f t="shared" si="14"/>
        <v>0.62602234494835585</v>
      </c>
      <c r="H39" s="28">
        <f t="shared" si="17"/>
        <v>187.11933809523808</v>
      </c>
      <c r="I39" s="21"/>
      <c r="J39" s="18">
        <f t="shared" si="15"/>
        <v>9.4565957142857151</v>
      </c>
      <c r="K39" s="18">
        <f t="shared" si="16"/>
        <v>10.507328571428571</v>
      </c>
    </row>
    <row r="40" spans="1:11" ht="6" customHeight="1" x14ac:dyDescent="0.25"/>
    <row r="41" spans="1:11" x14ac:dyDescent="0.25">
      <c r="A41" s="290" t="s">
        <v>221</v>
      </c>
      <c r="B41" s="290"/>
      <c r="C41" s="290"/>
      <c r="D41" s="290"/>
      <c r="E41" s="290"/>
      <c r="F41" s="290"/>
      <c r="G41" s="290"/>
      <c r="H41" s="290"/>
      <c r="I41" s="290"/>
      <c r="J41" s="290"/>
      <c r="K41" s="290"/>
    </row>
    <row r="42" spans="1:11" x14ac:dyDescent="0.25">
      <c r="A42" s="291" t="s">
        <v>198</v>
      </c>
      <c r="B42" s="293" t="s">
        <v>83</v>
      </c>
      <c r="C42" s="293" t="s">
        <v>8</v>
      </c>
      <c r="D42" s="13" t="s">
        <v>199</v>
      </c>
      <c r="E42" s="295" t="s">
        <v>39</v>
      </c>
      <c r="F42" s="295" t="s">
        <v>200</v>
      </c>
      <c r="G42" s="295" t="s">
        <v>39</v>
      </c>
      <c r="H42" s="4" t="s">
        <v>141</v>
      </c>
      <c r="I42" s="19"/>
      <c r="J42" s="4" t="s">
        <v>201</v>
      </c>
      <c r="K42" s="4" t="s">
        <v>202</v>
      </c>
    </row>
    <row r="43" spans="1:11" x14ac:dyDescent="0.25">
      <c r="A43" s="292"/>
      <c r="B43" s="294"/>
      <c r="C43" s="294"/>
      <c r="D43" s="14" t="s">
        <v>203</v>
      </c>
      <c r="E43" s="296"/>
      <c r="F43" s="296"/>
      <c r="G43" s="296"/>
      <c r="H43" s="27">
        <v>0.65</v>
      </c>
      <c r="I43" s="20"/>
      <c r="J43" s="17">
        <v>0.06</v>
      </c>
      <c r="K43" s="17">
        <v>0.06</v>
      </c>
    </row>
    <row r="44" spans="1:11" x14ac:dyDescent="0.25">
      <c r="A44" s="8" t="s">
        <v>217</v>
      </c>
      <c r="B44" s="9" t="s">
        <v>16</v>
      </c>
      <c r="C44" s="12">
        <f>'KO Spec.'!G41</f>
        <v>38.955185555555559</v>
      </c>
      <c r="D44" s="22">
        <f t="shared" ref="D44:D50" si="18">F44-(F44*10%)</f>
        <v>113.99207142857144</v>
      </c>
      <c r="E44" s="23">
        <f t="shared" ref="E44:E50" si="19">(D44-C44)/D44</f>
        <v>0.65826407865598557</v>
      </c>
      <c r="F44" s="24">
        <v>126.65785714285715</v>
      </c>
      <c r="G44" s="25">
        <f t="shared" ref="G44:G50" si="20">(F44-C44)/F44</f>
        <v>0.69243767079038709</v>
      </c>
      <c r="H44" s="28">
        <f>C44/(1-$H$43)</f>
        <v>111.30053015873017</v>
      </c>
      <c r="I44" s="20"/>
      <c r="J44" s="18">
        <f t="shared" ref="J44:J50" si="21">(D44*$J$6)</f>
        <v>6.8395242857142859</v>
      </c>
      <c r="K44" s="18">
        <f t="shared" ref="K44:K50" si="22">(F44*$K$6)</f>
        <v>7.5994714285714293</v>
      </c>
    </row>
    <row r="45" spans="1:11" x14ac:dyDescent="0.25">
      <c r="A45" s="8" t="s">
        <v>217</v>
      </c>
      <c r="B45" s="9" t="s">
        <v>70</v>
      </c>
      <c r="C45" s="12">
        <f>'KO Spec.'!G42</f>
        <v>38.955185555555559</v>
      </c>
      <c r="D45" s="22">
        <f t="shared" si="18"/>
        <v>113.99207142857144</v>
      </c>
      <c r="E45" s="23">
        <f t="shared" si="19"/>
        <v>0.65826407865598557</v>
      </c>
      <c r="F45" s="24">
        <v>126.65785714285715</v>
      </c>
      <c r="G45" s="25">
        <f t="shared" si="20"/>
        <v>0.69243767079038709</v>
      </c>
      <c r="H45" s="28">
        <f t="shared" ref="H45:H50" si="23">C45/(1-$H$43)</f>
        <v>111.30053015873017</v>
      </c>
      <c r="I45" s="20"/>
      <c r="J45" s="18">
        <f t="shared" si="21"/>
        <v>6.8395242857142859</v>
      </c>
      <c r="K45" s="18">
        <f t="shared" si="22"/>
        <v>7.5994714285714293</v>
      </c>
    </row>
    <row r="46" spans="1:11" x14ac:dyDescent="0.25">
      <c r="A46" s="8" t="s">
        <v>217</v>
      </c>
      <c r="B46" s="9" t="s">
        <v>87</v>
      </c>
      <c r="C46" s="12">
        <f>'KO Spec.'!G43</f>
        <v>39.645185555555557</v>
      </c>
      <c r="D46" s="22">
        <f t="shared" si="18"/>
        <v>117.21921428571432</v>
      </c>
      <c r="E46" s="23">
        <f t="shared" si="19"/>
        <v>0.66178594697859894</v>
      </c>
      <c r="F46" s="24">
        <v>130.24357142857147</v>
      </c>
      <c r="G46" s="25">
        <f t="shared" si="20"/>
        <v>0.695607352280739</v>
      </c>
      <c r="H46" s="28">
        <f t="shared" si="23"/>
        <v>113.27195873015874</v>
      </c>
      <c r="I46" s="20"/>
      <c r="J46" s="18">
        <f t="shared" si="21"/>
        <v>7.0331528571428583</v>
      </c>
      <c r="K46" s="18">
        <f t="shared" si="22"/>
        <v>7.8146142857142884</v>
      </c>
    </row>
    <row r="47" spans="1:11" x14ac:dyDescent="0.25">
      <c r="A47" s="8" t="s">
        <v>217</v>
      </c>
      <c r="B47" s="9" t="s">
        <v>88</v>
      </c>
      <c r="C47" s="12">
        <f>'KO Spec.'!G44</f>
        <v>39.645185555555557</v>
      </c>
      <c r="D47" s="22">
        <f t="shared" si="18"/>
        <v>119.39850000000001</v>
      </c>
      <c r="E47" s="23">
        <f t="shared" si="19"/>
        <v>0.66795909868586667</v>
      </c>
      <c r="F47" s="24">
        <v>132.66500000000002</v>
      </c>
      <c r="G47" s="25">
        <f t="shared" si="20"/>
        <v>0.70116318881728001</v>
      </c>
      <c r="H47" s="28">
        <f t="shared" si="23"/>
        <v>113.27195873015874</v>
      </c>
      <c r="I47" s="20"/>
      <c r="J47" s="18">
        <f t="shared" si="21"/>
        <v>7.1639100000000004</v>
      </c>
      <c r="K47" s="18">
        <f t="shared" si="22"/>
        <v>7.9599000000000011</v>
      </c>
    </row>
    <row r="48" spans="1:11" ht="14.85" customHeight="1" x14ac:dyDescent="0.25">
      <c r="A48" s="8" t="s">
        <v>217</v>
      </c>
      <c r="B48" s="9" t="s">
        <v>68</v>
      </c>
      <c r="C48" s="12">
        <f>'KO Spec.'!G45</f>
        <v>54.032448333333335</v>
      </c>
      <c r="D48" s="22">
        <f t="shared" si="18"/>
        <v>137.28149999999999</v>
      </c>
      <c r="E48" s="23">
        <f t="shared" si="19"/>
        <v>0.60641129115479264</v>
      </c>
      <c r="F48" s="24">
        <v>152.535</v>
      </c>
      <c r="G48" s="25">
        <f t="shared" si="20"/>
        <v>0.64577016203931337</v>
      </c>
      <c r="H48" s="28">
        <f t="shared" si="23"/>
        <v>154.37842380952381</v>
      </c>
      <c r="I48" s="20"/>
      <c r="J48" s="18">
        <f t="shared" si="21"/>
        <v>8.2368899999999989</v>
      </c>
      <c r="K48" s="18">
        <f t="shared" si="22"/>
        <v>9.152099999999999</v>
      </c>
    </row>
    <row r="49" spans="1:11" x14ac:dyDescent="0.25">
      <c r="A49" s="8" t="s">
        <v>217</v>
      </c>
      <c r="B49" s="9" t="s">
        <v>56</v>
      </c>
      <c r="C49" s="12">
        <f>'KO Spec.'!G46</f>
        <v>61.364441666666671</v>
      </c>
      <c r="D49" s="22">
        <f t="shared" si="18"/>
        <v>145.93435714285715</v>
      </c>
      <c r="E49" s="23">
        <f t="shared" si="19"/>
        <v>0.57950654754592046</v>
      </c>
      <c r="F49" s="24">
        <v>162.14928571428572</v>
      </c>
      <c r="G49" s="25">
        <f t="shared" si="20"/>
        <v>0.62155589279132839</v>
      </c>
      <c r="H49" s="28">
        <f t="shared" si="23"/>
        <v>175.32697619047622</v>
      </c>
      <c r="I49" s="20"/>
      <c r="J49" s="18">
        <f t="shared" si="21"/>
        <v>8.756061428571428</v>
      </c>
      <c r="K49" s="18">
        <f t="shared" si="22"/>
        <v>9.7289571428571424</v>
      </c>
    </row>
    <row r="50" spans="1:11" x14ac:dyDescent="0.25">
      <c r="A50" s="8" t="s">
        <v>217</v>
      </c>
      <c r="B50" s="9" t="s">
        <v>89</v>
      </c>
      <c r="C50" s="12">
        <f>'KO Spec.'!G47</f>
        <v>72.127768333333336</v>
      </c>
      <c r="D50" s="22">
        <f t="shared" si="18"/>
        <v>174.06450000000001</v>
      </c>
      <c r="E50" s="23">
        <f t="shared" si="19"/>
        <v>0.58562619986652453</v>
      </c>
      <c r="F50" s="24">
        <v>193.405</v>
      </c>
      <c r="G50" s="25">
        <f t="shared" si="20"/>
        <v>0.62706357987987216</v>
      </c>
      <c r="H50" s="28">
        <f t="shared" si="23"/>
        <v>206.07933809523811</v>
      </c>
      <c r="I50" s="21"/>
      <c r="J50" s="18">
        <f t="shared" si="21"/>
        <v>10.44387</v>
      </c>
      <c r="K50" s="18">
        <f t="shared" si="22"/>
        <v>11.6043</v>
      </c>
    </row>
    <row r="67" ht="6" customHeight="1" x14ac:dyDescent="0.25"/>
  </sheetData>
  <mergeCells count="32">
    <mergeCell ref="A1:H1"/>
    <mergeCell ref="J1:K1"/>
    <mergeCell ref="A4:K4"/>
    <mergeCell ref="A5:A6"/>
    <mergeCell ref="B5:B6"/>
    <mergeCell ref="C5:C6"/>
    <mergeCell ref="E5:E6"/>
    <mergeCell ref="F5:F6"/>
    <mergeCell ref="G5:G6"/>
    <mergeCell ref="A15:K15"/>
    <mergeCell ref="A16:A17"/>
    <mergeCell ref="B16:B17"/>
    <mergeCell ref="C16:C17"/>
    <mergeCell ref="E16:E17"/>
    <mergeCell ref="F16:F17"/>
    <mergeCell ref="G16:G17"/>
    <mergeCell ref="A27:H27"/>
    <mergeCell ref="J27:K27"/>
    <mergeCell ref="A30:K30"/>
    <mergeCell ref="A31:A32"/>
    <mergeCell ref="B31:B32"/>
    <mergeCell ref="C31:C32"/>
    <mergeCell ref="E31:E32"/>
    <mergeCell ref="F31:F32"/>
    <mergeCell ref="G31:G32"/>
    <mergeCell ref="A41:K41"/>
    <mergeCell ref="A42:A43"/>
    <mergeCell ref="B42:B43"/>
    <mergeCell ref="C42:C43"/>
    <mergeCell ref="E42:E43"/>
    <mergeCell ref="F42:F43"/>
    <mergeCell ref="G42:G4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2709-00B0-4830-AD1A-89CF9EA20170}">
  <sheetPr codeName="Sheet12">
    <tabColor rgb="FF00B050"/>
  </sheetPr>
  <dimension ref="A1:W47"/>
  <sheetViews>
    <sheetView topLeftCell="E1" workbookViewId="0">
      <selection activeCell="O21" sqref="O21"/>
    </sheetView>
  </sheetViews>
  <sheetFormatPr defaultRowHeight="15" x14ac:dyDescent="0.25"/>
  <cols>
    <col min="1" max="1" width="9.5703125" bestFit="1" customWidth="1"/>
    <col min="4" max="4" width="13" bestFit="1" customWidth="1"/>
    <col min="6" max="6" width="11.85546875" bestFit="1" customWidth="1"/>
    <col min="8" max="8" width="11.85546875" bestFit="1" customWidth="1"/>
    <col min="9" max="9" width="2.42578125" customWidth="1"/>
    <col min="10" max="10" width="15" bestFit="1" customWidth="1"/>
    <col min="11" max="11" width="14.140625" bestFit="1" customWidth="1"/>
    <col min="13" max="13" width="9.5703125" bestFit="1" customWidth="1"/>
    <col min="16" max="16" width="13" bestFit="1" customWidth="1"/>
    <col min="18" max="18" width="11.85546875" bestFit="1" customWidth="1"/>
    <col min="20" max="20" width="11.85546875" bestFit="1" customWidth="1"/>
    <col min="21" max="21" width="2.85546875" customWidth="1"/>
    <col min="22" max="22" width="15" bestFit="1" customWidth="1"/>
    <col min="23" max="23" width="14.140625" bestFit="1" customWidth="1"/>
  </cols>
  <sheetData>
    <row r="1" spans="1:23" ht="18.75" x14ac:dyDescent="0.3">
      <c r="A1" s="299" t="s">
        <v>215</v>
      </c>
      <c r="B1" s="299"/>
      <c r="C1" s="299"/>
      <c r="D1" s="299"/>
      <c r="E1" s="299"/>
      <c r="F1" s="299"/>
      <c r="G1" s="299"/>
      <c r="H1" s="299"/>
      <c r="I1" s="29"/>
      <c r="J1" s="299" t="s">
        <v>31</v>
      </c>
      <c r="K1" s="299"/>
      <c r="M1" s="299" t="s">
        <v>215</v>
      </c>
      <c r="N1" s="299"/>
      <c r="O1" s="299"/>
      <c r="P1" s="299"/>
      <c r="Q1" s="299"/>
      <c r="R1" s="299"/>
      <c r="S1" s="299"/>
      <c r="T1" s="299"/>
      <c r="U1" s="29"/>
      <c r="V1" s="299" t="s">
        <v>31</v>
      </c>
      <c r="W1" s="299"/>
    </row>
    <row r="2" spans="1:23" ht="6" customHeight="1" x14ac:dyDescent="0.25">
      <c r="B2" s="1"/>
      <c r="C2" s="1"/>
      <c r="D2" s="2"/>
      <c r="E2" s="1"/>
    </row>
    <row r="3" spans="1:23" ht="6" customHeight="1" x14ac:dyDescent="0.25">
      <c r="B3" s="1"/>
      <c r="C3" s="1"/>
      <c r="D3" s="2"/>
      <c r="E3" s="1"/>
    </row>
    <row r="4" spans="1:23" x14ac:dyDescent="0.25">
      <c r="A4" s="290" t="s">
        <v>222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M4" s="290" t="s">
        <v>223</v>
      </c>
      <c r="N4" s="290"/>
      <c r="O4" s="290"/>
      <c r="P4" s="290"/>
      <c r="Q4" s="290"/>
      <c r="R4" s="290"/>
      <c r="S4" s="290"/>
      <c r="T4" s="290"/>
      <c r="U4" s="290"/>
      <c r="V4" s="290"/>
      <c r="W4" s="290"/>
    </row>
    <row r="5" spans="1:23" x14ac:dyDescent="0.25">
      <c r="A5" s="291" t="s">
        <v>198</v>
      </c>
      <c r="B5" s="293" t="s">
        <v>83</v>
      </c>
      <c r="C5" s="293" t="s">
        <v>8</v>
      </c>
      <c r="D5" s="13" t="s">
        <v>199</v>
      </c>
      <c r="E5" s="295" t="s">
        <v>39</v>
      </c>
      <c r="F5" s="295" t="s">
        <v>200</v>
      </c>
      <c r="G5" s="295" t="s">
        <v>39</v>
      </c>
      <c r="H5" s="4" t="s">
        <v>141</v>
      </c>
      <c r="I5" s="19"/>
      <c r="J5" s="4" t="s">
        <v>201</v>
      </c>
      <c r="K5" s="4" t="s">
        <v>202</v>
      </c>
      <c r="M5" s="291" t="s">
        <v>198</v>
      </c>
      <c r="N5" s="293" t="s">
        <v>83</v>
      </c>
      <c r="O5" s="293" t="s">
        <v>8</v>
      </c>
      <c r="P5" s="13" t="s">
        <v>199</v>
      </c>
      <c r="Q5" s="295" t="s">
        <v>39</v>
      </c>
      <c r="R5" s="295" t="s">
        <v>200</v>
      </c>
      <c r="S5" s="295" t="s">
        <v>39</v>
      </c>
      <c r="T5" s="4" t="s">
        <v>141</v>
      </c>
      <c r="U5" s="19"/>
      <c r="V5" s="4" t="s">
        <v>201</v>
      </c>
      <c r="W5" s="4" t="s">
        <v>202</v>
      </c>
    </row>
    <row r="6" spans="1:23" x14ac:dyDescent="0.25">
      <c r="A6" s="292"/>
      <c r="B6" s="294"/>
      <c r="C6" s="294"/>
      <c r="D6" s="14" t="s">
        <v>203</v>
      </c>
      <c r="E6" s="296"/>
      <c r="F6" s="296"/>
      <c r="G6" s="296"/>
      <c r="H6" s="27">
        <v>0.65</v>
      </c>
      <c r="I6" s="20"/>
      <c r="J6" s="17">
        <v>0.06</v>
      </c>
      <c r="K6" s="17">
        <v>0.06</v>
      </c>
      <c r="M6" s="292"/>
      <c r="N6" s="294"/>
      <c r="O6" s="294"/>
      <c r="P6" s="14" t="s">
        <v>203</v>
      </c>
      <c r="Q6" s="296"/>
      <c r="R6" s="296"/>
      <c r="S6" s="296"/>
      <c r="T6" s="27">
        <v>0.65</v>
      </c>
      <c r="U6" s="20"/>
      <c r="V6" s="17">
        <v>0.06</v>
      </c>
      <c r="W6" s="17">
        <v>0.06</v>
      </c>
    </row>
    <row r="7" spans="1:23" x14ac:dyDescent="0.25">
      <c r="A7" s="8" t="s">
        <v>113</v>
      </c>
      <c r="B7" s="9" t="s">
        <v>16</v>
      </c>
      <c r="C7" s="12">
        <f>'Solid Pine.'!G6</f>
        <v>41.021883888888887</v>
      </c>
      <c r="D7" s="22">
        <f t="shared" ref="D7:D10" si="0">F7-(F7*10%)</f>
        <v>108.08477999999999</v>
      </c>
      <c r="E7" s="23">
        <f t="shared" ref="E7:E10" si="1">(D7-C7)/D7</f>
        <v>0.62046567621371962</v>
      </c>
      <c r="F7" s="24">
        <v>120.0942</v>
      </c>
      <c r="G7" s="25">
        <f t="shared" ref="G7:G10" si="2">(F7-C7)/F7</f>
        <v>0.65841910859234765</v>
      </c>
      <c r="H7" s="28">
        <f t="shared" ref="H7:H10" si="3">C7/(1-$H$6)</f>
        <v>117.20538253968255</v>
      </c>
      <c r="I7" s="20"/>
      <c r="J7" s="18">
        <f t="shared" ref="J7:J10" si="4">(D7*$J$6)</f>
        <v>6.4850867999999995</v>
      </c>
      <c r="K7" s="18">
        <f t="shared" ref="K7:K10" si="5">(F7*$K$6)</f>
        <v>7.2056519999999997</v>
      </c>
      <c r="M7" s="8" t="s">
        <v>113</v>
      </c>
      <c r="N7" s="9" t="s">
        <v>16</v>
      </c>
      <c r="O7" s="12">
        <f>'Solid Pine.'!O6</f>
        <v>44.852283888888891</v>
      </c>
      <c r="P7" s="22">
        <f t="shared" ref="P7:P9" si="6">R7-(R7*10%)</f>
        <v>118.50742285714287</v>
      </c>
      <c r="Q7" s="23">
        <f t="shared" ref="Q7:Q9" si="7">(P7-O7)/P7</f>
        <v>0.62152342184542342</v>
      </c>
      <c r="R7" s="24">
        <v>131.67491428571429</v>
      </c>
      <c r="S7" s="25">
        <f t="shared" ref="S7:S9" si="8">(R7-O7)/R7</f>
        <v>0.65937107966088104</v>
      </c>
      <c r="T7" s="28">
        <f t="shared" ref="T7:T13" si="9">O7/(1-$T$6)</f>
        <v>128.14938253968256</v>
      </c>
      <c r="U7" s="20"/>
      <c r="V7" s="18">
        <f t="shared" ref="V7:V9" si="10">(P7*$J$6)</f>
        <v>7.1104453714285718</v>
      </c>
      <c r="W7" s="18">
        <f t="shared" ref="W7:W9" si="11">(R7*$K$6)</f>
        <v>7.9004948571428573</v>
      </c>
    </row>
    <row r="8" spans="1:23" x14ac:dyDescent="0.25">
      <c r="A8" s="8" t="s">
        <v>113</v>
      </c>
      <c r="B8" s="9" t="s">
        <v>70</v>
      </c>
      <c r="C8" s="12">
        <f>'Solid Pine.'!G7</f>
        <v>42.826837222222231</v>
      </c>
      <c r="D8" s="22">
        <f t="shared" si="0"/>
        <v>112.61134285714287</v>
      </c>
      <c r="E8" s="23">
        <f t="shared" si="1"/>
        <v>0.61969339734673312</v>
      </c>
      <c r="F8" s="24">
        <v>125.1237142857143</v>
      </c>
      <c r="G8" s="25">
        <f t="shared" si="2"/>
        <v>0.65772405761205988</v>
      </c>
      <c r="H8" s="28">
        <f t="shared" si="3"/>
        <v>122.36239206349209</v>
      </c>
      <c r="I8" s="20"/>
      <c r="J8" s="18">
        <f t="shared" si="4"/>
        <v>6.7566805714285723</v>
      </c>
      <c r="K8" s="18">
        <f t="shared" si="5"/>
        <v>7.5074228571428581</v>
      </c>
      <c r="M8" s="8" t="s">
        <v>113</v>
      </c>
      <c r="N8" s="9" t="s">
        <v>70</v>
      </c>
      <c r="O8" s="12">
        <f>'Solid Pine.'!O7</f>
        <v>46.657237222222221</v>
      </c>
      <c r="P8" s="22">
        <f t="shared" si="6"/>
        <v>123.03398571428573</v>
      </c>
      <c r="Q8" s="23">
        <f t="shared" si="7"/>
        <v>0.6207776497579176</v>
      </c>
      <c r="R8" s="24">
        <v>136.70442857142859</v>
      </c>
      <c r="S8" s="25">
        <f t="shared" si="8"/>
        <v>0.65869988478212593</v>
      </c>
      <c r="T8" s="28">
        <f t="shared" si="9"/>
        <v>133.30639206349207</v>
      </c>
      <c r="U8" s="20"/>
      <c r="V8" s="18">
        <f t="shared" si="10"/>
        <v>7.3820391428571437</v>
      </c>
      <c r="W8" s="18">
        <f t="shared" si="11"/>
        <v>8.2022657142857156</v>
      </c>
    </row>
    <row r="9" spans="1:23" x14ac:dyDescent="0.25">
      <c r="A9" s="8" t="s">
        <v>113</v>
      </c>
      <c r="B9" s="9" t="s">
        <v>87</v>
      </c>
      <c r="C9" s="12">
        <f>'Solid Pine.'!G8</f>
        <v>44.631790555555547</v>
      </c>
      <c r="D9" s="22">
        <f t="shared" si="0"/>
        <v>118.59076285714289</v>
      </c>
      <c r="E9" s="23">
        <f t="shared" si="1"/>
        <v>0.62364867650510014</v>
      </c>
      <c r="F9" s="24">
        <v>131.76751428571433</v>
      </c>
      <c r="G9" s="25">
        <f t="shared" si="2"/>
        <v>0.66128380885459015</v>
      </c>
      <c r="H9" s="28">
        <f t="shared" si="3"/>
        <v>127.51940158730157</v>
      </c>
      <c r="I9" s="20"/>
      <c r="J9" s="18">
        <f t="shared" si="4"/>
        <v>7.1154457714285728</v>
      </c>
      <c r="K9" s="18">
        <f t="shared" si="5"/>
        <v>7.9060508571428594</v>
      </c>
      <c r="M9" s="8" t="s">
        <v>113</v>
      </c>
      <c r="N9" s="9" t="s">
        <v>87</v>
      </c>
      <c r="O9" s="12">
        <f>'Solid Pine.'!O8</f>
        <v>48.462190555555559</v>
      </c>
      <c r="P9" s="22">
        <f t="shared" si="6"/>
        <v>129.01340571428574</v>
      </c>
      <c r="Q9" s="23">
        <f t="shared" si="7"/>
        <v>0.62436314050277553</v>
      </c>
      <c r="R9" s="24">
        <v>143.34822857142859</v>
      </c>
      <c r="S9" s="25">
        <f t="shared" si="8"/>
        <v>0.66192682645249801</v>
      </c>
      <c r="T9" s="28">
        <f t="shared" si="9"/>
        <v>138.4634015873016</v>
      </c>
      <c r="U9" s="20"/>
      <c r="V9" s="18">
        <f t="shared" si="10"/>
        <v>7.7408043428571442</v>
      </c>
      <c r="W9" s="18">
        <f t="shared" si="11"/>
        <v>8.600893714285716</v>
      </c>
    </row>
    <row r="10" spans="1:23" x14ac:dyDescent="0.25">
      <c r="A10" s="8" t="s">
        <v>113</v>
      </c>
      <c r="B10" s="9" t="s">
        <v>88</v>
      </c>
      <c r="C10" s="12">
        <f>'Solid Pine.'!G9</f>
        <v>46.436743888888898</v>
      </c>
      <c r="D10" s="22">
        <f t="shared" si="0"/>
        <v>125.29661142857142</v>
      </c>
      <c r="E10" s="23">
        <f t="shared" si="1"/>
        <v>0.62938547691402358</v>
      </c>
      <c r="F10" s="24">
        <v>139.21845714285715</v>
      </c>
      <c r="G10" s="25">
        <f t="shared" si="2"/>
        <v>0.66644692922262128</v>
      </c>
      <c r="H10" s="28">
        <f t="shared" si="3"/>
        <v>132.67641111111115</v>
      </c>
      <c r="I10" s="20"/>
      <c r="J10" s="18">
        <f t="shared" si="4"/>
        <v>7.5177966857142851</v>
      </c>
      <c r="K10" s="18">
        <f t="shared" si="5"/>
        <v>8.3531074285714286</v>
      </c>
      <c r="M10" s="8" t="s">
        <v>113</v>
      </c>
      <c r="N10" s="9" t="s">
        <v>88</v>
      </c>
      <c r="O10" s="12">
        <f>'Solid Pine.'!O9</f>
        <v>50.267143888888889</v>
      </c>
      <c r="P10" s="22">
        <f t="shared" ref="P10:P13" si="12">R10-(R10*10%)</f>
        <v>135.7192542857143</v>
      </c>
      <c r="Q10" s="23">
        <f>(P10-O10)/P10</f>
        <v>0.62962407837087597</v>
      </c>
      <c r="R10" s="24">
        <v>150.79917142857144</v>
      </c>
      <c r="S10" s="25">
        <f>(R10-O10)/R10</f>
        <v>0.66666167053378833</v>
      </c>
      <c r="T10" s="28">
        <f t="shared" si="9"/>
        <v>143.62041111111111</v>
      </c>
      <c r="U10" s="20"/>
      <c r="V10" s="18">
        <f>(P10*$J$6)</f>
        <v>8.1431552571428583</v>
      </c>
      <c r="W10" s="18">
        <f>(R10*$K$6)</f>
        <v>9.0479502857142862</v>
      </c>
    </row>
    <row r="11" spans="1:23" x14ac:dyDescent="0.25">
      <c r="A11" s="8" t="s">
        <v>113</v>
      </c>
      <c r="B11" s="9" t="s">
        <v>68</v>
      </c>
      <c r="C11" s="12">
        <f>'Solid Pine.'!G10</f>
        <v>56.926113333333333</v>
      </c>
      <c r="D11" s="22">
        <f t="shared" ref="D11:D13" si="13">F11-(F11*10%)</f>
        <v>137.98187999999999</v>
      </c>
      <c r="E11" s="23">
        <f t="shared" ref="E11:E13" si="14">(D11-C11)/D11</f>
        <v>0.58743776115144009</v>
      </c>
      <c r="F11" s="24">
        <v>153.31319999999999</v>
      </c>
      <c r="G11" s="25">
        <f t="shared" ref="G11:G13" si="15">(F11-C11)/F11</f>
        <v>0.62869398503629603</v>
      </c>
      <c r="H11" s="28">
        <f t="shared" ref="H11:H13" si="16">C11/(1-$H$6)</f>
        <v>162.64603809523811</v>
      </c>
      <c r="I11" s="20"/>
      <c r="J11" s="18">
        <f t="shared" ref="J11:J13" si="17">(D11*$J$6)</f>
        <v>8.2789127999999987</v>
      </c>
      <c r="K11" s="18">
        <f t="shared" ref="K11:K13" si="18">(F11*$K$6)</f>
        <v>9.1987919999999992</v>
      </c>
      <c r="M11" s="8" t="s">
        <v>113</v>
      </c>
      <c r="N11" s="9" t="s">
        <v>68</v>
      </c>
      <c r="O11" s="12">
        <f>'Solid Pine.'!O10</f>
        <v>61.888913333333335</v>
      </c>
      <c r="P11" s="22">
        <f t="shared" si="12"/>
        <v>148.40452285714287</v>
      </c>
      <c r="Q11" s="23">
        <f>(P11-O11)/P11</f>
        <v>0.58297151500625877</v>
      </c>
      <c r="R11" s="24">
        <v>164.89391428571429</v>
      </c>
      <c r="S11" s="25">
        <f>(R11-O11)/R11</f>
        <v>0.62467436350563288</v>
      </c>
      <c r="T11" s="28">
        <f t="shared" si="9"/>
        <v>176.82546666666667</v>
      </c>
      <c r="U11" s="20"/>
      <c r="V11" s="18">
        <f>(P11*$J$6)</f>
        <v>8.9042713714285711</v>
      </c>
      <c r="W11" s="18">
        <f>(R11*$K$6)</f>
        <v>9.8936348571428567</v>
      </c>
    </row>
    <row r="12" spans="1:23" x14ac:dyDescent="0.25">
      <c r="A12" s="8" t="s">
        <v>113</v>
      </c>
      <c r="B12" s="9" t="s">
        <v>56</v>
      </c>
      <c r="C12" s="12">
        <f>'Solid Pine.'!G11</f>
        <v>62.149350555555557</v>
      </c>
      <c r="D12" s="22">
        <f t="shared" si="13"/>
        <v>147.03500571428572</v>
      </c>
      <c r="E12" s="23">
        <f t="shared" si="14"/>
        <v>0.57731595783168521</v>
      </c>
      <c r="F12" s="24">
        <v>163.37222857142856</v>
      </c>
      <c r="G12" s="25">
        <f t="shared" si="15"/>
        <v>0.61958436204851663</v>
      </c>
      <c r="H12" s="28">
        <f t="shared" si="16"/>
        <v>177.56957301587303</v>
      </c>
      <c r="I12" s="20"/>
      <c r="J12" s="18">
        <f t="shared" si="17"/>
        <v>8.8221003428571425</v>
      </c>
      <c r="K12" s="18">
        <f t="shared" si="18"/>
        <v>9.8023337142857141</v>
      </c>
      <c r="M12" s="8" t="s">
        <v>113</v>
      </c>
      <c r="N12" s="9" t="s">
        <v>56</v>
      </c>
      <c r="O12" s="12">
        <f>'Solid Pine.'!O11</f>
        <v>67.112150555555559</v>
      </c>
      <c r="P12" s="22">
        <f t="shared" si="12"/>
        <v>157.45764857142856</v>
      </c>
      <c r="Q12" s="23">
        <f>(P12-O12)/P12</f>
        <v>0.57377649695364896</v>
      </c>
      <c r="R12" s="24">
        <v>174.95294285714286</v>
      </c>
      <c r="S12" s="25">
        <f>(R12-O12)/R12</f>
        <v>0.61639884725828409</v>
      </c>
      <c r="T12" s="28">
        <f t="shared" si="9"/>
        <v>191.74900158730162</v>
      </c>
      <c r="U12" s="20"/>
      <c r="V12" s="18">
        <f>(P12*$J$6)</f>
        <v>9.447458914285713</v>
      </c>
      <c r="W12" s="18">
        <f>(R12*$K$6)</f>
        <v>10.497176571428572</v>
      </c>
    </row>
    <row r="13" spans="1:23" x14ac:dyDescent="0.25">
      <c r="A13" s="8" t="s">
        <v>113</v>
      </c>
      <c r="B13" s="9" t="s">
        <v>89</v>
      </c>
      <c r="C13" s="12">
        <f>'Solid Pine.'!G12</f>
        <v>71.305160555555574</v>
      </c>
      <c r="D13" s="22">
        <f t="shared" si="13"/>
        <v>176.03768571428574</v>
      </c>
      <c r="E13" s="23">
        <f t="shared" si="14"/>
        <v>0.59494377430474799</v>
      </c>
      <c r="F13" s="24">
        <v>195.59742857142859</v>
      </c>
      <c r="G13" s="25">
        <f t="shared" si="15"/>
        <v>0.63544939687427315</v>
      </c>
      <c r="H13" s="28">
        <f t="shared" si="16"/>
        <v>203.72903015873021</v>
      </c>
      <c r="I13" s="20"/>
      <c r="J13" s="18">
        <f t="shared" si="17"/>
        <v>10.562261142857144</v>
      </c>
      <c r="K13" s="18">
        <f t="shared" si="18"/>
        <v>11.735845714285714</v>
      </c>
      <c r="M13" s="8" t="s">
        <v>113</v>
      </c>
      <c r="N13" s="9" t="s">
        <v>89</v>
      </c>
      <c r="O13" s="12">
        <f>'Solid Pine.'!O12</f>
        <v>76.267960555555561</v>
      </c>
      <c r="P13" s="22">
        <f t="shared" si="12"/>
        <v>186.46032857142856</v>
      </c>
      <c r="Q13" s="23">
        <f>(P13-O13)/P13</f>
        <v>0.59096950466683806</v>
      </c>
      <c r="R13" s="24">
        <v>207.17814285714286</v>
      </c>
      <c r="S13" s="25">
        <f>(R13-O13)/R13</f>
        <v>0.6318725542001542</v>
      </c>
      <c r="T13" s="28">
        <f t="shared" si="9"/>
        <v>217.90845873015877</v>
      </c>
      <c r="U13" s="21"/>
      <c r="V13" s="18">
        <f>(P13*$J$6)</f>
        <v>11.187619714285713</v>
      </c>
      <c r="W13" s="18">
        <f>(R13*$K$6)</f>
        <v>12.430688571428572</v>
      </c>
    </row>
    <row r="14" spans="1:23" x14ac:dyDescent="0.25">
      <c r="N14" s="1"/>
      <c r="O14" s="1"/>
      <c r="P14" s="2"/>
      <c r="Q14" s="1"/>
    </row>
    <row r="15" spans="1:23" x14ac:dyDescent="0.25">
      <c r="A15" s="157" t="s">
        <v>224</v>
      </c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M15" s="162" t="s">
        <v>225</v>
      </c>
      <c r="N15" s="163"/>
      <c r="O15" s="163"/>
      <c r="P15" s="163"/>
      <c r="Q15" s="163"/>
      <c r="R15" s="163"/>
      <c r="S15" s="163"/>
      <c r="T15" s="163"/>
      <c r="U15" s="163"/>
      <c r="V15" s="163"/>
      <c r="W15" s="164"/>
    </row>
    <row r="16" spans="1:23" x14ac:dyDescent="0.25">
      <c r="A16" s="158" t="s">
        <v>198</v>
      </c>
      <c r="B16" s="160" t="s">
        <v>83</v>
      </c>
      <c r="C16" s="160" t="s">
        <v>8</v>
      </c>
      <c r="D16" s="13" t="s">
        <v>199</v>
      </c>
      <c r="E16" s="13" t="s">
        <v>39</v>
      </c>
      <c r="F16" s="13" t="s">
        <v>200</v>
      </c>
      <c r="G16" s="13" t="s">
        <v>39</v>
      </c>
      <c r="H16" s="4" t="s">
        <v>141</v>
      </c>
      <c r="I16" s="19"/>
      <c r="J16" s="4" t="s">
        <v>201</v>
      </c>
      <c r="K16" s="4" t="s">
        <v>202</v>
      </c>
      <c r="M16" s="158" t="s">
        <v>198</v>
      </c>
      <c r="N16" s="160" t="s">
        <v>83</v>
      </c>
      <c r="O16" s="160" t="s">
        <v>8</v>
      </c>
      <c r="P16" s="13" t="s">
        <v>199</v>
      </c>
      <c r="Q16" s="13" t="s">
        <v>39</v>
      </c>
      <c r="R16" s="13" t="s">
        <v>200</v>
      </c>
      <c r="S16" s="13" t="s">
        <v>39</v>
      </c>
      <c r="T16" s="4" t="s">
        <v>141</v>
      </c>
      <c r="U16" s="19"/>
      <c r="V16" s="4" t="s">
        <v>201</v>
      </c>
      <c r="W16" s="4" t="s">
        <v>202</v>
      </c>
    </row>
    <row r="17" spans="1:23" x14ac:dyDescent="0.25">
      <c r="A17" s="159"/>
      <c r="B17" s="161"/>
      <c r="C17" s="161"/>
      <c r="D17" s="14" t="s">
        <v>203</v>
      </c>
      <c r="E17" s="14"/>
      <c r="F17" s="14"/>
      <c r="G17" s="14"/>
      <c r="H17" s="27">
        <v>0.65</v>
      </c>
      <c r="I17" s="20"/>
      <c r="J17" s="17">
        <v>0.06</v>
      </c>
      <c r="K17" s="17">
        <v>0.06</v>
      </c>
      <c r="M17" s="159"/>
      <c r="N17" s="161"/>
      <c r="O17" s="161"/>
      <c r="P17" s="14" t="s">
        <v>203</v>
      </c>
      <c r="Q17" s="14"/>
      <c r="R17" s="14"/>
      <c r="S17" s="14"/>
      <c r="T17" s="27">
        <v>0.65</v>
      </c>
      <c r="U17" s="20"/>
      <c r="V17" s="17">
        <v>0.06</v>
      </c>
      <c r="W17" s="17">
        <v>0.06</v>
      </c>
    </row>
    <row r="18" spans="1:23" x14ac:dyDescent="0.25">
      <c r="A18" s="8" t="s">
        <v>113</v>
      </c>
      <c r="B18" s="9" t="s">
        <v>16</v>
      </c>
      <c r="C18" s="12">
        <f>'Solid Pine.'!G17</f>
        <v>42.842163888888891</v>
      </c>
      <c r="D18" s="22">
        <f t="shared" ref="D18:D21" si="19">F18-(F18*10%)</f>
        <v>123.67805142857145</v>
      </c>
      <c r="E18" s="23">
        <f t="shared" ref="E18:E21" si="20">(D18-C18)/D18</f>
        <v>0.65359929757923307</v>
      </c>
      <c r="F18" s="24">
        <v>137.42005714285716</v>
      </c>
      <c r="G18" s="25">
        <f t="shared" ref="G18:G21" si="21">(F18-C18)/F18</f>
        <v>0.68823936782130968</v>
      </c>
      <c r="H18" s="28">
        <f>C18/(1-$H$17)</f>
        <v>122.40618253968255</v>
      </c>
      <c r="I18" s="20"/>
      <c r="J18" s="18">
        <f t="shared" ref="J18:J21" si="22">(D18*$J$6)</f>
        <v>7.4206830857142867</v>
      </c>
      <c r="K18" s="18">
        <f t="shared" ref="K18:K21" si="23">(F18*$K$6)</f>
        <v>8.2452034285714291</v>
      </c>
      <c r="M18" s="8" t="s">
        <v>113</v>
      </c>
      <c r="N18" s="9" t="s">
        <v>16</v>
      </c>
      <c r="O18" s="12">
        <f>'Solid Pine.'!O17</f>
        <v>46.672563888888895</v>
      </c>
      <c r="P18" s="22">
        <f t="shared" ref="P18:P20" si="24">R18-(R18*10%)</f>
        <v>134.10069428571427</v>
      </c>
      <c r="Q18" s="23">
        <f t="shared" ref="Q18:Q20" si="25">(P18-O18)/P18</f>
        <v>0.65195881991894411</v>
      </c>
      <c r="R18" s="24">
        <v>149.00077142857143</v>
      </c>
      <c r="S18" s="25">
        <f t="shared" ref="S18:S20" si="26">(R18-O18)/R18</f>
        <v>0.68676293792704979</v>
      </c>
      <c r="T18" s="28">
        <f t="shared" ref="T18:T24" si="27">O18/(1-$T$17)</f>
        <v>133.35018253968258</v>
      </c>
      <c r="U18" s="20"/>
      <c r="V18" s="18">
        <f t="shared" ref="V18:V20" si="28">(P18*$J$6)</f>
        <v>8.0460416571428564</v>
      </c>
      <c r="W18" s="18">
        <f t="shared" ref="W18:W20" si="29">(R18*$K$6)</f>
        <v>8.9400462857142848</v>
      </c>
    </row>
    <row r="19" spans="1:23" x14ac:dyDescent="0.25">
      <c r="A19" s="8" t="s">
        <v>113</v>
      </c>
      <c r="B19" s="9" t="s">
        <v>70</v>
      </c>
      <c r="C19" s="12">
        <f>'Solid Pine.'!G18</f>
        <v>44.849370555555559</v>
      </c>
      <c r="D19" s="22">
        <f t="shared" si="19"/>
        <v>128.72648571428573</v>
      </c>
      <c r="E19" s="23">
        <f t="shared" si="20"/>
        <v>0.65159174270397802</v>
      </c>
      <c r="F19" s="24">
        <v>143.02942857142858</v>
      </c>
      <c r="G19" s="25">
        <f t="shared" si="21"/>
        <v>0.68643256843358014</v>
      </c>
      <c r="H19" s="28">
        <f t="shared" ref="H19:H24" si="30">C19/(1-$H$17)</f>
        <v>128.14105873015876</v>
      </c>
      <c r="I19" s="20"/>
      <c r="J19" s="18">
        <f t="shared" si="22"/>
        <v>7.7235891428571435</v>
      </c>
      <c r="K19" s="18">
        <f t="shared" si="23"/>
        <v>8.581765714285714</v>
      </c>
      <c r="M19" s="8" t="s">
        <v>113</v>
      </c>
      <c r="N19" s="9" t="s">
        <v>70</v>
      </c>
      <c r="O19" s="12">
        <f>'Solid Pine.'!O18</f>
        <v>48.679770555555557</v>
      </c>
      <c r="P19" s="22">
        <f t="shared" si="24"/>
        <v>139.14912857142861</v>
      </c>
      <c r="Q19" s="23">
        <f t="shared" si="25"/>
        <v>0.65016115404152841</v>
      </c>
      <c r="R19" s="24">
        <v>154.6101428571429</v>
      </c>
      <c r="S19" s="25">
        <f t="shared" si="26"/>
        <v>0.68514503863737564</v>
      </c>
      <c r="T19" s="28">
        <f t="shared" si="27"/>
        <v>139.08505873015875</v>
      </c>
      <c r="U19" s="20"/>
      <c r="V19" s="18">
        <f t="shared" si="28"/>
        <v>8.3489477142857158</v>
      </c>
      <c r="W19" s="18">
        <f t="shared" si="29"/>
        <v>9.2766085714285733</v>
      </c>
    </row>
    <row r="20" spans="1:23" x14ac:dyDescent="0.25">
      <c r="A20" s="8" t="s">
        <v>113</v>
      </c>
      <c r="B20" s="9" t="s">
        <v>87</v>
      </c>
      <c r="C20" s="12">
        <f>'Solid Pine.'!G19</f>
        <v>46.856577222222221</v>
      </c>
      <c r="D20" s="22">
        <f t="shared" si="19"/>
        <v>135.22777714285715</v>
      </c>
      <c r="E20" s="23">
        <f t="shared" si="20"/>
        <v>0.65349887270037677</v>
      </c>
      <c r="F20" s="24">
        <v>150.25308571428573</v>
      </c>
      <c r="G20" s="25">
        <f t="shared" si="21"/>
        <v>0.68814898543033909</v>
      </c>
      <c r="H20" s="28">
        <f t="shared" si="30"/>
        <v>133.87593492063493</v>
      </c>
      <c r="I20" s="20"/>
      <c r="J20" s="18">
        <f t="shared" si="22"/>
        <v>8.1136666285714281</v>
      </c>
      <c r="K20" s="18">
        <f t="shared" si="23"/>
        <v>9.0151851428571437</v>
      </c>
      <c r="M20" s="8" t="s">
        <v>113</v>
      </c>
      <c r="N20" s="9" t="s">
        <v>87</v>
      </c>
      <c r="O20" s="12">
        <f>'Solid Pine.'!O19</f>
        <v>50.686977222222218</v>
      </c>
      <c r="P20" s="22">
        <f t="shared" si="24"/>
        <v>145.65042000000003</v>
      </c>
      <c r="Q20" s="23">
        <f t="shared" si="25"/>
        <v>0.65199566728182301</v>
      </c>
      <c r="R20" s="24">
        <v>161.83380000000002</v>
      </c>
      <c r="S20" s="25">
        <f t="shared" si="26"/>
        <v>0.68679610055364071</v>
      </c>
      <c r="T20" s="28">
        <f t="shared" si="27"/>
        <v>144.81993492063492</v>
      </c>
      <c r="U20" s="20"/>
      <c r="V20" s="18">
        <f t="shared" si="28"/>
        <v>8.7390252000000004</v>
      </c>
      <c r="W20" s="18">
        <f t="shared" si="29"/>
        <v>9.7100280000000012</v>
      </c>
    </row>
    <row r="21" spans="1:23" x14ac:dyDescent="0.25">
      <c r="A21" s="8" t="s">
        <v>113</v>
      </c>
      <c r="B21" s="9" t="s">
        <v>88</v>
      </c>
      <c r="C21" s="12">
        <f>'Solid Pine.'!G20</f>
        <v>48.863783888888882</v>
      </c>
      <c r="D21" s="22">
        <f t="shared" si="19"/>
        <v>142.45549714285715</v>
      </c>
      <c r="E21" s="23">
        <f t="shared" si="20"/>
        <v>0.65698913085897037</v>
      </c>
      <c r="F21" s="24">
        <v>158.28388571428573</v>
      </c>
      <c r="G21" s="25">
        <f t="shared" si="21"/>
        <v>0.69129021777307342</v>
      </c>
      <c r="H21" s="28">
        <f t="shared" si="30"/>
        <v>139.6108111111111</v>
      </c>
      <c r="I21" s="20"/>
      <c r="J21" s="18">
        <f t="shared" si="22"/>
        <v>8.5473298285714296</v>
      </c>
      <c r="K21" s="18">
        <f t="shared" si="23"/>
        <v>9.4970331428571431</v>
      </c>
      <c r="M21" s="8" t="s">
        <v>113</v>
      </c>
      <c r="N21" s="9" t="s">
        <v>88</v>
      </c>
      <c r="O21" s="12">
        <f>'Solid Pine.'!O20</f>
        <v>52.694183888888894</v>
      </c>
      <c r="P21" s="22">
        <f t="shared" ref="P21:P24" si="31">R21-(R21*10%)</f>
        <v>152.87814000000003</v>
      </c>
      <c r="Q21" s="23">
        <f t="shared" ref="Q21:Q24" si="32">(P21-O21)/P21</f>
        <v>0.65531904110758488</v>
      </c>
      <c r="R21" s="24">
        <v>169.86460000000002</v>
      </c>
      <c r="S21" s="25">
        <f t="shared" ref="S21:S24" si="33">(R21-O21)/R21</f>
        <v>0.68978713699682637</v>
      </c>
      <c r="T21" s="28">
        <f t="shared" si="27"/>
        <v>150.55481111111112</v>
      </c>
      <c r="U21" s="20"/>
      <c r="V21" s="18">
        <f t="shared" ref="V21:V24" si="34">(P21*$J$6)</f>
        <v>9.172688400000002</v>
      </c>
      <c r="W21" s="18">
        <f t="shared" ref="W21:W24" si="35">(R21*$K$6)</f>
        <v>10.191876000000001</v>
      </c>
    </row>
    <row r="22" spans="1:23" x14ac:dyDescent="0.25">
      <c r="A22" s="8" t="s">
        <v>113</v>
      </c>
      <c r="B22" s="9" t="s">
        <v>68</v>
      </c>
      <c r="C22" s="12">
        <f>'Solid Pine.'!G21</f>
        <v>59.757660000000001</v>
      </c>
      <c r="D22" s="22">
        <f t="shared" ref="D22:D24" si="36">F22-(F22*10%)</f>
        <v>152.55236571428571</v>
      </c>
      <c r="E22" s="23">
        <f t="shared" ref="E22:E24" si="37">(D22-C22)/D22</f>
        <v>0.60828100095202908</v>
      </c>
      <c r="F22" s="24">
        <v>169.50262857142857</v>
      </c>
      <c r="G22" s="25">
        <f t="shared" ref="G22:G24" si="38">(F22-C22)/F22</f>
        <v>0.64745290085682616</v>
      </c>
      <c r="H22" s="28">
        <f t="shared" si="30"/>
        <v>170.73617142857145</v>
      </c>
      <c r="I22" s="20"/>
      <c r="J22" s="18">
        <f t="shared" ref="J22:J24" si="39">(D22*$J$6)</f>
        <v>9.1531419428571432</v>
      </c>
      <c r="K22" s="18">
        <f t="shared" ref="K22:K24" si="40">(F22*$K$6)</f>
        <v>10.170157714285715</v>
      </c>
      <c r="M22" s="8" t="s">
        <v>113</v>
      </c>
      <c r="N22" s="9" t="s">
        <v>68</v>
      </c>
      <c r="O22" s="12">
        <f>'Solid Pine.'!O21</f>
        <v>64.720460000000003</v>
      </c>
      <c r="P22" s="22">
        <f t="shared" si="31"/>
        <v>162.97500857142859</v>
      </c>
      <c r="Q22" s="23">
        <f t="shared" si="32"/>
        <v>0.60288107626247278</v>
      </c>
      <c r="R22" s="24">
        <v>181.08334285714287</v>
      </c>
      <c r="S22" s="25">
        <f t="shared" si="33"/>
        <v>0.64259296863622539</v>
      </c>
      <c r="T22" s="28">
        <f t="shared" si="27"/>
        <v>184.91560000000001</v>
      </c>
      <c r="U22" s="20"/>
      <c r="V22" s="18">
        <f t="shared" si="34"/>
        <v>9.7785005142857155</v>
      </c>
      <c r="W22" s="18">
        <f t="shared" si="35"/>
        <v>10.865000571428572</v>
      </c>
    </row>
    <row r="23" spans="1:23" x14ac:dyDescent="0.25">
      <c r="A23" s="8" t="s">
        <v>113</v>
      </c>
      <c r="B23" s="9" t="s">
        <v>56</v>
      </c>
      <c r="C23" s="12">
        <f>'Solid Pine.'!G22</f>
        <v>65.385403888888888</v>
      </c>
      <c r="D23" s="22">
        <f t="shared" si="36"/>
        <v>166.28137714285714</v>
      </c>
      <c r="E23" s="23">
        <f t="shared" si="37"/>
        <v>0.6067785520400496</v>
      </c>
      <c r="F23" s="24">
        <v>184.75708571428569</v>
      </c>
      <c r="G23" s="25">
        <f t="shared" si="38"/>
        <v>0.64610069683604454</v>
      </c>
      <c r="H23" s="28">
        <f t="shared" si="30"/>
        <v>186.8154396825397</v>
      </c>
      <c r="I23" s="20"/>
      <c r="J23" s="18">
        <f t="shared" si="39"/>
        <v>9.9768826285714276</v>
      </c>
      <c r="K23" s="18">
        <f t="shared" si="40"/>
        <v>11.085425142857142</v>
      </c>
      <c r="M23" s="8" t="s">
        <v>113</v>
      </c>
      <c r="N23" s="9" t="s">
        <v>56</v>
      </c>
      <c r="O23" s="12">
        <f>'Solid Pine.'!O22</f>
        <v>70.348203888888889</v>
      </c>
      <c r="P23" s="22">
        <f t="shared" si="31"/>
        <v>176.70401999999999</v>
      </c>
      <c r="Q23" s="23">
        <f t="shared" si="32"/>
        <v>0.60188679414939794</v>
      </c>
      <c r="R23" s="24">
        <v>196.33779999999999</v>
      </c>
      <c r="S23" s="25">
        <f t="shared" si="33"/>
        <v>0.64169811473445815</v>
      </c>
      <c r="T23" s="28">
        <f t="shared" si="27"/>
        <v>200.99486825396826</v>
      </c>
      <c r="U23" s="20"/>
      <c r="V23" s="18">
        <f t="shared" si="34"/>
        <v>10.602241199999998</v>
      </c>
      <c r="W23" s="18">
        <f t="shared" si="35"/>
        <v>11.780268</v>
      </c>
    </row>
    <row r="24" spans="1:23" x14ac:dyDescent="0.25">
      <c r="A24" s="8" t="s">
        <v>113</v>
      </c>
      <c r="B24" s="9" t="s">
        <v>89</v>
      </c>
      <c r="C24" s="12">
        <f>'Solid Pine.'!G23</f>
        <v>75.35022722222223</v>
      </c>
      <c r="D24" s="22">
        <f t="shared" si="36"/>
        <v>201.00368571428575</v>
      </c>
      <c r="E24" s="23">
        <f t="shared" si="37"/>
        <v>0.62513012159723336</v>
      </c>
      <c r="F24" s="24">
        <v>223.3374285714286</v>
      </c>
      <c r="G24" s="25">
        <f t="shared" si="38"/>
        <v>0.66261710943750995</v>
      </c>
      <c r="H24" s="28">
        <f t="shared" si="30"/>
        <v>215.28636349206351</v>
      </c>
      <c r="I24" s="20"/>
      <c r="J24" s="18">
        <f t="shared" si="39"/>
        <v>12.060221142857145</v>
      </c>
      <c r="K24" s="18">
        <f t="shared" si="40"/>
        <v>13.400245714285715</v>
      </c>
      <c r="M24" s="8" t="s">
        <v>113</v>
      </c>
      <c r="N24" s="9" t="s">
        <v>89</v>
      </c>
      <c r="O24" s="12">
        <f>'Solid Pine.'!O23</f>
        <v>80.313027222222232</v>
      </c>
      <c r="P24" s="22">
        <f t="shared" si="31"/>
        <v>211.42632857142857</v>
      </c>
      <c r="Q24" s="23">
        <f t="shared" si="32"/>
        <v>0.62013705783530559</v>
      </c>
      <c r="R24" s="24">
        <v>234.91814285714287</v>
      </c>
      <c r="S24" s="25">
        <f t="shared" si="33"/>
        <v>0.65812335205177519</v>
      </c>
      <c r="T24" s="28">
        <f t="shared" si="27"/>
        <v>229.4657920634921</v>
      </c>
      <c r="U24" s="21"/>
      <c r="V24" s="18">
        <f t="shared" si="34"/>
        <v>12.685579714285714</v>
      </c>
      <c r="W24" s="18">
        <f t="shared" si="35"/>
        <v>14.095088571428571</v>
      </c>
    </row>
    <row r="27" spans="1:23" x14ac:dyDescent="0.25">
      <c r="M27" s="162" t="s">
        <v>226</v>
      </c>
      <c r="N27" s="163"/>
      <c r="O27" s="163"/>
      <c r="P27" s="163"/>
      <c r="Q27" s="163"/>
      <c r="R27" s="163"/>
      <c r="S27" s="163"/>
      <c r="T27" s="163"/>
      <c r="U27" s="163"/>
      <c r="V27" s="163"/>
      <c r="W27" s="164"/>
    </row>
    <row r="28" spans="1:23" x14ac:dyDescent="0.25">
      <c r="M28" s="158" t="s">
        <v>198</v>
      </c>
      <c r="N28" s="160" t="s">
        <v>83</v>
      </c>
      <c r="O28" s="160" t="s">
        <v>8</v>
      </c>
      <c r="P28" s="13" t="s">
        <v>199</v>
      </c>
      <c r="Q28" s="13" t="s">
        <v>39</v>
      </c>
      <c r="R28" s="13" t="s">
        <v>200</v>
      </c>
      <c r="S28" s="13" t="s">
        <v>39</v>
      </c>
      <c r="T28" s="4" t="s">
        <v>141</v>
      </c>
      <c r="U28" s="19"/>
      <c r="V28" s="4" t="s">
        <v>201</v>
      </c>
      <c r="W28" s="4" t="s">
        <v>202</v>
      </c>
    </row>
    <row r="29" spans="1:23" x14ac:dyDescent="0.25">
      <c r="M29" s="159"/>
      <c r="N29" s="161"/>
      <c r="O29" s="161"/>
      <c r="P29" s="14" t="s">
        <v>203</v>
      </c>
      <c r="Q29" s="14"/>
      <c r="R29" s="14"/>
      <c r="S29" s="14"/>
      <c r="T29" s="27">
        <v>0.65</v>
      </c>
      <c r="U29" s="20"/>
      <c r="V29" s="17">
        <v>0.06</v>
      </c>
      <c r="W29" s="17">
        <v>0.06</v>
      </c>
    </row>
    <row r="30" spans="1:23" x14ac:dyDescent="0.25">
      <c r="M30" s="8" t="s">
        <v>113</v>
      </c>
      <c r="N30" s="9" t="s">
        <v>16</v>
      </c>
      <c r="O30" s="12">
        <f>'Solid Pine.'!O28</f>
        <v>47.596563888888888</v>
      </c>
      <c r="P30" s="22">
        <f t="shared" ref="P30:P32" si="41">R30-(R30*10%)</f>
        <v>125.31211714285715</v>
      </c>
      <c r="Q30" s="23">
        <f t="shared" ref="Q30:Q32" si="42">(P30-O30)/P30</f>
        <v>0.62017588582731953</v>
      </c>
      <c r="R30" s="24">
        <v>139.23568571428572</v>
      </c>
      <c r="S30" s="25">
        <f t="shared" ref="S30:S32" si="43">(R30-O30)/R30</f>
        <v>0.65815829724458763</v>
      </c>
      <c r="T30" s="28">
        <f t="shared" ref="T30:T36" si="44">O30/(1-$T$29)</f>
        <v>135.99018253968254</v>
      </c>
      <c r="U30" s="20"/>
      <c r="V30" s="18">
        <f t="shared" ref="V30:V32" si="45">(P30*$J$6)</f>
        <v>7.5187270285714289</v>
      </c>
      <c r="W30" s="18">
        <f t="shared" ref="W30:W32" si="46">(R30*$K$6)</f>
        <v>8.3541411428571433</v>
      </c>
    </row>
    <row r="31" spans="1:23" x14ac:dyDescent="0.25">
      <c r="M31" s="8" t="s">
        <v>113</v>
      </c>
      <c r="N31" s="9" t="s">
        <v>70</v>
      </c>
      <c r="O31" s="12">
        <f>'Solid Pine.'!O29</f>
        <v>49.706437222222227</v>
      </c>
      <c r="P31" s="22">
        <f t="shared" si="41"/>
        <v>130.59475714285713</v>
      </c>
      <c r="Q31" s="23">
        <f t="shared" si="42"/>
        <v>0.61938412912052399</v>
      </c>
      <c r="R31" s="24">
        <v>145.10528571428571</v>
      </c>
      <c r="S31" s="25">
        <f t="shared" si="43"/>
        <v>0.65744571620847159</v>
      </c>
      <c r="T31" s="28">
        <f t="shared" si="44"/>
        <v>142.01839206349209</v>
      </c>
      <c r="U31" s="20"/>
      <c r="V31" s="18">
        <f t="shared" si="45"/>
        <v>7.8356854285714279</v>
      </c>
      <c r="W31" s="18">
        <f t="shared" si="46"/>
        <v>8.7063171428571433</v>
      </c>
    </row>
    <row r="32" spans="1:23" x14ac:dyDescent="0.25">
      <c r="M32" s="8" t="s">
        <v>113</v>
      </c>
      <c r="N32" s="9" t="s">
        <v>87</v>
      </c>
      <c r="O32" s="12">
        <f>'Solid Pine.'!O30</f>
        <v>51.816310555555553</v>
      </c>
      <c r="P32" s="22">
        <f t="shared" si="41"/>
        <v>137.33025428571429</v>
      </c>
      <c r="Q32" s="23">
        <f t="shared" si="42"/>
        <v>0.62268830837702949</v>
      </c>
      <c r="R32" s="24">
        <v>152.58917142857143</v>
      </c>
      <c r="S32" s="25">
        <f t="shared" si="43"/>
        <v>0.6604194775393265</v>
      </c>
      <c r="T32" s="28">
        <f t="shared" si="44"/>
        <v>148.04660158730158</v>
      </c>
      <c r="U32" s="20"/>
      <c r="V32" s="18">
        <f t="shared" si="45"/>
        <v>8.2398152571428565</v>
      </c>
      <c r="W32" s="18">
        <f t="shared" si="46"/>
        <v>9.1553502857142863</v>
      </c>
    </row>
    <row r="33" spans="13:23" x14ac:dyDescent="0.25">
      <c r="M33" s="8" t="s">
        <v>113</v>
      </c>
      <c r="N33" s="9" t="s">
        <v>88</v>
      </c>
      <c r="O33" s="12">
        <f>'Solid Pine.'!O31</f>
        <v>53.926183888888893</v>
      </c>
      <c r="P33" s="22">
        <f t="shared" ref="P33:P36" si="47">R33-(R33*10%)</f>
        <v>144.79218</v>
      </c>
      <c r="Q33" s="23">
        <f>(P33-O33)/P33</f>
        <v>0.6275614892400343</v>
      </c>
      <c r="R33" s="24">
        <v>160.8802</v>
      </c>
      <c r="S33" s="25">
        <f>(R33-O33)/R33</f>
        <v>0.66480534031603089</v>
      </c>
      <c r="T33" s="28">
        <f t="shared" si="44"/>
        <v>154.07481111111113</v>
      </c>
      <c r="U33" s="20"/>
      <c r="V33" s="18">
        <f>(P33*$J$6)</f>
        <v>8.6875307999999993</v>
      </c>
      <c r="W33" s="18">
        <f>(R33*$K$6)</f>
        <v>9.6528119999999991</v>
      </c>
    </row>
    <row r="34" spans="13:23" x14ac:dyDescent="0.25">
      <c r="M34" s="8" t="s">
        <v>113</v>
      </c>
      <c r="N34" s="9" t="s">
        <v>68</v>
      </c>
      <c r="O34" s="12">
        <f>'Solid Pine.'!O32</f>
        <v>66.157793333333331</v>
      </c>
      <c r="P34" s="22">
        <f t="shared" si="47"/>
        <v>158.98960285714287</v>
      </c>
      <c r="Q34" s="23">
        <f>(P34-O34)/P34</f>
        <v>0.58388603943631345</v>
      </c>
      <c r="R34" s="24">
        <v>176.65511428571429</v>
      </c>
      <c r="S34" s="25">
        <f>(R34-O34)/R34</f>
        <v>0.62549743549268211</v>
      </c>
      <c r="T34" s="28">
        <f t="shared" si="44"/>
        <v>189.02226666666667</v>
      </c>
      <c r="U34" s="20"/>
      <c r="V34" s="18">
        <f>(P34*$J$6)</f>
        <v>9.5393761714285716</v>
      </c>
      <c r="W34" s="18">
        <f>(R34*$K$6)</f>
        <v>10.599306857142857</v>
      </c>
    </row>
    <row r="35" spans="13:23" x14ac:dyDescent="0.25">
      <c r="M35" s="8" t="s">
        <v>113</v>
      </c>
      <c r="N35" s="9" t="s">
        <v>56</v>
      </c>
      <c r="O35" s="12">
        <f>'Solid Pine.'!O33</f>
        <v>71.99087055555556</v>
      </c>
      <c r="P35" s="22">
        <f t="shared" si="47"/>
        <v>169.55488285714284</v>
      </c>
      <c r="Q35" s="23">
        <f>(P35-O35)/P35</f>
        <v>0.57541257826109959</v>
      </c>
      <c r="R35" s="24">
        <v>188.39431428571427</v>
      </c>
      <c r="S35" s="25">
        <f>(R35-O35)/R35</f>
        <v>0.6178713204349896</v>
      </c>
      <c r="T35" s="28">
        <f t="shared" si="44"/>
        <v>205.68820158730162</v>
      </c>
      <c r="U35" s="20"/>
      <c r="V35" s="18">
        <f>(P35*$J$6)</f>
        <v>10.17329297142857</v>
      </c>
      <c r="W35" s="18">
        <f>(R35*$K$6)</f>
        <v>11.303658857142857</v>
      </c>
    </row>
    <row r="36" spans="13:23" x14ac:dyDescent="0.25">
      <c r="M36" s="8" t="s">
        <v>113</v>
      </c>
      <c r="N36" s="9" t="s">
        <v>89</v>
      </c>
      <c r="O36" s="12">
        <f>'Solid Pine.'!O34</f>
        <v>82.366360555555559</v>
      </c>
      <c r="P36" s="22">
        <f t="shared" si="47"/>
        <v>201.58187142857147</v>
      </c>
      <c r="Q36" s="23">
        <f>(P36-O36)/P36</f>
        <v>0.59139996086036306</v>
      </c>
      <c r="R36" s="24">
        <v>223.97985714285718</v>
      </c>
      <c r="S36" s="25">
        <f>(R36-O36)/R36</f>
        <v>0.63225996477432678</v>
      </c>
      <c r="T36" s="28">
        <f t="shared" si="44"/>
        <v>235.33245873015875</v>
      </c>
      <c r="U36" s="21"/>
      <c r="V36" s="18">
        <f>(P36*$J$6)</f>
        <v>12.094912285714289</v>
      </c>
      <c r="W36" s="18">
        <f>(R36*$K$6)</f>
        <v>13.438791428571431</v>
      </c>
    </row>
    <row r="37" spans="13:23" x14ac:dyDescent="0.25">
      <c r="N37" s="1"/>
      <c r="O37" s="1"/>
      <c r="P37" s="2"/>
      <c r="Q37" s="1"/>
    </row>
    <row r="38" spans="13:23" x14ac:dyDescent="0.25">
      <c r="M38" s="162" t="s">
        <v>227</v>
      </c>
      <c r="N38" s="163"/>
      <c r="O38" s="163"/>
      <c r="P38" s="163"/>
      <c r="Q38" s="163"/>
      <c r="R38" s="163"/>
      <c r="S38" s="163"/>
      <c r="T38" s="163"/>
      <c r="U38" s="163"/>
      <c r="V38" s="163"/>
      <c r="W38" s="164"/>
    </row>
    <row r="39" spans="13:23" x14ac:dyDescent="0.25">
      <c r="M39" s="158" t="s">
        <v>198</v>
      </c>
      <c r="N39" s="160" t="s">
        <v>83</v>
      </c>
      <c r="O39" s="160" t="s">
        <v>8</v>
      </c>
      <c r="P39" s="13" t="s">
        <v>199</v>
      </c>
      <c r="Q39" s="13" t="s">
        <v>39</v>
      </c>
      <c r="R39" s="13" t="s">
        <v>200</v>
      </c>
      <c r="S39" s="13" t="s">
        <v>39</v>
      </c>
      <c r="T39" s="4" t="s">
        <v>141</v>
      </c>
      <c r="U39" s="19"/>
      <c r="V39" s="4" t="s">
        <v>201</v>
      </c>
      <c r="W39" s="4" t="s">
        <v>202</v>
      </c>
    </row>
    <row r="40" spans="13:23" x14ac:dyDescent="0.25">
      <c r="M40" s="159"/>
      <c r="N40" s="161"/>
      <c r="O40" s="161"/>
      <c r="P40" s="14" t="s">
        <v>203</v>
      </c>
      <c r="Q40" s="14"/>
      <c r="R40" s="14"/>
      <c r="S40" s="14"/>
      <c r="T40" s="27">
        <v>0.65</v>
      </c>
      <c r="U40" s="20"/>
      <c r="V40" s="17">
        <v>0.06</v>
      </c>
      <c r="W40" s="17">
        <v>0.06</v>
      </c>
    </row>
    <row r="41" spans="13:23" x14ac:dyDescent="0.25">
      <c r="M41" s="8" t="s">
        <v>113</v>
      </c>
      <c r="N41" s="9" t="s">
        <v>16</v>
      </c>
      <c r="O41" s="12">
        <f>'Solid Pine.'!O39</f>
        <v>49.94352388888889</v>
      </c>
      <c r="P41" s="22">
        <f t="shared" ref="P41:P43" si="48">R41-(R41*10%)</f>
        <v>138.54551142857144</v>
      </c>
      <c r="Q41" s="23">
        <f t="shared" ref="Q41:Q43" si="49">(P41-O41)/P41</f>
        <v>0.63951539552663328</v>
      </c>
      <c r="R41" s="24">
        <v>153.93945714285715</v>
      </c>
      <c r="S41" s="25">
        <f t="shared" ref="S41:S43" si="50">(R41-O41)/R41</f>
        <v>0.67556385597396995</v>
      </c>
      <c r="T41" s="28">
        <f t="shared" ref="T41:T47" si="51">O41/(1-$T$40)</f>
        <v>142.69578253968254</v>
      </c>
      <c r="U41" s="20"/>
      <c r="V41" s="18">
        <f t="shared" ref="V41:V43" si="52">(P41*$J$6)</f>
        <v>8.3127306857142855</v>
      </c>
      <c r="W41" s="18">
        <f t="shared" ref="W41:W43" si="53">(R41*$K$6)</f>
        <v>9.2363674285714286</v>
      </c>
    </row>
    <row r="42" spans="13:23" x14ac:dyDescent="0.25">
      <c r="M42" s="8" t="s">
        <v>113</v>
      </c>
      <c r="N42" s="9" t="s">
        <v>70</v>
      </c>
      <c r="O42" s="12">
        <f>'Solid Pine.'!O40</f>
        <v>52.314170555555556</v>
      </c>
      <c r="P42" s="22">
        <f t="shared" si="48"/>
        <v>144.08781428571427</v>
      </c>
      <c r="Q42" s="23">
        <f t="shared" si="49"/>
        <v>0.63692855766539103</v>
      </c>
      <c r="R42" s="24">
        <v>160.09757142857143</v>
      </c>
      <c r="S42" s="25">
        <f t="shared" si="50"/>
        <v>0.67323570189885196</v>
      </c>
      <c r="T42" s="28">
        <f t="shared" si="51"/>
        <v>149.46905873015874</v>
      </c>
      <c r="U42" s="20"/>
      <c r="V42" s="18">
        <f t="shared" si="52"/>
        <v>8.645268857142856</v>
      </c>
      <c r="W42" s="18">
        <f t="shared" si="53"/>
        <v>9.605854285714285</v>
      </c>
    </row>
    <row r="43" spans="13:23" x14ac:dyDescent="0.25">
      <c r="M43" s="8" t="s">
        <v>113</v>
      </c>
      <c r="N43" s="9" t="s">
        <v>87</v>
      </c>
      <c r="O43" s="12">
        <f>'Solid Pine.'!O41</f>
        <v>54.684817222222229</v>
      </c>
      <c r="P43" s="22">
        <f t="shared" si="48"/>
        <v>151.0829742857143</v>
      </c>
      <c r="Q43" s="23">
        <f t="shared" si="49"/>
        <v>0.63804778479666879</v>
      </c>
      <c r="R43" s="24">
        <v>167.86997142857143</v>
      </c>
      <c r="S43" s="25">
        <f t="shared" si="50"/>
        <v>0.67424300631700185</v>
      </c>
      <c r="T43" s="28">
        <f t="shared" si="51"/>
        <v>156.24233492063496</v>
      </c>
      <c r="U43" s="20"/>
      <c r="V43" s="18">
        <f t="shared" si="52"/>
        <v>9.0649784571428569</v>
      </c>
      <c r="W43" s="18">
        <f t="shared" si="53"/>
        <v>10.072198285714286</v>
      </c>
    </row>
    <row r="44" spans="13:23" x14ac:dyDescent="0.25">
      <c r="M44" s="8" t="s">
        <v>113</v>
      </c>
      <c r="N44" s="9" t="s">
        <v>88</v>
      </c>
      <c r="O44" s="12">
        <f>'Solid Pine.'!O42</f>
        <v>57.055463888888895</v>
      </c>
      <c r="P44" s="22">
        <f t="shared" ref="P44:P47" si="54">R44-(R44*10%)</f>
        <v>158.80456285714288</v>
      </c>
      <c r="Q44" s="23">
        <f t="shared" ref="Q44:Q47" si="55">(P44-O44)/P44</f>
        <v>0.64071898903676505</v>
      </c>
      <c r="R44" s="24">
        <v>176.44951428571432</v>
      </c>
      <c r="S44" s="25">
        <f t="shared" ref="S44:S47" si="56">(R44-O44)/R44</f>
        <v>0.67664709013308855</v>
      </c>
      <c r="T44" s="28">
        <f t="shared" si="51"/>
        <v>163.01561111111113</v>
      </c>
      <c r="U44" s="20"/>
      <c r="V44" s="18">
        <f t="shared" ref="V44:V47" si="57">(P44*$J$6)</f>
        <v>9.528273771428573</v>
      </c>
      <c r="W44" s="18">
        <f t="shared" ref="W44:W47" si="58">(R44*$K$6)</f>
        <v>10.586970857142859</v>
      </c>
    </row>
    <row r="45" spans="13:23" x14ac:dyDescent="0.25">
      <c r="M45" s="8" t="s">
        <v>113</v>
      </c>
      <c r="N45" s="9" t="s">
        <v>68</v>
      </c>
      <c r="O45" s="12">
        <f>'Solid Pine.'!O43</f>
        <v>69.808620000000005</v>
      </c>
      <c r="P45" s="22">
        <f t="shared" si="54"/>
        <v>169.88916857142857</v>
      </c>
      <c r="Q45" s="23">
        <f t="shared" si="55"/>
        <v>0.58909316828724423</v>
      </c>
      <c r="R45" s="24">
        <v>188.76574285714287</v>
      </c>
      <c r="S45" s="25">
        <f t="shared" si="56"/>
        <v>0.63018385145851974</v>
      </c>
      <c r="T45" s="28">
        <f t="shared" si="51"/>
        <v>199.45320000000004</v>
      </c>
      <c r="U45" s="20"/>
      <c r="V45" s="18">
        <f t="shared" si="57"/>
        <v>10.193350114285714</v>
      </c>
      <c r="W45" s="18">
        <f t="shared" si="58"/>
        <v>11.325944571428572</v>
      </c>
    </row>
    <row r="46" spans="13:23" x14ac:dyDescent="0.25">
      <c r="M46" s="8" t="s">
        <v>113</v>
      </c>
      <c r="N46" s="9" t="s">
        <v>56</v>
      </c>
      <c r="O46" s="12">
        <f>'Solid Pine.'!O44</f>
        <v>76.163243888888886</v>
      </c>
      <c r="P46" s="22">
        <f t="shared" si="54"/>
        <v>184.60591714285715</v>
      </c>
      <c r="Q46" s="23">
        <f t="shared" si="55"/>
        <v>0.58742793802243065</v>
      </c>
      <c r="R46" s="24">
        <v>205.11768571428573</v>
      </c>
      <c r="S46" s="25">
        <f t="shared" si="56"/>
        <v>0.62868514422018751</v>
      </c>
      <c r="T46" s="28">
        <f t="shared" si="51"/>
        <v>217.60926825396825</v>
      </c>
      <c r="U46" s="20"/>
      <c r="V46" s="18">
        <f t="shared" si="57"/>
        <v>11.076355028571429</v>
      </c>
      <c r="W46" s="18">
        <f t="shared" si="58"/>
        <v>12.307061142857144</v>
      </c>
    </row>
    <row r="47" spans="13:23" x14ac:dyDescent="0.25">
      <c r="M47" s="8" t="s">
        <v>113</v>
      </c>
      <c r="N47" s="9" t="s">
        <v>89</v>
      </c>
      <c r="O47" s="12">
        <f>'Solid Pine.'!O45</f>
        <v>87.58182722222223</v>
      </c>
      <c r="P47" s="22">
        <f t="shared" si="54"/>
        <v>221.30370000000002</v>
      </c>
      <c r="Q47" s="23">
        <f t="shared" si="55"/>
        <v>0.6042459876530657</v>
      </c>
      <c r="R47" s="24">
        <v>245.89300000000003</v>
      </c>
      <c r="S47" s="25">
        <f t="shared" si="56"/>
        <v>0.6438213888877593</v>
      </c>
      <c r="T47" s="28">
        <f t="shared" si="51"/>
        <v>250.2337920634921</v>
      </c>
      <c r="U47" s="21"/>
      <c r="V47" s="18">
        <f t="shared" si="57"/>
        <v>13.278222000000001</v>
      </c>
      <c r="W47" s="18">
        <f t="shared" si="58"/>
        <v>14.753580000000001</v>
      </c>
    </row>
  </sheetData>
  <mergeCells count="18">
    <mergeCell ref="M1:T1"/>
    <mergeCell ref="V1:W1"/>
    <mergeCell ref="M4:W4"/>
    <mergeCell ref="M5:M6"/>
    <mergeCell ref="N5:N6"/>
    <mergeCell ref="O5:O6"/>
    <mergeCell ref="Q5:Q6"/>
    <mergeCell ref="R5:R6"/>
    <mergeCell ref="S5:S6"/>
    <mergeCell ref="A1:H1"/>
    <mergeCell ref="J1:K1"/>
    <mergeCell ref="A4:K4"/>
    <mergeCell ref="A5:A6"/>
    <mergeCell ref="B5:B6"/>
    <mergeCell ref="C5:C6"/>
    <mergeCell ref="E5:E6"/>
    <mergeCell ref="F5:F6"/>
    <mergeCell ref="G5:G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B838-11EB-4D7C-8018-6736005C4101}">
  <sheetPr codeName="Sheet13">
    <tabColor rgb="FF00B050"/>
  </sheetPr>
  <dimension ref="A1:Z76"/>
  <sheetViews>
    <sheetView workbookViewId="0">
      <selection activeCell="C7" sqref="C7"/>
    </sheetView>
  </sheetViews>
  <sheetFormatPr defaultRowHeight="15" x14ac:dyDescent="0.25"/>
  <cols>
    <col min="1" max="1" width="21.140625" bestFit="1" customWidth="1"/>
    <col min="4" max="4" width="13" bestFit="1" customWidth="1"/>
    <col min="6" max="6" width="11.85546875" bestFit="1" customWidth="1"/>
    <col min="8" max="8" width="11.85546875" bestFit="1" customWidth="1"/>
    <col min="9" max="9" width="3.85546875" customWidth="1"/>
    <col min="13" max="13" width="13.140625" customWidth="1"/>
    <col min="15" max="15" width="12.5703125" customWidth="1"/>
    <col min="17" max="17" width="11.140625" bestFit="1" customWidth="1"/>
    <col min="18" max="18" width="3.85546875" customWidth="1"/>
    <col min="19" max="21" width="10.5703125" customWidth="1"/>
    <col min="22" max="22" width="12.85546875" bestFit="1" customWidth="1"/>
    <col min="23" max="23" width="5.42578125" bestFit="1" customWidth="1"/>
    <col min="24" max="24" width="11.85546875" bestFit="1" customWidth="1"/>
    <col min="25" max="25" width="5.42578125" bestFit="1" customWidth="1"/>
    <col min="26" max="26" width="11.140625" bestFit="1" customWidth="1"/>
  </cols>
  <sheetData>
    <row r="1" spans="1:26" ht="18.75" x14ac:dyDescent="0.3">
      <c r="A1" s="299" t="s">
        <v>215</v>
      </c>
      <c r="B1" s="299"/>
      <c r="C1" s="299"/>
      <c r="D1" s="299"/>
      <c r="E1" s="299"/>
      <c r="F1" s="299"/>
      <c r="G1" s="299"/>
      <c r="H1" s="299"/>
      <c r="J1" s="299" t="s">
        <v>215</v>
      </c>
      <c r="K1" s="299"/>
      <c r="L1" s="299"/>
      <c r="M1" s="299"/>
      <c r="N1" s="299"/>
      <c r="O1" s="299"/>
      <c r="P1" s="299"/>
      <c r="Q1" s="299"/>
      <c r="S1" s="299" t="s">
        <v>215</v>
      </c>
      <c r="T1" s="299"/>
      <c r="U1" s="299"/>
      <c r="V1" s="299"/>
      <c r="W1" s="299"/>
      <c r="X1" s="299"/>
      <c r="Y1" s="299"/>
      <c r="Z1" s="299"/>
    </row>
    <row r="2" spans="1:26" ht="6" customHeight="1" x14ac:dyDescent="0.25">
      <c r="B2" s="1"/>
      <c r="C2" s="1"/>
      <c r="D2" s="2"/>
      <c r="E2" s="1"/>
    </row>
    <row r="3" spans="1:26" ht="6" customHeight="1" x14ac:dyDescent="0.25">
      <c r="B3" s="1"/>
      <c r="C3" s="1"/>
      <c r="D3" s="2"/>
      <c r="E3" s="1"/>
    </row>
    <row r="4" spans="1:26" ht="14.85" customHeight="1" x14ac:dyDescent="0.25">
      <c r="A4" s="290" t="s">
        <v>228</v>
      </c>
      <c r="B4" s="290"/>
      <c r="C4" s="290"/>
      <c r="D4" s="290"/>
      <c r="E4" s="290"/>
      <c r="F4" s="290"/>
      <c r="G4" s="290"/>
      <c r="H4" s="290"/>
      <c r="J4" s="290" t="s">
        <v>229</v>
      </c>
      <c r="K4" s="290"/>
      <c r="L4" s="290"/>
      <c r="M4" s="290"/>
      <c r="N4" s="290"/>
      <c r="O4" s="290"/>
      <c r="P4" s="290"/>
      <c r="Q4" s="290"/>
      <c r="S4" s="290" t="s">
        <v>229</v>
      </c>
      <c r="T4" s="290"/>
      <c r="U4" s="290"/>
      <c r="V4" s="290"/>
      <c r="W4" s="290"/>
      <c r="X4" s="290"/>
      <c r="Y4" s="290"/>
      <c r="Z4" s="290"/>
    </row>
    <row r="5" spans="1:26" ht="14.85" customHeight="1" x14ac:dyDescent="0.25">
      <c r="A5" s="291" t="s">
        <v>198</v>
      </c>
      <c r="B5" s="293" t="s">
        <v>82</v>
      </c>
      <c r="C5" s="293" t="s">
        <v>8</v>
      </c>
      <c r="D5" s="293" t="s">
        <v>199</v>
      </c>
      <c r="E5" s="295" t="s">
        <v>39</v>
      </c>
      <c r="F5" s="295" t="s">
        <v>200</v>
      </c>
      <c r="G5" s="295" t="s">
        <v>39</v>
      </c>
      <c r="H5" s="4" t="s">
        <v>141</v>
      </c>
      <c r="J5" s="291" t="s">
        <v>198</v>
      </c>
      <c r="K5" s="293" t="s">
        <v>230</v>
      </c>
      <c r="L5" s="293" t="s">
        <v>8</v>
      </c>
      <c r="M5" s="293" t="s">
        <v>199</v>
      </c>
      <c r="N5" s="295" t="s">
        <v>39</v>
      </c>
      <c r="O5" s="295" t="s">
        <v>200</v>
      </c>
      <c r="P5" s="295" t="s">
        <v>39</v>
      </c>
      <c r="Q5" s="4" t="s">
        <v>141</v>
      </c>
      <c r="S5" s="291" t="s">
        <v>198</v>
      </c>
      <c r="T5" s="293" t="s">
        <v>230</v>
      </c>
      <c r="U5" s="293" t="s">
        <v>8</v>
      </c>
      <c r="V5" s="293" t="s">
        <v>199</v>
      </c>
      <c r="W5" s="295" t="s">
        <v>39</v>
      </c>
      <c r="X5" s="295" t="s">
        <v>200</v>
      </c>
      <c r="Y5" s="295" t="s">
        <v>39</v>
      </c>
      <c r="Z5" s="4" t="s">
        <v>141</v>
      </c>
    </row>
    <row r="6" spans="1:26" ht="14.85" customHeight="1" x14ac:dyDescent="0.25">
      <c r="A6" s="292"/>
      <c r="B6" s="294"/>
      <c r="C6" s="294"/>
      <c r="D6" s="294"/>
      <c r="E6" s="296"/>
      <c r="F6" s="296"/>
      <c r="G6" s="296"/>
      <c r="H6" s="27">
        <v>0.74</v>
      </c>
      <c r="J6" s="292"/>
      <c r="K6" s="294"/>
      <c r="L6" s="294"/>
      <c r="M6" s="294"/>
      <c r="N6" s="296"/>
      <c r="O6" s="296"/>
      <c r="P6" s="296"/>
      <c r="Q6" s="27">
        <v>0.75</v>
      </c>
      <c r="S6" s="292"/>
      <c r="T6" s="294"/>
      <c r="U6" s="294"/>
      <c r="V6" s="294"/>
      <c r="W6" s="296"/>
      <c r="X6" s="296"/>
      <c r="Y6" s="296"/>
      <c r="Z6" s="27">
        <v>0.75</v>
      </c>
    </row>
    <row r="7" spans="1:26" ht="14.85" customHeight="1" x14ac:dyDescent="0.25">
      <c r="A7" s="8" t="s">
        <v>231</v>
      </c>
      <c r="B7" s="31" t="s">
        <v>232</v>
      </c>
      <c r="C7" s="12">
        <f>'Landings &amp; Winders.'!G6</f>
        <v>123.73810000000002</v>
      </c>
      <c r="D7" s="22">
        <f t="shared" ref="D7" si="0">F7-(F7*10%)</f>
        <v>323.65730769230771</v>
      </c>
      <c r="E7" s="23">
        <f t="shared" ref="E7" si="1">(D7-C7)/D7</f>
        <v>0.61768791539959755</v>
      </c>
      <c r="F7" s="24">
        <v>359.6192307692308</v>
      </c>
      <c r="G7" s="25">
        <f t="shared" ref="G7" si="2">(F7-C7)/F7</f>
        <v>0.6559191238596378</v>
      </c>
      <c r="H7" s="28">
        <f t="shared" ref="H7" si="3">C7/(1-$H$6)</f>
        <v>475.91576923076929</v>
      </c>
      <c r="J7" s="8" t="s">
        <v>233</v>
      </c>
      <c r="K7" s="31">
        <v>2</v>
      </c>
      <c r="L7" s="12">
        <f>'Landings &amp; Winders.'!O6</f>
        <v>114.70648333333334</v>
      </c>
      <c r="M7" s="22">
        <f>O7-(O7*10%)</f>
        <v>289.14840000000004</v>
      </c>
      <c r="N7" s="23">
        <f t="shared" ref="N7" si="4">(M7-L7)/M7</f>
        <v>0.60329545889469449</v>
      </c>
      <c r="O7" s="24">
        <v>321.27600000000001</v>
      </c>
      <c r="P7" s="25">
        <f t="shared" ref="P7" si="5">(O7-L7)/O7</f>
        <v>0.64296591300522499</v>
      </c>
      <c r="Q7" s="28">
        <f>L7/(1-$Q$6)</f>
        <v>458.82593333333335</v>
      </c>
      <c r="S7" s="8" t="s">
        <v>233</v>
      </c>
      <c r="T7" s="31">
        <v>2</v>
      </c>
      <c r="U7" s="12">
        <f>'Landings &amp; Winders.'!W6</f>
        <v>140.06794166666668</v>
      </c>
      <c r="V7" s="22">
        <f t="shared" ref="V7:V10" si="6">X7-(X7*10%)</f>
        <v>394.48440000000005</v>
      </c>
      <c r="W7" s="23">
        <f t="shared" ref="W7:W10" si="7">(V7-U7)/V7</f>
        <v>0.64493414272740146</v>
      </c>
      <c r="X7" s="24">
        <v>438.31600000000003</v>
      </c>
      <c r="Y7" s="25">
        <f t="shared" ref="Y7:Y10" si="8">(X7-U7)/X7</f>
        <v>0.6804407284546613</v>
      </c>
      <c r="Z7" s="28">
        <f>U7/(1-$Z$6)</f>
        <v>560.27176666666674</v>
      </c>
    </row>
    <row r="8" spans="1:26" ht="14.85" customHeight="1" x14ac:dyDescent="0.25">
      <c r="J8" s="8" t="s">
        <v>234</v>
      </c>
      <c r="K8" s="31">
        <v>3</v>
      </c>
      <c r="L8" s="12">
        <f>'Landings &amp; Winders.'!O7</f>
        <v>108.22393333333333</v>
      </c>
      <c r="M8" s="22">
        <f t="shared" ref="M8:M10" si="9">O8-(O8*10%)</f>
        <v>433.7226</v>
      </c>
      <c r="N8" s="23">
        <f t="shared" ref="N8:N10" si="10">(M8-L8)/M8</f>
        <v>0.75047661031882285</v>
      </c>
      <c r="O8" s="24">
        <f>($O$7/2)*K8</f>
        <v>481.91399999999999</v>
      </c>
      <c r="P8" s="25">
        <f t="shared" ref="P8:P10" si="11">(O8-L8)/O8</f>
        <v>0.77542894928694062</v>
      </c>
      <c r="Q8" s="28">
        <f t="shared" ref="Q8:Q9" si="12">L8/(1-$Q$6)</f>
        <v>432.89573333333334</v>
      </c>
      <c r="S8" s="8" t="s">
        <v>234</v>
      </c>
      <c r="T8" s="31">
        <v>3</v>
      </c>
      <c r="U8" s="12">
        <f>'Landings &amp; Winders.'!W7</f>
        <v>133.58539166666668</v>
      </c>
      <c r="V8" s="22">
        <f t="shared" si="6"/>
        <v>591.72660000000008</v>
      </c>
      <c r="W8" s="23">
        <f t="shared" si="7"/>
        <v>0.77424474129324816</v>
      </c>
      <c r="X8" s="24">
        <f>($X$7/2)*T8</f>
        <v>657.47400000000005</v>
      </c>
      <c r="Y8" s="25">
        <f t="shared" si="8"/>
        <v>0.7968202671639234</v>
      </c>
      <c r="Z8" s="28">
        <f t="shared" ref="Z8:Z10" si="13">U8/(1-$Z$6)</f>
        <v>534.34156666666672</v>
      </c>
    </row>
    <row r="9" spans="1:26" ht="14.85" customHeight="1" x14ac:dyDescent="0.25">
      <c r="A9" s="290" t="s">
        <v>235</v>
      </c>
      <c r="B9" s="290"/>
      <c r="C9" s="290"/>
      <c r="D9" s="290"/>
      <c r="E9" s="290"/>
      <c r="F9" s="290"/>
      <c r="G9" s="290"/>
      <c r="H9" s="290"/>
      <c r="J9" s="8" t="s">
        <v>236</v>
      </c>
      <c r="K9" s="31">
        <v>4</v>
      </c>
      <c r="L9" s="12">
        <f>'Landings &amp; Winders.'!O8</f>
        <v>179.88029999999998</v>
      </c>
      <c r="M9" s="22">
        <f t="shared" si="9"/>
        <v>578.29680000000008</v>
      </c>
      <c r="N9" s="23">
        <f t="shared" si="10"/>
        <v>0.68894813182435044</v>
      </c>
      <c r="O9" s="24">
        <f>($O$7/2)*K9</f>
        <v>642.55200000000002</v>
      </c>
      <c r="P9" s="25">
        <f t="shared" si="11"/>
        <v>0.72005331864191535</v>
      </c>
      <c r="Q9" s="28">
        <f t="shared" si="12"/>
        <v>719.52119999999991</v>
      </c>
      <c r="S9" s="8" t="s">
        <v>236</v>
      </c>
      <c r="T9" s="31">
        <v>4</v>
      </c>
      <c r="U9" s="12">
        <f>'Landings &amp; Winders.'!W8</f>
        <v>206.40325833333333</v>
      </c>
      <c r="V9" s="22">
        <f t="shared" si="6"/>
        <v>788.9688000000001</v>
      </c>
      <c r="W9" s="23">
        <f t="shared" si="7"/>
        <v>0.73838856703416755</v>
      </c>
      <c r="X9" s="24">
        <f t="shared" ref="X9:X10" si="14">($X$7/2)*T9</f>
        <v>876.63200000000006</v>
      </c>
      <c r="Y9" s="25">
        <f t="shared" si="8"/>
        <v>0.76454971033075081</v>
      </c>
      <c r="Z9" s="28">
        <f t="shared" si="13"/>
        <v>825.61303333333331</v>
      </c>
    </row>
    <row r="10" spans="1:26" ht="14.85" customHeight="1" x14ac:dyDescent="0.25">
      <c r="A10" s="291" t="s">
        <v>198</v>
      </c>
      <c r="B10" s="293" t="s">
        <v>82</v>
      </c>
      <c r="C10" s="293" t="s">
        <v>8</v>
      </c>
      <c r="D10" s="293" t="s">
        <v>199</v>
      </c>
      <c r="E10" s="295" t="s">
        <v>39</v>
      </c>
      <c r="F10" s="295" t="s">
        <v>200</v>
      </c>
      <c r="G10" s="295" t="s">
        <v>39</v>
      </c>
      <c r="H10" s="4" t="s">
        <v>141</v>
      </c>
      <c r="J10" s="8" t="s">
        <v>237</v>
      </c>
      <c r="K10" s="31">
        <v>6</v>
      </c>
      <c r="L10" s="12">
        <f>'Landings &amp; Winders.'!O9</f>
        <v>166.9152</v>
      </c>
      <c r="M10" s="22">
        <f t="shared" si="9"/>
        <v>867.4452</v>
      </c>
      <c r="N10" s="23">
        <f t="shared" si="10"/>
        <v>0.80757839227192674</v>
      </c>
      <c r="O10" s="24">
        <f>($O$7/2)*K10</f>
        <v>963.82799999999997</v>
      </c>
      <c r="P10" s="25">
        <f t="shared" si="11"/>
        <v>0.82682055304473412</v>
      </c>
      <c r="Q10" s="28">
        <f>L10/(1-$Q$6)</f>
        <v>667.66079999999999</v>
      </c>
      <c r="S10" s="8" t="s">
        <v>237</v>
      </c>
      <c r="T10" s="31">
        <v>6</v>
      </c>
      <c r="U10" s="12">
        <f>'Landings &amp; Winders.'!W9</f>
        <v>193.43815833333335</v>
      </c>
      <c r="V10" s="22">
        <f t="shared" si="6"/>
        <v>1183.4532000000002</v>
      </c>
      <c r="W10" s="23">
        <f t="shared" si="7"/>
        <v>0.83654769083109215</v>
      </c>
      <c r="X10" s="24">
        <f t="shared" si="14"/>
        <v>1314.9480000000001</v>
      </c>
      <c r="Y10" s="25">
        <f t="shared" si="8"/>
        <v>0.85289292174798292</v>
      </c>
      <c r="Z10" s="28">
        <f t="shared" si="13"/>
        <v>773.75263333333339</v>
      </c>
    </row>
    <row r="11" spans="1:26" ht="14.85" customHeight="1" x14ac:dyDescent="0.25">
      <c r="A11" s="292"/>
      <c r="B11" s="294"/>
      <c r="C11" s="294"/>
      <c r="D11" s="294"/>
      <c r="E11" s="296"/>
      <c r="F11" s="296"/>
      <c r="G11" s="296"/>
      <c r="H11" s="27">
        <v>0.74</v>
      </c>
    </row>
    <row r="12" spans="1:26" ht="14.85" customHeight="1" x14ac:dyDescent="0.25">
      <c r="A12" s="8" t="s">
        <v>231</v>
      </c>
      <c r="B12" s="31" t="s">
        <v>232</v>
      </c>
      <c r="C12" s="12">
        <f>'Landings &amp; Winders.'!G11</f>
        <v>130.60735</v>
      </c>
      <c r="D12" s="22">
        <f t="shared" ref="D12" si="15">F12-(F12*10%)</f>
        <v>349.71576923076918</v>
      </c>
      <c r="E12" s="23">
        <f t="shared" ref="E12" si="16">(D12-C12)/D12</f>
        <v>0.626532854702885</v>
      </c>
      <c r="F12" s="24">
        <v>388.57307692307688</v>
      </c>
      <c r="G12" s="25">
        <f t="shared" ref="G12" si="17">(F12-C12)/F12</f>
        <v>0.6638795692325965</v>
      </c>
      <c r="H12" s="28">
        <f>C12/(1-$H$11)</f>
        <v>502.3359615384615</v>
      </c>
      <c r="J12" s="290" t="s">
        <v>238</v>
      </c>
      <c r="K12" s="290"/>
      <c r="L12" s="290"/>
      <c r="M12" s="290"/>
      <c r="N12" s="290"/>
      <c r="O12" s="290"/>
      <c r="P12" s="290"/>
      <c r="Q12" s="290"/>
      <c r="S12" s="290" t="s">
        <v>238</v>
      </c>
      <c r="T12" s="290"/>
      <c r="U12" s="290"/>
      <c r="V12" s="290"/>
      <c r="W12" s="290"/>
      <c r="X12" s="290"/>
      <c r="Y12" s="290"/>
      <c r="Z12" s="290"/>
    </row>
    <row r="13" spans="1:26" ht="14.85" customHeight="1" x14ac:dyDescent="0.25">
      <c r="J13" s="291" t="s">
        <v>198</v>
      </c>
      <c r="K13" s="293" t="s">
        <v>230</v>
      </c>
      <c r="L13" s="293" t="s">
        <v>8</v>
      </c>
      <c r="M13" s="293" t="s">
        <v>199</v>
      </c>
      <c r="N13" s="295" t="s">
        <v>39</v>
      </c>
      <c r="O13" s="295" t="s">
        <v>200</v>
      </c>
      <c r="P13" s="295" t="s">
        <v>39</v>
      </c>
      <c r="Q13" s="4" t="s">
        <v>141</v>
      </c>
      <c r="S13" s="291" t="s">
        <v>198</v>
      </c>
      <c r="T13" s="293" t="s">
        <v>230</v>
      </c>
      <c r="U13" s="293" t="s">
        <v>8</v>
      </c>
      <c r="V13" s="293" t="s">
        <v>199</v>
      </c>
      <c r="W13" s="295" t="s">
        <v>39</v>
      </c>
      <c r="X13" s="295" t="s">
        <v>200</v>
      </c>
      <c r="Y13" s="295" t="s">
        <v>39</v>
      </c>
      <c r="Z13" s="4" t="s">
        <v>141</v>
      </c>
    </row>
    <row r="14" spans="1:26" ht="14.85" customHeight="1" x14ac:dyDescent="0.25">
      <c r="A14" s="290" t="s">
        <v>239</v>
      </c>
      <c r="B14" s="290"/>
      <c r="C14" s="290"/>
      <c r="D14" s="290"/>
      <c r="E14" s="290"/>
      <c r="F14" s="290"/>
      <c r="G14" s="290"/>
      <c r="H14" s="290"/>
      <c r="J14" s="292"/>
      <c r="K14" s="294"/>
      <c r="L14" s="294"/>
      <c r="M14" s="294"/>
      <c r="N14" s="296"/>
      <c r="O14" s="296"/>
      <c r="P14" s="296"/>
      <c r="Q14" s="27">
        <v>0.83</v>
      </c>
      <c r="S14" s="292"/>
      <c r="T14" s="294"/>
      <c r="U14" s="294"/>
      <c r="V14" s="294"/>
      <c r="W14" s="296"/>
      <c r="X14" s="296"/>
      <c r="Y14" s="296"/>
      <c r="Z14" s="27">
        <v>0.78</v>
      </c>
    </row>
    <row r="15" spans="1:26" ht="14.85" customHeight="1" x14ac:dyDescent="0.25">
      <c r="A15" s="291" t="s">
        <v>198</v>
      </c>
      <c r="B15" s="293" t="s">
        <v>82</v>
      </c>
      <c r="C15" s="293" t="s">
        <v>8</v>
      </c>
      <c r="D15" s="293" t="s">
        <v>199</v>
      </c>
      <c r="E15" s="295" t="s">
        <v>39</v>
      </c>
      <c r="F15" s="295" t="s">
        <v>200</v>
      </c>
      <c r="G15" s="295" t="s">
        <v>39</v>
      </c>
      <c r="H15" s="4" t="s">
        <v>141</v>
      </c>
      <c r="J15" s="8" t="s">
        <v>234</v>
      </c>
      <c r="K15" s="31">
        <v>3</v>
      </c>
      <c r="L15" s="12">
        <f>'Landings &amp; Winders.'!O14</f>
        <v>229.22730833333333</v>
      </c>
      <c r="M15" s="22">
        <f t="shared" ref="M15:M16" si="18">O15-(O15*10%)</f>
        <v>701.1</v>
      </c>
      <c r="N15" s="23">
        <f t="shared" ref="N15" si="19">(M15-L15)/M15</f>
        <v>0.67304620120762615</v>
      </c>
      <c r="O15" s="24">
        <v>779</v>
      </c>
      <c r="P15" s="25">
        <f t="shared" ref="P15" si="20">(O15-L15)/O15</f>
        <v>0.70574158108686347</v>
      </c>
      <c r="Q15" s="28">
        <f>L15/(1-$Q$14)</f>
        <v>1348.3959313725486</v>
      </c>
      <c r="S15" s="8" t="s">
        <v>234</v>
      </c>
      <c r="T15" s="31">
        <v>3</v>
      </c>
      <c r="U15" s="12">
        <f>'Landings &amp; Winders.'!W14</f>
        <v>253.42726666666667</v>
      </c>
      <c r="V15" s="22">
        <f t="shared" ref="V15:V16" si="21">X15-(X15*10%)</f>
        <v>814.66261363636374</v>
      </c>
      <c r="W15" s="23">
        <f t="shared" ref="W15:W16" si="22">(V15-U15)/V15</f>
        <v>0.68891751944346924</v>
      </c>
      <c r="X15" s="24">
        <v>905.18068181818194</v>
      </c>
      <c r="Y15" s="25">
        <f t="shared" ref="Y15:Y16" si="23">(X15-U15)/X15</f>
        <v>0.72002576749912228</v>
      </c>
      <c r="Z15" s="28">
        <f>U15/(1-$Z$14)</f>
        <v>1151.9421212121213</v>
      </c>
    </row>
    <row r="16" spans="1:26" ht="14.85" customHeight="1" x14ac:dyDescent="0.25">
      <c r="A16" s="292"/>
      <c r="B16" s="294"/>
      <c r="C16" s="294"/>
      <c r="D16" s="294"/>
      <c r="E16" s="296"/>
      <c r="F16" s="296"/>
      <c r="G16" s="296"/>
      <c r="H16" s="27">
        <v>0.74</v>
      </c>
      <c r="J16" s="8" t="s">
        <v>240</v>
      </c>
      <c r="K16" s="31">
        <v>5</v>
      </c>
      <c r="L16" s="12">
        <f>'Landings &amp; Winders.'!O15</f>
        <v>216.26220833333332</v>
      </c>
      <c r="M16" s="22">
        <f t="shared" si="18"/>
        <v>980.1</v>
      </c>
      <c r="N16" s="23">
        <f t="shared" ref="N16" si="24">(M16-L16)/M16</f>
        <v>0.77934679284426767</v>
      </c>
      <c r="O16" s="24">
        <v>1089</v>
      </c>
      <c r="P16" s="25">
        <f t="shared" ref="P16" si="25">(O16-L16)/O16</f>
        <v>0.80141211355984088</v>
      </c>
      <c r="Q16" s="28">
        <f>L16/(1-$Q$14)</f>
        <v>1272.1306372549016</v>
      </c>
      <c r="S16" s="8" t="s">
        <v>240</v>
      </c>
      <c r="T16" s="31">
        <v>5</v>
      </c>
      <c r="U16" s="12">
        <f>'Landings &amp; Winders.'!W15</f>
        <v>240.46216666666669</v>
      </c>
      <c r="V16" s="22">
        <f t="shared" si="21"/>
        <v>1121.1061764705878</v>
      </c>
      <c r="W16" s="23">
        <f t="shared" si="22"/>
        <v>0.78551347614221689</v>
      </c>
      <c r="X16" s="24">
        <v>1245.6735294117643</v>
      </c>
      <c r="Y16" s="25">
        <f t="shared" si="23"/>
        <v>0.8069621285279952</v>
      </c>
      <c r="Z16" s="28">
        <f>U16/(1-$Z$14)</f>
        <v>1093.0098484848488</v>
      </c>
    </row>
    <row r="17" spans="1:26" ht="14.85" customHeight="1" x14ac:dyDescent="0.25">
      <c r="A17" s="8" t="s">
        <v>231</v>
      </c>
      <c r="B17" s="31" t="s">
        <v>232</v>
      </c>
      <c r="C17" s="12">
        <f>'Landings &amp; Winders.'!G16</f>
        <v>140.80810000000002</v>
      </c>
      <c r="D17" s="22">
        <f t="shared" ref="D17" si="26">F17-(F17*10%)</f>
        <v>371.6307692307692</v>
      </c>
      <c r="E17" s="23">
        <f t="shared" ref="E17" si="27">(D17-C17)/D17</f>
        <v>0.62110753022023502</v>
      </c>
      <c r="F17" s="24">
        <v>412.92307692307691</v>
      </c>
      <c r="G17" s="25">
        <f t="shared" ref="G17" si="28">(F17-C17)/F17</f>
        <v>0.65899677719821159</v>
      </c>
      <c r="H17" s="28">
        <f>C17/(1-$H$16)</f>
        <v>541.56961538461542</v>
      </c>
    </row>
    <row r="18" spans="1:26" ht="14.85" customHeight="1" x14ac:dyDescent="0.25"/>
    <row r="19" spans="1:26" ht="14.85" customHeight="1" x14ac:dyDescent="0.25">
      <c r="A19" s="290" t="s">
        <v>241</v>
      </c>
      <c r="B19" s="290"/>
      <c r="C19" s="290"/>
      <c r="D19" s="290"/>
      <c r="E19" s="290"/>
      <c r="F19" s="290"/>
      <c r="G19" s="290"/>
      <c r="H19" s="290"/>
      <c r="J19" s="290" t="s">
        <v>242</v>
      </c>
      <c r="K19" s="290"/>
      <c r="L19" s="290"/>
      <c r="M19" s="290"/>
      <c r="N19" s="290"/>
      <c r="O19" s="290"/>
      <c r="P19" s="290"/>
      <c r="Q19" s="290"/>
      <c r="S19" s="290" t="s">
        <v>242</v>
      </c>
      <c r="T19" s="290"/>
      <c r="U19" s="290"/>
      <c r="V19" s="290"/>
      <c r="W19" s="290"/>
      <c r="X19" s="290"/>
      <c r="Y19" s="290"/>
      <c r="Z19" s="290"/>
    </row>
    <row r="20" spans="1:26" ht="14.85" customHeight="1" x14ac:dyDescent="0.25">
      <c r="A20" s="291" t="s">
        <v>198</v>
      </c>
      <c r="B20" s="293" t="s">
        <v>82</v>
      </c>
      <c r="C20" s="293" t="s">
        <v>8</v>
      </c>
      <c r="D20" s="293" t="s">
        <v>199</v>
      </c>
      <c r="E20" s="295" t="s">
        <v>39</v>
      </c>
      <c r="F20" s="295" t="s">
        <v>200</v>
      </c>
      <c r="G20" s="295" t="s">
        <v>39</v>
      </c>
      <c r="H20" s="4" t="s">
        <v>141</v>
      </c>
      <c r="J20" s="291" t="s">
        <v>198</v>
      </c>
      <c r="K20" s="293" t="s">
        <v>230</v>
      </c>
      <c r="L20" s="293" t="s">
        <v>8</v>
      </c>
      <c r="M20" s="293" t="s">
        <v>199</v>
      </c>
      <c r="N20" s="295" t="s">
        <v>39</v>
      </c>
      <c r="O20" s="295" t="s">
        <v>200</v>
      </c>
      <c r="P20" s="295" t="s">
        <v>39</v>
      </c>
      <c r="Q20" s="4" t="s">
        <v>141</v>
      </c>
      <c r="S20" s="291" t="s">
        <v>198</v>
      </c>
      <c r="T20" s="293" t="s">
        <v>230</v>
      </c>
      <c r="U20" s="293" t="s">
        <v>8</v>
      </c>
      <c r="V20" s="293" t="s">
        <v>199</v>
      </c>
      <c r="W20" s="295" t="s">
        <v>39</v>
      </c>
      <c r="X20" s="295" t="s">
        <v>200</v>
      </c>
      <c r="Y20" s="295" t="s">
        <v>39</v>
      </c>
      <c r="Z20" s="4" t="s">
        <v>141</v>
      </c>
    </row>
    <row r="21" spans="1:26" ht="14.85" customHeight="1" x14ac:dyDescent="0.25">
      <c r="A21" s="292"/>
      <c r="B21" s="294"/>
      <c r="C21" s="294"/>
      <c r="D21" s="294"/>
      <c r="E21" s="296"/>
      <c r="F21" s="296"/>
      <c r="G21" s="296"/>
      <c r="H21" s="27">
        <v>0.7</v>
      </c>
      <c r="J21" s="292"/>
      <c r="K21" s="294"/>
      <c r="L21" s="294"/>
      <c r="M21" s="294"/>
      <c r="N21" s="296"/>
      <c r="O21" s="296"/>
      <c r="P21" s="296"/>
      <c r="Q21" s="27">
        <v>0.75</v>
      </c>
      <c r="S21" s="292"/>
      <c r="T21" s="294"/>
      <c r="U21" s="294"/>
      <c r="V21" s="294"/>
      <c r="W21" s="296"/>
      <c r="X21" s="296"/>
      <c r="Y21" s="296"/>
      <c r="Z21" s="27">
        <v>0.75</v>
      </c>
    </row>
    <row r="22" spans="1:26" ht="14.85" customHeight="1" x14ac:dyDescent="0.25">
      <c r="A22" s="8" t="s">
        <v>231</v>
      </c>
      <c r="B22" s="31" t="s">
        <v>232</v>
      </c>
      <c r="C22" s="12">
        <f>'Landings &amp; Winders.'!G21</f>
        <v>183.18779166666667</v>
      </c>
      <c r="D22" s="22">
        <f t="shared" ref="D22" si="29">F22-(F22*10%)</f>
        <v>544.37399999999991</v>
      </c>
      <c r="E22" s="23">
        <f t="shared" ref="E22" si="30">(D22-C22)/D22</f>
        <v>0.66348908715944055</v>
      </c>
      <c r="F22" s="24">
        <v>604.8599999999999</v>
      </c>
      <c r="G22" s="25">
        <f t="shared" ref="G22" si="31">(F22-C22)/F22</f>
        <v>0.69714017844349652</v>
      </c>
      <c r="H22" s="28">
        <f>C22/(1-$H$21)</f>
        <v>610.62597222222212</v>
      </c>
      <c r="J22" s="8" t="s">
        <v>233</v>
      </c>
      <c r="K22" s="31">
        <v>2</v>
      </c>
      <c r="L22" s="12">
        <f>'Landings &amp; Winders.'!O21</f>
        <v>119.52613333333335</v>
      </c>
      <c r="M22" s="22">
        <f t="shared" ref="M22:M25" si="32">O22-(O22*10%)</f>
        <v>310.10039999999998</v>
      </c>
      <c r="N22" s="23">
        <f t="shared" ref="N22:N25" si="33">(M22-L22)/M22</f>
        <v>0.61455666186392099</v>
      </c>
      <c r="O22" s="24">
        <v>344.55599999999998</v>
      </c>
      <c r="P22" s="25">
        <f t="shared" ref="P22:P25" si="34">(O22-L22)/O22</f>
        <v>0.65310099567752888</v>
      </c>
      <c r="Q22" s="28">
        <f>L22/(1-$Q$21)</f>
        <v>478.10453333333339</v>
      </c>
      <c r="S22" s="8" t="s">
        <v>233</v>
      </c>
      <c r="T22" s="31">
        <v>2</v>
      </c>
      <c r="U22" s="12">
        <f>'Landings &amp; Winders.'!W21</f>
        <v>144.88759166666668</v>
      </c>
      <c r="V22" s="22">
        <f t="shared" ref="V22:V25" si="35">X22-(X22*10%)</f>
        <v>415.43639999999999</v>
      </c>
      <c r="W22" s="23">
        <f t="shared" ref="W22:W25" si="36">(V22-U22)/V22</f>
        <v>0.65124001732475378</v>
      </c>
      <c r="X22" s="24">
        <v>461.596</v>
      </c>
      <c r="Y22" s="25">
        <f t="shared" ref="Y22:Y25" si="37">(X22-U22)/X22</f>
        <v>0.68611601559227831</v>
      </c>
      <c r="Z22" s="28">
        <f>U22/(1-$Z$21)</f>
        <v>579.55036666666672</v>
      </c>
    </row>
    <row r="23" spans="1:26" ht="14.85" customHeight="1" x14ac:dyDescent="0.25">
      <c r="J23" s="8" t="s">
        <v>234</v>
      </c>
      <c r="K23" s="31">
        <v>3</v>
      </c>
      <c r="L23" s="12">
        <f>'Landings &amp; Winders.'!O22</f>
        <v>110.09728333333334</v>
      </c>
      <c r="M23" s="22">
        <f t="shared" si="32"/>
        <v>465.15059999999994</v>
      </c>
      <c r="N23" s="23">
        <f t="shared" si="33"/>
        <v>0.7633083063134104</v>
      </c>
      <c r="O23" s="24">
        <f>($O$22/2)*K23</f>
        <v>516.83399999999995</v>
      </c>
      <c r="P23" s="25">
        <f t="shared" si="34"/>
        <v>0.78697747568206944</v>
      </c>
      <c r="Q23" s="28">
        <f t="shared" ref="Q23:Q25" si="38">L23/(1-$Q$21)</f>
        <v>440.38913333333335</v>
      </c>
      <c r="S23" s="8" t="s">
        <v>234</v>
      </c>
      <c r="T23" s="31">
        <v>3</v>
      </c>
      <c r="U23" s="12">
        <f>'Landings &amp; Winders.'!W22</f>
        <v>135.4587416666667</v>
      </c>
      <c r="V23" s="22">
        <f t="shared" si="35"/>
        <v>623.15459999999996</v>
      </c>
      <c r="W23" s="23">
        <f t="shared" si="36"/>
        <v>0.78262418079451435</v>
      </c>
      <c r="X23" s="24">
        <f>($X$22/2)*T23</f>
        <v>692.39400000000001</v>
      </c>
      <c r="Y23" s="25">
        <f t="shared" si="37"/>
        <v>0.80436176271506299</v>
      </c>
      <c r="Z23" s="28">
        <f t="shared" ref="Z23:Z25" si="39">U23/(1-$Z$21)</f>
        <v>541.83496666666679</v>
      </c>
    </row>
    <row r="24" spans="1:26" ht="14.85" customHeight="1" x14ac:dyDescent="0.25">
      <c r="A24" s="290" t="s">
        <v>243</v>
      </c>
      <c r="B24" s="290"/>
      <c r="C24" s="290"/>
      <c r="D24" s="290"/>
      <c r="E24" s="290"/>
      <c r="F24" s="290"/>
      <c r="G24" s="290"/>
      <c r="H24" s="290"/>
      <c r="J24" s="8" t="s">
        <v>236</v>
      </c>
      <c r="K24" s="31">
        <v>4</v>
      </c>
      <c r="L24" s="12">
        <f>'Landings &amp; Winders.'!O23</f>
        <v>188.62835000000001</v>
      </c>
      <c r="M24" s="22">
        <f t="shared" si="32"/>
        <v>620.20079999999996</v>
      </c>
      <c r="N24" s="23">
        <f t="shared" si="33"/>
        <v>0.69585922817255308</v>
      </c>
      <c r="O24" s="24">
        <f t="shared" ref="O24:O25" si="40">($O$22/2)*K24</f>
        <v>689.11199999999997</v>
      </c>
      <c r="P24" s="25">
        <f t="shared" si="34"/>
        <v>0.72627330535529777</v>
      </c>
      <c r="Q24" s="28">
        <f>L24/(1-$Q$21)</f>
        <v>754.51340000000005</v>
      </c>
      <c r="S24" s="8" t="s">
        <v>236</v>
      </c>
      <c r="T24" s="31">
        <v>4</v>
      </c>
      <c r="U24" s="12">
        <f>'Landings &amp; Winders.'!W23</f>
        <v>215.15130833333333</v>
      </c>
      <c r="V24" s="22">
        <f t="shared" si="35"/>
        <v>830.87279999999998</v>
      </c>
      <c r="W24" s="23">
        <f t="shared" si="36"/>
        <v>0.74105385525518064</v>
      </c>
      <c r="X24" s="24">
        <f>($X$22/2)*T24</f>
        <v>923.19200000000001</v>
      </c>
      <c r="Y24" s="25">
        <f t="shared" si="37"/>
        <v>0.76694846972966257</v>
      </c>
      <c r="Z24" s="28">
        <f t="shared" si="39"/>
        <v>860.60523333333333</v>
      </c>
    </row>
    <row r="25" spans="1:26" ht="14.85" customHeight="1" x14ac:dyDescent="0.25">
      <c r="A25" s="291" t="s">
        <v>198</v>
      </c>
      <c r="B25" s="293" t="s">
        <v>82</v>
      </c>
      <c r="C25" s="293" t="s">
        <v>8</v>
      </c>
      <c r="D25" s="293" t="s">
        <v>199</v>
      </c>
      <c r="E25" s="295" t="s">
        <v>39</v>
      </c>
      <c r="F25" s="295" t="s">
        <v>200</v>
      </c>
      <c r="G25" s="295" t="s">
        <v>39</v>
      </c>
      <c r="H25" s="4" t="s">
        <v>141</v>
      </c>
      <c r="J25" s="8" t="s">
        <v>237</v>
      </c>
      <c r="K25" s="31">
        <v>6</v>
      </c>
      <c r="L25" s="12">
        <f>'Landings &amp; Winders.'!O24</f>
        <v>169.77064999999999</v>
      </c>
      <c r="M25" s="22">
        <f t="shared" si="32"/>
        <v>930.30119999999988</v>
      </c>
      <c r="N25" s="23">
        <f t="shared" si="33"/>
        <v>0.81751001718583194</v>
      </c>
      <c r="O25" s="24">
        <f t="shared" si="40"/>
        <v>1033.6679999999999</v>
      </c>
      <c r="P25" s="25">
        <f t="shared" si="34"/>
        <v>0.83575901546724873</v>
      </c>
      <c r="Q25" s="28">
        <f t="shared" si="38"/>
        <v>679.08259999999996</v>
      </c>
      <c r="S25" s="8" t="s">
        <v>237</v>
      </c>
      <c r="T25" s="31">
        <v>6</v>
      </c>
      <c r="U25" s="12">
        <f>'Landings &amp; Winders.'!W24</f>
        <v>196.29360833333334</v>
      </c>
      <c r="V25" s="22">
        <f t="shared" si="35"/>
        <v>1246.3091999999999</v>
      </c>
      <c r="W25" s="23">
        <f t="shared" si="36"/>
        <v>0.84250007274813232</v>
      </c>
      <c r="X25" s="24">
        <f>($X$22/2)*T25</f>
        <v>1384.788</v>
      </c>
      <c r="Y25" s="25">
        <f t="shared" si="37"/>
        <v>0.85825006547331906</v>
      </c>
      <c r="Z25" s="28">
        <f t="shared" si="39"/>
        <v>785.17443333333335</v>
      </c>
    </row>
    <row r="26" spans="1:26" ht="14.85" customHeight="1" x14ac:dyDescent="0.25">
      <c r="A26" s="292"/>
      <c r="B26" s="294"/>
      <c r="C26" s="294"/>
      <c r="D26" s="294"/>
      <c r="E26" s="296"/>
      <c r="F26" s="296"/>
      <c r="G26" s="296"/>
      <c r="H26" s="27">
        <v>0.7</v>
      </c>
    </row>
    <row r="27" spans="1:26" ht="14.85" customHeight="1" x14ac:dyDescent="0.25">
      <c r="A27" s="8" t="s">
        <v>231</v>
      </c>
      <c r="B27" s="31" t="s">
        <v>232</v>
      </c>
      <c r="C27" s="12">
        <f>'Landings &amp; Winders.'!G26</f>
        <v>203.03054166666669</v>
      </c>
      <c r="D27" s="22">
        <f t="shared" ref="D27" si="41">F27-(F27*10%)</f>
        <v>596.70449999999994</v>
      </c>
      <c r="E27" s="23">
        <f t="shared" ref="E27" si="42">(D27-C27)/D27</f>
        <v>0.65974692386823508</v>
      </c>
      <c r="F27" s="24">
        <v>663.00499999999988</v>
      </c>
      <c r="G27" s="25">
        <f t="shared" ref="G27" si="43">(F27-C27)/F27</f>
        <v>0.69377223148141154</v>
      </c>
      <c r="H27" s="28">
        <f>C27/(1-$H$26)</f>
        <v>676.76847222222216</v>
      </c>
      <c r="J27" s="290" t="s">
        <v>244</v>
      </c>
      <c r="K27" s="290"/>
      <c r="L27" s="290"/>
      <c r="M27" s="290"/>
      <c r="N27" s="290"/>
      <c r="O27" s="290"/>
      <c r="P27" s="290"/>
      <c r="Q27" s="290"/>
      <c r="S27" s="290" t="s">
        <v>244</v>
      </c>
      <c r="T27" s="290"/>
      <c r="U27" s="290"/>
      <c r="V27" s="290"/>
      <c r="W27" s="290"/>
      <c r="X27" s="290"/>
      <c r="Y27" s="290"/>
      <c r="Z27" s="290"/>
    </row>
    <row r="28" spans="1:26" ht="14.85" customHeight="1" x14ac:dyDescent="0.25">
      <c r="J28" s="291" t="s">
        <v>198</v>
      </c>
      <c r="K28" s="293" t="s">
        <v>230</v>
      </c>
      <c r="L28" s="293" t="s">
        <v>8</v>
      </c>
      <c r="M28" s="293" t="s">
        <v>199</v>
      </c>
      <c r="N28" s="295" t="s">
        <v>39</v>
      </c>
      <c r="O28" s="295" t="s">
        <v>200</v>
      </c>
      <c r="P28" s="295" t="s">
        <v>39</v>
      </c>
      <c r="Q28" s="4" t="s">
        <v>141</v>
      </c>
      <c r="S28" s="291" t="s">
        <v>198</v>
      </c>
      <c r="T28" s="293" t="s">
        <v>230</v>
      </c>
      <c r="U28" s="293" t="s">
        <v>8</v>
      </c>
      <c r="V28" s="293" t="s">
        <v>199</v>
      </c>
      <c r="W28" s="295" t="s">
        <v>39</v>
      </c>
      <c r="X28" s="295" t="s">
        <v>200</v>
      </c>
      <c r="Y28" s="295" t="s">
        <v>39</v>
      </c>
      <c r="Z28" s="4" t="s">
        <v>141</v>
      </c>
    </row>
    <row r="29" spans="1:26" ht="14.85" customHeight="1" x14ac:dyDescent="0.25">
      <c r="J29" s="292"/>
      <c r="K29" s="294"/>
      <c r="L29" s="294"/>
      <c r="M29" s="294"/>
      <c r="N29" s="296"/>
      <c r="O29" s="296"/>
      <c r="P29" s="296"/>
      <c r="Q29" s="27">
        <v>0.78</v>
      </c>
      <c r="S29" s="292"/>
      <c r="T29" s="294"/>
      <c r="U29" s="294"/>
      <c r="V29" s="294"/>
      <c r="W29" s="296"/>
      <c r="X29" s="296"/>
      <c r="Y29" s="296"/>
      <c r="Z29" s="27">
        <v>0.83</v>
      </c>
    </row>
    <row r="30" spans="1:26" ht="14.85" customHeight="1" x14ac:dyDescent="0.25">
      <c r="J30" s="8" t="s">
        <v>234</v>
      </c>
      <c r="K30" s="31">
        <v>3</v>
      </c>
      <c r="L30" s="12">
        <f>'Landings &amp; Winders.'!O29</f>
        <v>240.92165833333334</v>
      </c>
      <c r="M30" s="22">
        <f t="shared" ref="M30:M31" si="44">O30-(O30*10%)</f>
        <v>722.90700000000004</v>
      </c>
      <c r="N30" s="23">
        <f t="shared" ref="N30:N31" si="45">(M30-L30)/M30</f>
        <v>0.66673215457405544</v>
      </c>
      <c r="O30" s="24">
        <v>803.23</v>
      </c>
      <c r="P30" s="25">
        <f t="shared" ref="P30:P31" si="46">(O30-L30)/O30</f>
        <v>0.70005893911664985</v>
      </c>
      <c r="Q30" s="28">
        <f>L30/(1-$Q$29)</f>
        <v>1095.0984469696971</v>
      </c>
      <c r="S30" s="8" t="s">
        <v>234</v>
      </c>
      <c r="T30" s="31">
        <v>3</v>
      </c>
      <c r="U30" s="12">
        <f>'Landings &amp; Winders.'!W29</f>
        <v>265.12161666666668</v>
      </c>
      <c r="V30" s="22">
        <f t="shared" ref="V30:V31" si="47">X30-(X30*10%)</f>
        <v>838.47170454545471</v>
      </c>
      <c r="W30" s="23">
        <f t="shared" ref="W30:W31" si="48">(V30-U30)/V30</f>
        <v>0.68380374050858139</v>
      </c>
      <c r="X30" s="24">
        <v>931.63522727272743</v>
      </c>
      <c r="Y30" s="25">
        <f t="shared" ref="Y30:Y31" si="49">(X30-U30)/X30</f>
        <v>0.7154233664577232</v>
      </c>
      <c r="Z30" s="28">
        <f>U30/(1-$Z$29)</f>
        <v>1559.5389215686271</v>
      </c>
    </row>
    <row r="31" spans="1:26" ht="14.85" customHeight="1" x14ac:dyDescent="0.25">
      <c r="J31" s="8" t="s">
        <v>240</v>
      </c>
      <c r="K31" s="31">
        <v>5</v>
      </c>
      <c r="L31" s="12">
        <f>'Landings &amp; Winders.'!O30</f>
        <v>215.10645833333334</v>
      </c>
      <c r="M31" s="22">
        <f t="shared" si="44"/>
        <v>1002.357</v>
      </c>
      <c r="N31" s="23">
        <f t="shared" si="45"/>
        <v>0.78539935538602179</v>
      </c>
      <c r="O31" s="24">
        <v>1113.73</v>
      </c>
      <c r="P31" s="25">
        <f t="shared" si="46"/>
        <v>0.80685941984741971</v>
      </c>
      <c r="Q31" s="28">
        <f>L31/(1-$Q$29)</f>
        <v>977.75662878787887</v>
      </c>
      <c r="S31" s="8" t="s">
        <v>240</v>
      </c>
      <c r="T31" s="31">
        <v>5</v>
      </c>
      <c r="U31" s="12">
        <f>'Landings &amp; Winders.'!W30</f>
        <v>246.26391666666666</v>
      </c>
      <c r="V31" s="22">
        <f t="shared" si="47"/>
        <v>1151.9179411764705</v>
      </c>
      <c r="W31" s="23">
        <f t="shared" si="48"/>
        <v>0.7862140106827803</v>
      </c>
      <c r="X31" s="24">
        <v>1279.9088235294116</v>
      </c>
      <c r="Y31" s="25">
        <f t="shared" si="49"/>
        <v>0.80759260961450219</v>
      </c>
      <c r="Z31" s="28">
        <f>U31/(1-$Z$29)</f>
        <v>1448.6112745098035</v>
      </c>
    </row>
    <row r="32" spans="1:26" ht="14.85" customHeight="1" x14ac:dyDescent="0.25"/>
    <row r="33" spans="4:26" ht="14.85" customHeight="1" x14ac:dyDescent="0.25"/>
    <row r="34" spans="4:26" ht="14.85" customHeight="1" x14ac:dyDescent="0.25">
      <c r="D34" s="32"/>
      <c r="J34" s="290" t="s">
        <v>245</v>
      </c>
      <c r="K34" s="290"/>
      <c r="L34" s="290"/>
      <c r="M34" s="290"/>
      <c r="N34" s="290"/>
      <c r="O34" s="290"/>
      <c r="P34" s="290"/>
      <c r="Q34" s="290"/>
      <c r="S34" s="290" t="s">
        <v>245</v>
      </c>
      <c r="T34" s="290"/>
      <c r="U34" s="290"/>
      <c r="V34" s="290"/>
      <c r="W34" s="290"/>
      <c r="X34" s="290"/>
      <c r="Y34" s="290"/>
      <c r="Z34" s="290"/>
    </row>
    <row r="35" spans="4:26" ht="14.85" customHeight="1" x14ac:dyDescent="0.25">
      <c r="J35" s="291" t="s">
        <v>198</v>
      </c>
      <c r="K35" s="293" t="s">
        <v>230</v>
      </c>
      <c r="L35" s="293" t="s">
        <v>8</v>
      </c>
      <c r="M35" s="293" t="s">
        <v>199</v>
      </c>
      <c r="N35" s="295" t="s">
        <v>39</v>
      </c>
      <c r="O35" s="295" t="s">
        <v>200</v>
      </c>
      <c r="P35" s="295" t="s">
        <v>39</v>
      </c>
      <c r="Q35" s="4" t="s">
        <v>141</v>
      </c>
      <c r="S35" s="291" t="s">
        <v>198</v>
      </c>
      <c r="T35" s="293" t="s">
        <v>230</v>
      </c>
      <c r="U35" s="293" t="s">
        <v>8</v>
      </c>
      <c r="V35" s="293" t="s">
        <v>199</v>
      </c>
      <c r="W35" s="295" t="s">
        <v>39</v>
      </c>
      <c r="X35" s="295" t="s">
        <v>200</v>
      </c>
      <c r="Y35" s="295" t="s">
        <v>39</v>
      </c>
      <c r="Z35" s="4" t="s">
        <v>141</v>
      </c>
    </row>
    <row r="36" spans="4:26" ht="14.85" customHeight="1" x14ac:dyDescent="0.25">
      <c r="J36" s="292"/>
      <c r="K36" s="294"/>
      <c r="L36" s="294"/>
      <c r="M36" s="294"/>
      <c r="N36" s="296"/>
      <c r="O36" s="296"/>
      <c r="P36" s="296"/>
      <c r="Q36" s="27">
        <v>0.75</v>
      </c>
      <c r="S36" s="292"/>
      <c r="T36" s="294"/>
      <c r="U36" s="294"/>
      <c r="V36" s="294"/>
      <c r="W36" s="296"/>
      <c r="X36" s="296"/>
      <c r="Y36" s="296"/>
      <c r="Z36" s="27">
        <v>0.75</v>
      </c>
    </row>
    <row r="37" spans="4:26" ht="14.85" customHeight="1" x14ac:dyDescent="0.25">
      <c r="J37" s="8" t="s">
        <v>233</v>
      </c>
      <c r="K37" s="31">
        <v>2</v>
      </c>
      <c r="L37" s="12">
        <f>'Landings &amp; Winders.'!O36</f>
        <v>125.16918333333334</v>
      </c>
      <c r="M37" s="22">
        <f t="shared" ref="M37:M40" si="50">O37-(O37*10%)</f>
        <v>326.96640000000002</v>
      </c>
      <c r="N37" s="23">
        <f t="shared" ref="N37:N40" si="51">(M37-L37)/M37</f>
        <v>0.61718028723032914</v>
      </c>
      <c r="O37" s="24">
        <v>363.29599999999999</v>
      </c>
      <c r="P37" s="25">
        <f t="shared" ref="P37:P40" si="52">(O37-L37)/O37</f>
        <v>0.65546225850729611</v>
      </c>
      <c r="Q37" s="28">
        <f>L37/(1-$Q$36)</f>
        <v>500.67673333333335</v>
      </c>
      <c r="S37" s="8" t="s">
        <v>233</v>
      </c>
      <c r="T37" s="31">
        <v>2</v>
      </c>
      <c r="U37" s="12">
        <f>'Landings &amp; Winders.'!W36</f>
        <v>150.74914166666667</v>
      </c>
      <c r="V37" s="22">
        <f t="shared" ref="V37:V40" si="53">X37-(X37*10%)</f>
        <v>432.30240000000003</v>
      </c>
      <c r="W37" s="23">
        <f t="shared" ref="W37:W40" si="54">(V37-U37)/V37</f>
        <v>0.65128775212289669</v>
      </c>
      <c r="X37" s="24">
        <v>480.33600000000001</v>
      </c>
      <c r="Y37" s="25">
        <f t="shared" ref="Y37:Y40" si="55">(X37-U37)/X37</f>
        <v>0.68615897691060701</v>
      </c>
      <c r="Z37" s="28">
        <f>U37/(1-$Z$36)</f>
        <v>602.99656666666669</v>
      </c>
    </row>
    <row r="38" spans="4:26" ht="14.85" customHeight="1" x14ac:dyDescent="0.25">
      <c r="J38" s="8" t="s">
        <v>234</v>
      </c>
      <c r="K38" s="31">
        <v>3</v>
      </c>
      <c r="L38" s="12">
        <f>'Landings &amp; Winders.'!O37</f>
        <v>112.90098333333334</v>
      </c>
      <c r="M38" s="22">
        <f t="shared" si="50"/>
        <v>490.44959999999998</v>
      </c>
      <c r="N38" s="23">
        <f t="shared" si="51"/>
        <v>0.76980104921416326</v>
      </c>
      <c r="O38" s="24">
        <f>($O$37/2)*K38</f>
        <v>544.94399999999996</v>
      </c>
      <c r="P38" s="25">
        <f t="shared" si="52"/>
        <v>0.79282094429274685</v>
      </c>
      <c r="Q38" s="28">
        <f t="shared" ref="Q38:Q40" si="56">L38/(1-$Q$36)</f>
        <v>451.60393333333337</v>
      </c>
      <c r="S38" s="8" t="s">
        <v>234</v>
      </c>
      <c r="T38" s="31">
        <v>3</v>
      </c>
      <c r="U38" s="12">
        <f>'Landings &amp; Winders.'!W37</f>
        <v>138.48094166666669</v>
      </c>
      <c r="V38" s="22">
        <f t="shared" si="53"/>
        <v>648.45360000000005</v>
      </c>
      <c r="W38" s="23">
        <f t="shared" si="54"/>
        <v>0.78644433207454367</v>
      </c>
      <c r="X38" s="24">
        <f>($X$37/2)*T38</f>
        <v>720.50400000000002</v>
      </c>
      <c r="Y38" s="25">
        <f t="shared" si="55"/>
        <v>0.80779989886708925</v>
      </c>
      <c r="Z38" s="28">
        <f t="shared" ref="Z38:Z40" si="57">U38/(1-$Z$36)</f>
        <v>553.92376666666678</v>
      </c>
    </row>
    <row r="39" spans="4:26" ht="14.85" customHeight="1" x14ac:dyDescent="0.25">
      <c r="J39" s="8" t="s">
        <v>236</v>
      </c>
      <c r="K39" s="31">
        <v>4</v>
      </c>
      <c r="L39" s="12">
        <f>'Landings &amp; Winders.'!O38</f>
        <v>199.58670000000001</v>
      </c>
      <c r="M39" s="22">
        <f t="shared" si="50"/>
        <v>653.93280000000004</v>
      </c>
      <c r="N39" s="23">
        <f t="shared" si="51"/>
        <v>0.69479019862591385</v>
      </c>
      <c r="O39" s="24">
        <f t="shared" ref="O39:O40" si="58">($O$37/2)*K39</f>
        <v>726.59199999999998</v>
      </c>
      <c r="P39" s="25">
        <f t="shared" si="52"/>
        <v>0.72531117876332252</v>
      </c>
      <c r="Q39" s="28">
        <f t="shared" si="56"/>
        <v>798.34680000000003</v>
      </c>
      <c r="S39" s="8" t="s">
        <v>236</v>
      </c>
      <c r="T39" s="31">
        <v>4</v>
      </c>
      <c r="U39" s="12">
        <f>'Landings &amp; Winders.'!W38</f>
        <v>226.54665833333334</v>
      </c>
      <c r="V39" s="22">
        <f t="shared" si="53"/>
        <v>864.60480000000007</v>
      </c>
      <c r="W39" s="23">
        <f t="shared" si="54"/>
        <v>0.73797663587649143</v>
      </c>
      <c r="X39" s="24">
        <f t="shared" ref="X39:X40" si="59">($X$37/2)*T39</f>
        <v>960.67200000000003</v>
      </c>
      <c r="Y39" s="25">
        <f t="shared" si="55"/>
        <v>0.76417897228884224</v>
      </c>
      <c r="Z39" s="28">
        <f t="shared" si="57"/>
        <v>906.18663333333336</v>
      </c>
    </row>
    <row r="40" spans="4:26" ht="14.85" customHeight="1" x14ac:dyDescent="0.25">
      <c r="J40" s="8" t="s">
        <v>237</v>
      </c>
      <c r="K40" s="31">
        <v>6</v>
      </c>
      <c r="L40" s="12">
        <f>'Landings &amp; Winders.'!O39</f>
        <v>175.05029999999999</v>
      </c>
      <c r="M40" s="22">
        <f t="shared" si="50"/>
        <v>980.89919999999995</v>
      </c>
      <c r="N40" s="23">
        <f t="shared" si="51"/>
        <v>0.82154099014455306</v>
      </c>
      <c r="O40" s="24">
        <f t="shared" si="58"/>
        <v>1089.8879999999999</v>
      </c>
      <c r="P40" s="25">
        <f t="shared" si="52"/>
        <v>0.83938689113009779</v>
      </c>
      <c r="Q40" s="28">
        <f t="shared" si="56"/>
        <v>700.20119999999997</v>
      </c>
      <c r="S40" s="8" t="s">
        <v>237</v>
      </c>
      <c r="T40" s="31">
        <v>6</v>
      </c>
      <c r="U40" s="12">
        <f>'Landings &amp; Winders.'!W39</f>
        <v>202.01025833333335</v>
      </c>
      <c r="V40" s="22">
        <f t="shared" si="53"/>
        <v>1296.9072000000001</v>
      </c>
      <c r="W40" s="23">
        <f t="shared" si="54"/>
        <v>0.84423692124360694</v>
      </c>
      <c r="X40" s="24">
        <f t="shared" si="59"/>
        <v>1441.008</v>
      </c>
      <c r="Y40" s="25">
        <f t="shared" si="55"/>
        <v>0.85981322911924607</v>
      </c>
      <c r="Z40" s="28">
        <f t="shared" si="57"/>
        <v>808.04103333333342</v>
      </c>
    </row>
    <row r="42" spans="4:26" x14ac:dyDescent="0.25">
      <c r="J42" s="290" t="s">
        <v>246</v>
      </c>
      <c r="K42" s="290"/>
      <c r="L42" s="290"/>
      <c r="M42" s="290"/>
      <c r="N42" s="290"/>
      <c r="O42" s="290"/>
      <c r="P42" s="290"/>
      <c r="Q42" s="290"/>
      <c r="S42" s="290" t="s">
        <v>246</v>
      </c>
      <c r="T42" s="290"/>
      <c r="U42" s="290"/>
      <c r="V42" s="290"/>
      <c r="W42" s="290"/>
      <c r="X42" s="290"/>
      <c r="Y42" s="290"/>
      <c r="Z42" s="290"/>
    </row>
    <row r="43" spans="4:26" x14ac:dyDescent="0.25">
      <c r="J43" s="291" t="s">
        <v>198</v>
      </c>
      <c r="K43" s="293" t="s">
        <v>230</v>
      </c>
      <c r="L43" s="293" t="s">
        <v>8</v>
      </c>
      <c r="M43" s="293" t="s">
        <v>199</v>
      </c>
      <c r="N43" s="295" t="s">
        <v>39</v>
      </c>
      <c r="O43" s="295" t="s">
        <v>200</v>
      </c>
      <c r="P43" s="295" t="s">
        <v>39</v>
      </c>
      <c r="Q43" s="4" t="s">
        <v>141</v>
      </c>
      <c r="S43" s="291" t="s">
        <v>198</v>
      </c>
      <c r="T43" s="293" t="s">
        <v>230</v>
      </c>
      <c r="U43" s="293" t="s">
        <v>8</v>
      </c>
      <c r="V43" s="293" t="s">
        <v>199</v>
      </c>
      <c r="W43" s="295" t="s">
        <v>39</v>
      </c>
      <c r="X43" s="295" t="s">
        <v>200</v>
      </c>
      <c r="Y43" s="295" t="s">
        <v>39</v>
      </c>
      <c r="Z43" s="4" t="s">
        <v>141</v>
      </c>
    </row>
    <row r="44" spans="4:26" x14ac:dyDescent="0.25">
      <c r="J44" s="292"/>
      <c r="K44" s="294"/>
      <c r="L44" s="294"/>
      <c r="M44" s="294"/>
      <c r="N44" s="296"/>
      <c r="O44" s="296"/>
      <c r="P44" s="296"/>
      <c r="Q44" s="27">
        <v>0.78</v>
      </c>
      <c r="S44" s="292"/>
      <c r="T44" s="294"/>
      <c r="U44" s="294"/>
      <c r="V44" s="294"/>
      <c r="W44" s="296"/>
      <c r="X44" s="296"/>
      <c r="Y44" s="296"/>
      <c r="Z44" s="27">
        <v>0.78</v>
      </c>
    </row>
    <row r="45" spans="4:26" x14ac:dyDescent="0.25">
      <c r="J45" s="8" t="s">
        <v>234</v>
      </c>
      <c r="K45" s="31">
        <v>3</v>
      </c>
      <c r="L45" s="12">
        <f>'Landings &amp; Winders.'!O44</f>
        <v>258.13485833333334</v>
      </c>
      <c r="M45" s="22">
        <f t="shared" ref="M45:M46" si="60">O45-(O45*10%)</f>
        <v>742.06799999999998</v>
      </c>
      <c r="N45" s="23">
        <f t="shared" ref="N45:N46" si="61">(M45-L45)/M45</f>
        <v>0.65214123458586903</v>
      </c>
      <c r="O45" s="24">
        <v>824.52</v>
      </c>
      <c r="P45" s="25">
        <f t="shared" ref="P45:P46" si="62">(O45-L45)/O45</f>
        <v>0.68692711112728211</v>
      </c>
      <c r="Q45" s="28">
        <f>L45/(1-$Q$44)</f>
        <v>1173.3402651515153</v>
      </c>
      <c r="S45" s="8" t="s">
        <v>234</v>
      </c>
      <c r="T45" s="31">
        <v>3</v>
      </c>
      <c r="U45" s="12">
        <f>'Landings &amp; Winders.'!W44</f>
        <v>282.33481666666665</v>
      </c>
      <c r="V45" s="22">
        <f t="shared" ref="V45:V46" si="63">X45-(X45*10%)</f>
        <v>755.56799999999998</v>
      </c>
      <c r="W45" s="23">
        <f t="shared" ref="W45:W46" si="64">(V45-U45)/V45</f>
        <v>0.62632772077871657</v>
      </c>
      <c r="X45" s="24">
        <v>839.52</v>
      </c>
      <c r="Y45" s="25">
        <f t="shared" ref="Y45:Y46" si="65">(X45-U45)/X45</f>
        <v>0.66369494870084489</v>
      </c>
      <c r="Z45" s="28">
        <f>U45/(1-$Z$44)</f>
        <v>1283.340075757576</v>
      </c>
    </row>
    <row r="46" spans="4:26" x14ac:dyDescent="0.25">
      <c r="J46" s="8" t="s">
        <v>240</v>
      </c>
      <c r="K46" s="31">
        <v>5</v>
      </c>
      <c r="L46" s="12">
        <f>'Landings &amp; Winders.'!O45</f>
        <v>233.59845833333333</v>
      </c>
      <c r="M46" s="22">
        <f t="shared" si="60"/>
        <v>1027.1610000000001</v>
      </c>
      <c r="N46" s="23">
        <f t="shared" si="61"/>
        <v>0.7725785360490387</v>
      </c>
      <c r="O46" s="24">
        <v>1141.29</v>
      </c>
      <c r="P46" s="25">
        <f t="shared" si="62"/>
        <v>0.79532068244413479</v>
      </c>
      <c r="Q46" s="28">
        <f>L46/(1-$Q$44)</f>
        <v>1061.8111742424244</v>
      </c>
      <c r="S46" s="8" t="s">
        <v>240</v>
      </c>
      <c r="T46" s="31">
        <v>5</v>
      </c>
      <c r="U46" s="12">
        <f>'Landings &amp; Winders.'!W45</f>
        <v>257.79841666666664</v>
      </c>
      <c r="V46" s="22">
        <f t="shared" si="63"/>
        <v>1040.6610000000001</v>
      </c>
      <c r="W46" s="23">
        <f t="shared" si="64"/>
        <v>0.75227435575401924</v>
      </c>
      <c r="X46" s="24">
        <v>1156.29</v>
      </c>
      <c r="Y46" s="25">
        <f t="shared" si="65"/>
        <v>0.77704692017861721</v>
      </c>
      <c r="Z46" s="28">
        <f>U46/(1-$Z$44)</f>
        <v>1171.8109848484848</v>
      </c>
    </row>
    <row r="49" spans="10:26" x14ac:dyDescent="0.25">
      <c r="J49" s="290" t="s">
        <v>247</v>
      </c>
      <c r="K49" s="290"/>
      <c r="L49" s="290"/>
      <c r="M49" s="290"/>
      <c r="N49" s="290"/>
      <c r="O49" s="290"/>
      <c r="P49" s="290"/>
      <c r="Q49" s="290"/>
      <c r="S49" s="290" t="s">
        <v>247</v>
      </c>
      <c r="T49" s="290"/>
      <c r="U49" s="290"/>
      <c r="V49" s="290"/>
      <c r="W49" s="290"/>
      <c r="X49" s="290"/>
      <c r="Y49" s="290"/>
      <c r="Z49" s="290"/>
    </row>
    <row r="50" spans="10:26" x14ac:dyDescent="0.25">
      <c r="J50" s="291" t="s">
        <v>198</v>
      </c>
      <c r="K50" s="293" t="s">
        <v>230</v>
      </c>
      <c r="L50" s="293" t="s">
        <v>8</v>
      </c>
      <c r="M50" s="293" t="s">
        <v>199</v>
      </c>
      <c r="N50" s="295" t="s">
        <v>39</v>
      </c>
      <c r="O50" s="295" t="s">
        <v>200</v>
      </c>
      <c r="P50" s="295" t="s">
        <v>39</v>
      </c>
      <c r="Q50" s="4" t="s">
        <v>141</v>
      </c>
      <c r="S50" s="291" t="s">
        <v>198</v>
      </c>
      <c r="T50" s="293" t="s">
        <v>230</v>
      </c>
      <c r="U50" s="293" t="s">
        <v>8</v>
      </c>
      <c r="V50" s="293" t="s">
        <v>199</v>
      </c>
      <c r="W50" s="295" t="s">
        <v>39</v>
      </c>
      <c r="X50" s="295" t="s">
        <v>200</v>
      </c>
      <c r="Y50" s="295" t="s">
        <v>39</v>
      </c>
      <c r="Z50" s="4" t="s">
        <v>141</v>
      </c>
    </row>
    <row r="51" spans="10:26" x14ac:dyDescent="0.25">
      <c r="J51" s="292"/>
      <c r="K51" s="294"/>
      <c r="L51" s="294"/>
      <c r="M51" s="294"/>
      <c r="N51" s="296"/>
      <c r="O51" s="296"/>
      <c r="P51" s="296"/>
      <c r="Q51" s="27">
        <v>0.75</v>
      </c>
      <c r="S51" s="292"/>
      <c r="T51" s="294"/>
      <c r="U51" s="294"/>
      <c r="V51" s="294"/>
      <c r="W51" s="296"/>
      <c r="X51" s="296"/>
      <c r="Y51" s="296"/>
      <c r="Z51" s="27">
        <v>0.75</v>
      </c>
    </row>
    <row r="52" spans="10:26" x14ac:dyDescent="0.25">
      <c r="J52" s="8" t="s">
        <v>233</v>
      </c>
      <c r="K52" s="31">
        <v>2</v>
      </c>
      <c r="L52" s="12">
        <f>'Landings &amp; Winders.'!O51</f>
        <v>205.71210833333333</v>
      </c>
      <c r="M52" s="22">
        <f t="shared" ref="M52:M55" si="66">O52-(O52*10%)</f>
        <v>451.63440000000003</v>
      </c>
      <c r="N52" s="23">
        <f t="shared" ref="N52:N55" si="67">(M52-L52)/M52</f>
        <v>0.54451629828610637</v>
      </c>
      <c r="O52" s="24">
        <v>501.81600000000003</v>
      </c>
      <c r="P52" s="25">
        <f t="shared" ref="P52:P55" si="68">(O52-L52)/O52</f>
        <v>0.59006466845749572</v>
      </c>
      <c r="Q52" s="28">
        <f>L52/(1-$Q$51)</f>
        <v>822.84843333333333</v>
      </c>
      <c r="S52" s="8" t="s">
        <v>233</v>
      </c>
      <c r="T52" s="31">
        <v>2</v>
      </c>
      <c r="U52" s="12">
        <f>'Landings &amp; Winders.'!W51</f>
        <v>231.07356666666669</v>
      </c>
      <c r="V52" s="22">
        <f t="shared" ref="V52:V55" si="69">X52-(X52*10%)</f>
        <v>658.67039999999997</v>
      </c>
      <c r="W52" s="23">
        <f t="shared" ref="W52:W55" si="70">(V52-U52)/V52</f>
        <v>0.64918179613556837</v>
      </c>
      <c r="X52" s="24">
        <v>731.85599999999999</v>
      </c>
      <c r="Y52" s="25">
        <f t="shared" ref="Y52:Y55" si="71">(X52-U52)/X52</f>
        <v>0.68426361652201162</v>
      </c>
      <c r="Z52" s="28">
        <f>U52/(1-$Z$51)</f>
        <v>924.29426666666677</v>
      </c>
    </row>
    <row r="53" spans="10:26" x14ac:dyDescent="0.25">
      <c r="J53" s="8" t="s">
        <v>234</v>
      </c>
      <c r="K53" s="31">
        <v>3</v>
      </c>
      <c r="L53" s="12">
        <f>'Landings &amp; Winders.'!O52</f>
        <v>188.93130833333333</v>
      </c>
      <c r="M53" s="22">
        <f t="shared" si="66"/>
        <v>677.4516000000001</v>
      </c>
      <c r="N53" s="23">
        <f t="shared" si="67"/>
        <v>0.72111467692550535</v>
      </c>
      <c r="O53" s="24">
        <f>($O$52/2)*K53</f>
        <v>752.72400000000005</v>
      </c>
      <c r="P53" s="25">
        <f t="shared" si="68"/>
        <v>0.74900320923295494</v>
      </c>
      <c r="Q53" s="28">
        <f t="shared" ref="Q53:Q55" si="72">L53/(1-$Q$51)</f>
        <v>755.72523333333334</v>
      </c>
      <c r="S53" s="8" t="s">
        <v>234</v>
      </c>
      <c r="T53" s="31">
        <v>3</v>
      </c>
      <c r="U53" s="12">
        <f>'Landings &amp; Winders.'!W52</f>
        <v>214.29276666666669</v>
      </c>
      <c r="V53" s="22">
        <f t="shared" si="69"/>
        <v>988.00560000000007</v>
      </c>
      <c r="W53" s="23">
        <f t="shared" si="70"/>
        <v>0.78310571653979832</v>
      </c>
      <c r="X53" s="24">
        <f>($X$52/2)*T53</f>
        <v>1097.7840000000001</v>
      </c>
      <c r="Y53" s="25">
        <f t="shared" si="71"/>
        <v>0.80479514488581849</v>
      </c>
      <c r="Z53" s="28">
        <f t="shared" ref="Z53:Z55" si="73">U53/(1-$Z$51)</f>
        <v>857.17106666666677</v>
      </c>
    </row>
    <row r="54" spans="10:26" x14ac:dyDescent="0.25">
      <c r="J54" s="8" t="s">
        <v>236</v>
      </c>
      <c r="K54" s="31">
        <v>4</v>
      </c>
      <c r="L54" s="12">
        <f>'Landings &amp; Winders.'!O53</f>
        <v>284.61692500000004</v>
      </c>
      <c r="M54" s="22">
        <f t="shared" si="66"/>
        <v>903.26880000000006</v>
      </c>
      <c r="N54" s="23">
        <f t="shared" si="67"/>
        <v>0.68490340306229991</v>
      </c>
      <c r="O54" s="24">
        <f>($O$52/2)*K54</f>
        <v>1003.6320000000001</v>
      </c>
      <c r="P54" s="25">
        <f t="shared" si="68"/>
        <v>0.71641306275606997</v>
      </c>
      <c r="Q54" s="28">
        <f t="shared" si="72"/>
        <v>1138.4677000000001</v>
      </c>
      <c r="S54" s="8" t="s">
        <v>236</v>
      </c>
      <c r="T54" s="31">
        <v>4</v>
      </c>
      <c r="U54" s="12">
        <f>'Landings &amp; Winders.'!W53</f>
        <v>311.13988333333339</v>
      </c>
      <c r="V54" s="22">
        <f t="shared" si="69"/>
        <v>1317.3407999999999</v>
      </c>
      <c r="W54" s="23">
        <f t="shared" si="70"/>
        <v>0.76381215602421682</v>
      </c>
      <c r="X54" s="24">
        <f t="shared" ref="X54:X55" si="74">($X$52/2)*T54</f>
        <v>1463.712</v>
      </c>
      <c r="Y54" s="25">
        <f t="shared" si="71"/>
        <v>0.78743094042179518</v>
      </c>
      <c r="Z54" s="28">
        <f t="shared" si="73"/>
        <v>1244.5595333333335</v>
      </c>
    </row>
    <row r="55" spans="10:26" x14ac:dyDescent="0.25">
      <c r="J55" s="8" t="s">
        <v>237</v>
      </c>
      <c r="K55" s="31">
        <v>6</v>
      </c>
      <c r="L55" s="12">
        <f>'Landings &amp; Winders.'!O54</f>
        <v>251.05532500000001</v>
      </c>
      <c r="M55" s="22">
        <f t="shared" si="66"/>
        <v>1354.9032000000002</v>
      </c>
      <c r="N55" s="23">
        <f t="shared" si="67"/>
        <v>0.81470608010963441</v>
      </c>
      <c r="O55" s="24">
        <f>($O$52/2)*K55</f>
        <v>1505.4480000000001</v>
      </c>
      <c r="P55" s="25">
        <f t="shared" si="68"/>
        <v>0.83323547209867099</v>
      </c>
      <c r="Q55" s="28">
        <f t="shared" si="72"/>
        <v>1004.2213</v>
      </c>
      <c r="S55" s="8" t="s">
        <v>237</v>
      </c>
      <c r="T55" s="31">
        <v>6</v>
      </c>
      <c r="U55" s="12">
        <f>'Landings &amp; Winders.'!W54</f>
        <v>277.57828333333339</v>
      </c>
      <c r="V55" s="22">
        <f t="shared" si="69"/>
        <v>1976.0112000000001</v>
      </c>
      <c r="W55" s="23">
        <f t="shared" si="70"/>
        <v>0.85952595646556385</v>
      </c>
      <c r="X55" s="24">
        <f t="shared" si="74"/>
        <v>2195.5680000000002</v>
      </c>
      <c r="Y55" s="25">
        <f t="shared" si="71"/>
        <v>0.87357336081900749</v>
      </c>
      <c r="Z55" s="28">
        <f t="shared" si="73"/>
        <v>1110.3131333333336</v>
      </c>
    </row>
    <row r="57" spans="10:26" x14ac:dyDescent="0.25">
      <c r="J57" s="290" t="s">
        <v>248</v>
      </c>
      <c r="K57" s="290"/>
      <c r="L57" s="290"/>
      <c r="M57" s="290"/>
      <c r="N57" s="290"/>
      <c r="O57" s="290"/>
      <c r="P57" s="290"/>
      <c r="Q57" s="290"/>
      <c r="S57" s="290" t="s">
        <v>248</v>
      </c>
      <c r="T57" s="290"/>
      <c r="U57" s="290"/>
      <c r="V57" s="290"/>
      <c r="W57" s="290"/>
      <c r="X57" s="290"/>
      <c r="Y57" s="290"/>
      <c r="Z57" s="290"/>
    </row>
    <row r="58" spans="10:26" x14ac:dyDescent="0.25">
      <c r="J58" s="291" t="s">
        <v>198</v>
      </c>
      <c r="K58" s="293" t="s">
        <v>230</v>
      </c>
      <c r="L58" s="293" t="s">
        <v>8</v>
      </c>
      <c r="M58" s="293" t="s">
        <v>199</v>
      </c>
      <c r="N58" s="295" t="s">
        <v>39</v>
      </c>
      <c r="O58" s="295" t="s">
        <v>200</v>
      </c>
      <c r="P58" s="295" t="s">
        <v>39</v>
      </c>
      <c r="Q58" s="4" t="s">
        <v>141</v>
      </c>
      <c r="S58" s="291" t="s">
        <v>198</v>
      </c>
      <c r="T58" s="293" t="s">
        <v>230</v>
      </c>
      <c r="U58" s="293" t="s">
        <v>8</v>
      </c>
      <c r="V58" s="293" t="s">
        <v>199</v>
      </c>
      <c r="W58" s="295" t="s">
        <v>39</v>
      </c>
      <c r="X58" s="295" t="s">
        <v>200</v>
      </c>
      <c r="Y58" s="295" t="s">
        <v>39</v>
      </c>
      <c r="Z58" s="4" t="s">
        <v>141</v>
      </c>
    </row>
    <row r="59" spans="10:26" x14ac:dyDescent="0.25">
      <c r="J59" s="292"/>
      <c r="K59" s="294"/>
      <c r="L59" s="294"/>
      <c r="M59" s="294"/>
      <c r="N59" s="296"/>
      <c r="O59" s="296"/>
      <c r="P59" s="296"/>
      <c r="Q59" s="27">
        <v>0.78</v>
      </c>
      <c r="S59" s="292"/>
      <c r="T59" s="294"/>
      <c r="U59" s="294"/>
      <c r="V59" s="294"/>
      <c r="W59" s="296"/>
      <c r="X59" s="296"/>
      <c r="Y59" s="296"/>
      <c r="Z59" s="27">
        <v>0.78</v>
      </c>
    </row>
    <row r="60" spans="10:26" x14ac:dyDescent="0.25">
      <c r="J60" s="8" t="s">
        <v>234</v>
      </c>
      <c r="K60" s="31">
        <v>3</v>
      </c>
      <c r="L60" s="12">
        <f>'Landings &amp; Winders.'!O59</f>
        <v>344.26218333333338</v>
      </c>
      <c r="M60" s="22">
        <f t="shared" ref="M60:M61" si="75">O60-(O60*10%)</f>
        <v>742.06799999999998</v>
      </c>
      <c r="N60" s="23">
        <f t="shared" ref="N60:N61" si="76">(M60-L60)/M60</f>
        <v>0.53607730917741581</v>
      </c>
      <c r="O60" s="24">
        <v>824.52</v>
      </c>
      <c r="P60" s="25">
        <f t="shared" ref="P60:P61" si="77">(O60-L60)/O60</f>
        <v>0.58246957825967427</v>
      </c>
      <c r="Q60" s="28">
        <f>L60/(1-$Q$59)</f>
        <v>1564.8281060606064</v>
      </c>
      <c r="S60" s="8" t="s">
        <v>234</v>
      </c>
      <c r="T60" s="31">
        <v>3</v>
      </c>
      <c r="U60" s="12">
        <f>'Landings &amp; Winders.'!W59</f>
        <v>368.46214166666664</v>
      </c>
      <c r="V60" s="22">
        <f t="shared" ref="V60:V61" si="78">X60-(X60*10%)</f>
        <v>755.56799999999998</v>
      </c>
      <c r="W60" s="23">
        <f t="shared" ref="W60:W61" si="79">(V60-U60)/V60</f>
        <v>0.51233755046975704</v>
      </c>
      <c r="X60" s="24">
        <v>839.52</v>
      </c>
      <c r="Y60" s="25">
        <f t="shared" ref="Y60:Y61" si="80">(X60-U60)/X60</f>
        <v>0.56110379542278133</v>
      </c>
      <c r="Z60" s="28">
        <f>U60/(1-$Z$59)</f>
        <v>1674.8279166666669</v>
      </c>
    </row>
    <row r="61" spans="10:26" x14ac:dyDescent="0.25">
      <c r="J61" s="8" t="s">
        <v>240</v>
      </c>
      <c r="K61" s="31">
        <v>5</v>
      </c>
      <c r="L61" s="12">
        <f>'Landings &amp; Winders.'!O60</f>
        <v>303.74308333333335</v>
      </c>
      <c r="M61" s="22">
        <f t="shared" si="75"/>
        <v>1027.1610000000001</v>
      </c>
      <c r="N61" s="23">
        <f t="shared" si="76"/>
        <v>0.70428873045867857</v>
      </c>
      <c r="O61" s="24">
        <v>1141.29</v>
      </c>
      <c r="P61" s="25">
        <f t="shared" si="77"/>
        <v>0.73385985741281068</v>
      </c>
      <c r="Q61" s="28">
        <f>L61/(1-$Q$59)</f>
        <v>1380.6503787878789</v>
      </c>
      <c r="S61" s="8" t="s">
        <v>240</v>
      </c>
      <c r="T61" s="31">
        <v>5</v>
      </c>
      <c r="U61" s="12">
        <f>'Landings &amp; Winders.'!W60</f>
        <v>334.90054166666664</v>
      </c>
      <c r="V61" s="22">
        <f t="shared" si="78"/>
        <v>1040.6610000000001</v>
      </c>
      <c r="W61" s="23">
        <f t="shared" si="79"/>
        <v>0.67818478672049143</v>
      </c>
      <c r="X61" s="24">
        <v>1156.29</v>
      </c>
      <c r="Y61" s="25">
        <f t="shared" si="80"/>
        <v>0.71036630804844225</v>
      </c>
      <c r="Z61" s="28">
        <f>U61/(1-$Z$59)</f>
        <v>1522.2751893939394</v>
      </c>
    </row>
    <row r="64" spans="10:26" x14ac:dyDescent="0.25">
      <c r="J64" s="290" t="s">
        <v>249</v>
      </c>
      <c r="K64" s="290"/>
      <c r="L64" s="290"/>
      <c r="M64" s="290"/>
      <c r="N64" s="290"/>
      <c r="O64" s="290"/>
      <c r="P64" s="290"/>
      <c r="Q64" s="290"/>
      <c r="S64" s="290" t="s">
        <v>249</v>
      </c>
      <c r="T64" s="290"/>
      <c r="U64" s="290"/>
      <c r="V64" s="290"/>
      <c r="W64" s="290"/>
      <c r="X64" s="290"/>
      <c r="Y64" s="290"/>
      <c r="Z64" s="290"/>
    </row>
    <row r="65" spans="10:26" x14ac:dyDescent="0.25">
      <c r="J65" s="291" t="s">
        <v>198</v>
      </c>
      <c r="K65" s="293" t="s">
        <v>230</v>
      </c>
      <c r="L65" s="293" t="s">
        <v>8</v>
      </c>
      <c r="M65" s="293" t="s">
        <v>199</v>
      </c>
      <c r="N65" s="295" t="s">
        <v>39</v>
      </c>
      <c r="O65" s="295" t="s">
        <v>200</v>
      </c>
      <c r="P65" s="295" t="s">
        <v>39</v>
      </c>
      <c r="Q65" s="4" t="s">
        <v>141</v>
      </c>
      <c r="S65" s="291" t="s">
        <v>198</v>
      </c>
      <c r="T65" s="293" t="s">
        <v>230</v>
      </c>
      <c r="U65" s="293" t="s">
        <v>8</v>
      </c>
      <c r="V65" s="293" t="s">
        <v>199</v>
      </c>
      <c r="W65" s="295" t="s">
        <v>39</v>
      </c>
      <c r="X65" s="295" t="s">
        <v>200</v>
      </c>
      <c r="Y65" s="295" t="s">
        <v>39</v>
      </c>
      <c r="Z65" s="4" t="s">
        <v>141</v>
      </c>
    </row>
    <row r="66" spans="10:26" x14ac:dyDescent="0.25">
      <c r="J66" s="292"/>
      <c r="K66" s="294"/>
      <c r="L66" s="294"/>
      <c r="M66" s="294"/>
      <c r="N66" s="296"/>
      <c r="O66" s="296"/>
      <c r="P66" s="296"/>
      <c r="Q66" s="27">
        <v>0.75</v>
      </c>
      <c r="S66" s="292"/>
      <c r="T66" s="294"/>
      <c r="U66" s="294"/>
      <c r="V66" s="294"/>
      <c r="W66" s="296"/>
      <c r="X66" s="296"/>
      <c r="Y66" s="296"/>
      <c r="Z66" s="27">
        <v>0.75</v>
      </c>
    </row>
    <row r="67" spans="10:26" x14ac:dyDescent="0.25">
      <c r="J67" s="8" t="s">
        <v>233</v>
      </c>
      <c r="K67" s="31">
        <v>2</v>
      </c>
      <c r="L67" s="12">
        <f>'Landings &amp; Winders.'!O66</f>
        <v>216.29785833333335</v>
      </c>
      <c r="M67" s="22">
        <f t="shared" ref="M67:M70" si="81">O67-(O67*10%)</f>
        <v>475.16669999999999</v>
      </c>
      <c r="N67" s="23">
        <f t="shared" ref="N67:N70" si="82">(M67-L67)/M67</f>
        <v>0.54479584042119666</v>
      </c>
      <c r="O67" s="24">
        <v>527.96299999999997</v>
      </c>
      <c r="P67" s="25">
        <f t="shared" ref="P67:P70" si="83">(O67-L67)/O67</f>
        <v>0.59031625637907703</v>
      </c>
      <c r="Q67" s="28">
        <f>L67/(1-$Q$66)</f>
        <v>865.19143333333341</v>
      </c>
      <c r="S67" s="8" t="s">
        <v>233</v>
      </c>
      <c r="T67" s="31">
        <v>2</v>
      </c>
      <c r="U67" s="12">
        <f>'Landings &amp; Winders.'!W66</f>
        <v>243.70631666666668</v>
      </c>
      <c r="V67" s="22">
        <f t="shared" ref="V67:V70" si="84">X67-(X67*10%)</f>
        <v>678.56669999999997</v>
      </c>
      <c r="W67" s="23">
        <f t="shared" ref="W67:W70" si="85">(V67-U67)/V67</f>
        <v>0.6408513464237684</v>
      </c>
      <c r="X67" s="24">
        <v>753.96299999999997</v>
      </c>
      <c r="Y67" s="25">
        <f t="shared" ref="Y67:Y70" si="86">(X67-U67)/X67</f>
        <v>0.67676621178139151</v>
      </c>
      <c r="Z67" s="28">
        <f>U67/(1-$Z$66)</f>
        <v>974.82526666666672</v>
      </c>
    </row>
    <row r="68" spans="10:26" x14ac:dyDescent="0.25">
      <c r="J68" s="8" t="s">
        <v>234</v>
      </c>
      <c r="K68" s="31">
        <v>3</v>
      </c>
      <c r="L68" s="12">
        <f>'Landings &amp; Winders.'!O67</f>
        <v>195.23905833333333</v>
      </c>
      <c r="M68" s="22">
        <f t="shared" si="81"/>
        <v>712.75004999999999</v>
      </c>
      <c r="N68" s="23">
        <f t="shared" si="82"/>
        <v>0.72607640177179456</v>
      </c>
      <c r="O68" s="24">
        <f>($O$67/2)*K68</f>
        <v>791.94449999999995</v>
      </c>
      <c r="P68" s="25">
        <f t="shared" si="83"/>
        <v>0.75346876159461507</v>
      </c>
      <c r="Q68" s="28">
        <f t="shared" ref="Q68:Q70" si="87">L68/(1-$Q$66)</f>
        <v>780.95623333333333</v>
      </c>
      <c r="S68" s="8" t="s">
        <v>234</v>
      </c>
      <c r="T68" s="31">
        <v>3</v>
      </c>
      <c r="U68" s="12">
        <f>'Landings &amp; Winders.'!W67</f>
        <v>222.64751666666666</v>
      </c>
      <c r="V68" s="22">
        <f t="shared" si="84"/>
        <v>1017.85005</v>
      </c>
      <c r="W68" s="23">
        <f t="shared" si="85"/>
        <v>0.78125705582402172</v>
      </c>
      <c r="X68" s="24">
        <f>($X$67/2)*T68</f>
        <v>1130.9445000000001</v>
      </c>
      <c r="Y68" s="25">
        <f t="shared" si="86"/>
        <v>0.80313135024161963</v>
      </c>
      <c r="Z68" s="28">
        <f t="shared" ref="Z68:Z70" si="88">U68/(1-$Z$66)</f>
        <v>890.59006666666664</v>
      </c>
    </row>
    <row r="69" spans="10:26" x14ac:dyDescent="0.25">
      <c r="J69" s="8" t="s">
        <v>236</v>
      </c>
      <c r="K69" s="31">
        <v>4</v>
      </c>
      <c r="L69" s="12">
        <f>'Landings &amp; Winders.'!O68</f>
        <v>352.18159166666669</v>
      </c>
      <c r="M69" s="22">
        <f t="shared" si="81"/>
        <v>903.26880000000006</v>
      </c>
      <c r="N69" s="23">
        <f t="shared" si="82"/>
        <v>0.61010322545551599</v>
      </c>
      <c r="O69" s="24">
        <f>($O$52/2)*K69</f>
        <v>1003.6320000000001</v>
      </c>
      <c r="P69" s="25">
        <f t="shared" si="83"/>
        <v>0.64909290290996435</v>
      </c>
      <c r="Q69" s="28">
        <f t="shared" si="87"/>
        <v>1408.7263666666668</v>
      </c>
      <c r="S69" s="8" t="s">
        <v>236</v>
      </c>
      <c r="T69" s="31">
        <v>4</v>
      </c>
      <c r="U69" s="12">
        <f>'Landings &amp; Winders.'!W68</f>
        <v>382.79854999999998</v>
      </c>
      <c r="V69" s="22">
        <f t="shared" si="84"/>
        <v>1357.1333999999999</v>
      </c>
      <c r="W69" s="23">
        <f t="shared" si="85"/>
        <v>0.71793594498521662</v>
      </c>
      <c r="X69" s="24">
        <f t="shared" ref="X69:X70" si="89">($X$67/2)*T69</f>
        <v>1507.9259999999999</v>
      </c>
      <c r="Y69" s="25">
        <f t="shared" si="86"/>
        <v>0.74614235048669497</v>
      </c>
      <c r="Z69" s="28">
        <f t="shared" si="88"/>
        <v>1531.1941999999999</v>
      </c>
    </row>
    <row r="70" spans="10:26" x14ac:dyDescent="0.25">
      <c r="J70" s="8" t="s">
        <v>237</v>
      </c>
      <c r="K70" s="31">
        <v>6</v>
      </c>
      <c r="L70" s="12">
        <f>'Landings &amp; Winders.'!O69</f>
        <v>310.06399166666665</v>
      </c>
      <c r="M70" s="22">
        <f t="shared" si="81"/>
        <v>1354.9032000000002</v>
      </c>
      <c r="N70" s="23">
        <f t="shared" si="82"/>
        <v>0.77115413730909588</v>
      </c>
      <c r="O70" s="24">
        <f>($O$52/2)*K70</f>
        <v>1505.4480000000001</v>
      </c>
      <c r="P70" s="25">
        <f t="shared" si="83"/>
        <v>0.79403872357818628</v>
      </c>
      <c r="Q70" s="28">
        <f t="shared" si="87"/>
        <v>1240.2559666666666</v>
      </c>
      <c r="S70" s="8" t="s">
        <v>237</v>
      </c>
      <c r="T70" s="31">
        <v>6</v>
      </c>
      <c r="U70" s="12">
        <f>'Landings &amp; Winders.'!W69</f>
        <v>340.68095</v>
      </c>
      <c r="V70" s="22">
        <f t="shared" si="84"/>
        <v>2035.7001</v>
      </c>
      <c r="W70" s="23">
        <f t="shared" si="85"/>
        <v>0.83264678819832061</v>
      </c>
      <c r="X70" s="24">
        <f t="shared" si="89"/>
        <v>2261.8890000000001</v>
      </c>
      <c r="Y70" s="25">
        <f t="shared" si="86"/>
        <v>0.84938210937848857</v>
      </c>
      <c r="Z70" s="28">
        <f t="shared" si="88"/>
        <v>1362.7238</v>
      </c>
    </row>
    <row r="72" spans="10:26" x14ac:dyDescent="0.25">
      <c r="J72" s="290" t="s">
        <v>250</v>
      </c>
      <c r="K72" s="290"/>
      <c r="L72" s="290"/>
      <c r="M72" s="290"/>
      <c r="N72" s="290"/>
      <c r="O72" s="290"/>
      <c r="P72" s="290"/>
      <c r="Q72" s="290"/>
      <c r="S72" s="290" t="s">
        <v>250</v>
      </c>
      <c r="T72" s="290"/>
      <c r="U72" s="290"/>
      <c r="V72" s="290"/>
      <c r="W72" s="290"/>
      <c r="X72" s="290"/>
      <c r="Y72" s="290"/>
      <c r="Z72" s="290"/>
    </row>
    <row r="73" spans="10:26" x14ac:dyDescent="0.25">
      <c r="J73" s="291" t="s">
        <v>198</v>
      </c>
      <c r="K73" s="293" t="s">
        <v>230</v>
      </c>
      <c r="L73" s="293" t="s">
        <v>8</v>
      </c>
      <c r="M73" s="293" t="s">
        <v>199</v>
      </c>
      <c r="N73" s="295" t="s">
        <v>39</v>
      </c>
      <c r="O73" s="295" t="s">
        <v>200</v>
      </c>
      <c r="P73" s="295" t="s">
        <v>39</v>
      </c>
      <c r="Q73" s="4" t="s">
        <v>141</v>
      </c>
      <c r="S73" s="291" t="s">
        <v>198</v>
      </c>
      <c r="T73" s="293" t="s">
        <v>230</v>
      </c>
      <c r="U73" s="293" t="s">
        <v>8</v>
      </c>
      <c r="V73" s="293" t="s">
        <v>199</v>
      </c>
      <c r="W73" s="295" t="s">
        <v>39</v>
      </c>
      <c r="X73" s="295" t="s">
        <v>200</v>
      </c>
      <c r="Y73" s="295" t="s">
        <v>39</v>
      </c>
      <c r="Z73" s="4" t="s">
        <v>141</v>
      </c>
    </row>
    <row r="74" spans="10:26" x14ac:dyDescent="0.25">
      <c r="J74" s="292"/>
      <c r="K74" s="294"/>
      <c r="L74" s="294"/>
      <c r="M74" s="294"/>
      <c r="N74" s="296"/>
      <c r="O74" s="296"/>
      <c r="P74" s="296"/>
      <c r="Q74" s="27">
        <v>0.83</v>
      </c>
      <c r="S74" s="292"/>
      <c r="T74" s="294"/>
      <c r="U74" s="294"/>
      <c r="V74" s="294"/>
      <c r="W74" s="296"/>
      <c r="X74" s="296"/>
      <c r="Y74" s="296"/>
      <c r="Z74" s="27">
        <v>0.83</v>
      </c>
    </row>
    <row r="75" spans="10:26" x14ac:dyDescent="0.25">
      <c r="J75" s="8" t="s">
        <v>234</v>
      </c>
      <c r="K75" s="31">
        <v>3</v>
      </c>
      <c r="L75" s="12">
        <f>'Landings &amp; Winders.'!O74</f>
        <v>424.93684999999994</v>
      </c>
      <c r="M75" s="22">
        <f t="shared" ref="M75:M76" si="90">O75-(O75*10%)</f>
        <v>1836.409090909091</v>
      </c>
      <c r="N75" s="23">
        <f t="shared" ref="N75:N76" si="91">(M75-L75)/M75</f>
        <v>0.76860447266156773</v>
      </c>
      <c r="O75" s="24">
        <v>2040.4545454545455</v>
      </c>
      <c r="P75" s="25">
        <f t="shared" ref="P75:P76" si="92">(O75-L75)/O75</f>
        <v>0.791744025395411</v>
      </c>
      <c r="Q75" s="28">
        <f>L75/(1-$Q$74)</f>
        <v>2499.6285294117638</v>
      </c>
      <c r="S75" s="8" t="s">
        <v>234</v>
      </c>
      <c r="T75" s="31">
        <v>3</v>
      </c>
      <c r="U75" s="12">
        <f>'Landings &amp; Winders.'!W74</f>
        <v>449.13680833333331</v>
      </c>
      <c r="V75" s="22">
        <f t="shared" ref="V75:V76" si="93">X75-(X75*10%)</f>
        <v>1951.9772727272727</v>
      </c>
      <c r="W75" s="23">
        <f t="shared" ref="W75:W76" si="94">(V75-U75)/V75</f>
        <v>0.76990674296847406</v>
      </c>
      <c r="X75" s="24">
        <v>2168.8636363636365</v>
      </c>
      <c r="Y75" s="25">
        <f t="shared" ref="Y75:Y76" si="95">(X75-U75)/X75</f>
        <v>0.79291606867162678</v>
      </c>
      <c r="Z75" s="28">
        <f>U75/(1-$Z$74)</f>
        <v>2641.9812254901954</v>
      </c>
    </row>
    <row r="76" spans="10:26" x14ac:dyDescent="0.25">
      <c r="J76" s="8" t="s">
        <v>240</v>
      </c>
      <c r="K76" s="31">
        <v>5</v>
      </c>
      <c r="L76" s="12">
        <f>'Landings &amp; Winders.'!O75</f>
        <v>382.81925000000001</v>
      </c>
      <c r="M76" s="22">
        <f t="shared" si="90"/>
        <v>2376.5294117647054</v>
      </c>
      <c r="N76" s="23">
        <f t="shared" si="91"/>
        <v>0.83891667904259792</v>
      </c>
      <c r="O76" s="24">
        <v>2640.5882352941171</v>
      </c>
      <c r="P76" s="25">
        <f t="shared" si="92"/>
        <v>0.85502501113833818</v>
      </c>
      <c r="Q76" s="28">
        <f>L76/(1-$Q$74)</f>
        <v>2251.8779411764699</v>
      </c>
      <c r="S76" s="8" t="s">
        <v>240</v>
      </c>
      <c r="T76" s="31">
        <v>5</v>
      </c>
      <c r="U76" s="12">
        <f>'Landings &amp; Winders.'!W75</f>
        <v>407.01920833333338</v>
      </c>
      <c r="V76" s="22">
        <f t="shared" si="93"/>
        <v>2526.0882352941171</v>
      </c>
      <c r="W76" s="23">
        <f t="shared" si="94"/>
        <v>0.83887371682171541</v>
      </c>
      <c r="X76" s="24">
        <v>2806.7647058823522</v>
      </c>
      <c r="Y76" s="25">
        <f t="shared" si="95"/>
        <v>0.85498634513954386</v>
      </c>
      <c r="Z76" s="28">
        <f>U76/(1-$Z$74)</f>
        <v>2394.2306372549015</v>
      </c>
    </row>
  </sheetData>
  <mergeCells count="203">
    <mergeCell ref="S42:Z42"/>
    <mergeCell ref="S43:S44"/>
    <mergeCell ref="T43:T44"/>
    <mergeCell ref="U43:U44"/>
    <mergeCell ref="V43:V44"/>
    <mergeCell ref="W43:W44"/>
    <mergeCell ref="X43:X44"/>
    <mergeCell ref="Y43:Y44"/>
    <mergeCell ref="S34:Z34"/>
    <mergeCell ref="S35:S36"/>
    <mergeCell ref="T35:T36"/>
    <mergeCell ref="U35:U36"/>
    <mergeCell ref="V35:V36"/>
    <mergeCell ref="W35:W36"/>
    <mergeCell ref="X35:X36"/>
    <mergeCell ref="Y35:Y36"/>
    <mergeCell ref="S27:Z27"/>
    <mergeCell ref="S28:S29"/>
    <mergeCell ref="T28:T29"/>
    <mergeCell ref="U28:U29"/>
    <mergeCell ref="V28:V29"/>
    <mergeCell ref="W28:W29"/>
    <mergeCell ref="X28:X29"/>
    <mergeCell ref="Y28:Y29"/>
    <mergeCell ref="S19:Z19"/>
    <mergeCell ref="S20:S21"/>
    <mergeCell ref="T20:T21"/>
    <mergeCell ref="U20:U21"/>
    <mergeCell ref="V20:V21"/>
    <mergeCell ref="W20:W21"/>
    <mergeCell ref="X20:X21"/>
    <mergeCell ref="Y20:Y21"/>
    <mergeCell ref="S12:Z12"/>
    <mergeCell ref="S13:S14"/>
    <mergeCell ref="T13:T14"/>
    <mergeCell ref="U13:U14"/>
    <mergeCell ref="V13:V14"/>
    <mergeCell ref="W13:W14"/>
    <mergeCell ref="X13:X14"/>
    <mergeCell ref="Y13:Y14"/>
    <mergeCell ref="S1:Z1"/>
    <mergeCell ref="S4:Z4"/>
    <mergeCell ref="S5:S6"/>
    <mergeCell ref="T5:T6"/>
    <mergeCell ref="U5:U6"/>
    <mergeCell ref="V5:V6"/>
    <mergeCell ref="W5:W6"/>
    <mergeCell ref="X5:X6"/>
    <mergeCell ref="Y5:Y6"/>
    <mergeCell ref="N13:N14"/>
    <mergeCell ref="O13:O14"/>
    <mergeCell ref="P13:P14"/>
    <mergeCell ref="J4:Q4"/>
    <mergeCell ref="J5:J6"/>
    <mergeCell ref="K5:K6"/>
    <mergeCell ref="L5:L6"/>
    <mergeCell ref="M5:M6"/>
    <mergeCell ref="N5:N6"/>
    <mergeCell ref="O5:O6"/>
    <mergeCell ref="P5:P6"/>
    <mergeCell ref="J35:J36"/>
    <mergeCell ref="J1:Q1"/>
    <mergeCell ref="A9:H9"/>
    <mergeCell ref="A10:A11"/>
    <mergeCell ref="B10:B11"/>
    <mergeCell ref="C10:C11"/>
    <mergeCell ref="D10:D11"/>
    <mergeCell ref="E10:E11"/>
    <mergeCell ref="F10:F11"/>
    <mergeCell ref="G10:G11"/>
    <mergeCell ref="A1:H1"/>
    <mergeCell ref="A4:H4"/>
    <mergeCell ref="A5:A6"/>
    <mergeCell ref="B5:B6"/>
    <mergeCell ref="C5:C6"/>
    <mergeCell ref="D5:D6"/>
    <mergeCell ref="E5:E6"/>
    <mergeCell ref="F5:F6"/>
    <mergeCell ref="G5:G6"/>
    <mergeCell ref="J12:Q12"/>
    <mergeCell ref="J13:J14"/>
    <mergeCell ref="K13:K14"/>
    <mergeCell ref="L13:L14"/>
    <mergeCell ref="M13:M14"/>
    <mergeCell ref="A14:H14"/>
    <mergeCell ref="A15:A16"/>
    <mergeCell ref="B15:B16"/>
    <mergeCell ref="C15:C16"/>
    <mergeCell ref="D15:D16"/>
    <mergeCell ref="E15:E16"/>
    <mergeCell ref="F15:F16"/>
    <mergeCell ref="G15:G16"/>
    <mergeCell ref="J28:J29"/>
    <mergeCell ref="A19:H19"/>
    <mergeCell ref="A20:A21"/>
    <mergeCell ref="B20:B21"/>
    <mergeCell ref="C20:C21"/>
    <mergeCell ref="D20:D21"/>
    <mergeCell ref="E20:E21"/>
    <mergeCell ref="F20:F21"/>
    <mergeCell ref="G20:G21"/>
    <mergeCell ref="A24:H24"/>
    <mergeCell ref="A25:A26"/>
    <mergeCell ref="B25:B26"/>
    <mergeCell ref="C25:C26"/>
    <mergeCell ref="D25:D26"/>
    <mergeCell ref="E25:E26"/>
    <mergeCell ref="F25:F26"/>
    <mergeCell ref="J19:Q19"/>
    <mergeCell ref="J20:J21"/>
    <mergeCell ref="K20:K21"/>
    <mergeCell ref="L20:L21"/>
    <mergeCell ref="M20:M21"/>
    <mergeCell ref="N20:N21"/>
    <mergeCell ref="O20:O21"/>
    <mergeCell ref="P20:P21"/>
    <mergeCell ref="J27:Q27"/>
    <mergeCell ref="S49:Z49"/>
    <mergeCell ref="J50:J51"/>
    <mergeCell ref="K50:K51"/>
    <mergeCell ref="L50:L51"/>
    <mergeCell ref="M50:M51"/>
    <mergeCell ref="N50:N51"/>
    <mergeCell ref="O50:O51"/>
    <mergeCell ref="P50:P51"/>
    <mergeCell ref="S50:S51"/>
    <mergeCell ref="T50:T51"/>
    <mergeCell ref="U50:U51"/>
    <mergeCell ref="V50:V51"/>
    <mergeCell ref="W50:W51"/>
    <mergeCell ref="X50:X51"/>
    <mergeCell ref="Y50:Y51"/>
    <mergeCell ref="S57:Z57"/>
    <mergeCell ref="J58:J59"/>
    <mergeCell ref="K58:K59"/>
    <mergeCell ref="L58:L59"/>
    <mergeCell ref="M58:M59"/>
    <mergeCell ref="N58:N59"/>
    <mergeCell ref="O58:O59"/>
    <mergeCell ref="P58:P59"/>
    <mergeCell ref="S58:S59"/>
    <mergeCell ref="T58:T59"/>
    <mergeCell ref="U58:U59"/>
    <mergeCell ref="V58:V59"/>
    <mergeCell ref="W58:W59"/>
    <mergeCell ref="X58:X59"/>
    <mergeCell ref="Y58:Y59"/>
    <mergeCell ref="G25:G26"/>
    <mergeCell ref="J57:Q57"/>
    <mergeCell ref="J49:Q49"/>
    <mergeCell ref="J43:J44"/>
    <mergeCell ref="K43:K44"/>
    <mergeCell ref="L43:L44"/>
    <mergeCell ref="M43:M44"/>
    <mergeCell ref="N43:N44"/>
    <mergeCell ref="O43:O44"/>
    <mergeCell ref="P43:P44"/>
    <mergeCell ref="K28:K29"/>
    <mergeCell ref="L28:L29"/>
    <mergeCell ref="M28:M29"/>
    <mergeCell ref="N28:N29"/>
    <mergeCell ref="O28:O29"/>
    <mergeCell ref="P28:P29"/>
    <mergeCell ref="J34:Q34"/>
    <mergeCell ref="J42:Q42"/>
    <mergeCell ref="K35:K36"/>
    <mergeCell ref="L35:L36"/>
    <mergeCell ref="M35:M36"/>
    <mergeCell ref="N35:N36"/>
    <mergeCell ref="O35:O36"/>
    <mergeCell ref="P35:P36"/>
    <mergeCell ref="J64:Q64"/>
    <mergeCell ref="S64:Z64"/>
    <mergeCell ref="J65:J66"/>
    <mergeCell ref="K65:K66"/>
    <mergeCell ref="L65:L66"/>
    <mergeCell ref="M65:M66"/>
    <mergeCell ref="N65:N66"/>
    <mergeCell ref="O65:O66"/>
    <mergeCell ref="P65:P66"/>
    <mergeCell ref="S65:S66"/>
    <mergeCell ref="T65:T66"/>
    <mergeCell ref="U65:U66"/>
    <mergeCell ref="V65:V66"/>
    <mergeCell ref="W65:W66"/>
    <mergeCell ref="X65:X66"/>
    <mergeCell ref="Y65:Y66"/>
    <mergeCell ref="J72:Q72"/>
    <mergeCell ref="S72:Z72"/>
    <mergeCell ref="J73:J74"/>
    <mergeCell ref="K73:K74"/>
    <mergeCell ref="L73:L74"/>
    <mergeCell ref="M73:M74"/>
    <mergeCell ref="N73:N74"/>
    <mergeCell ref="O73:O74"/>
    <mergeCell ref="P73:P74"/>
    <mergeCell ref="S73:S74"/>
    <mergeCell ref="T73:T74"/>
    <mergeCell ref="U73:U74"/>
    <mergeCell ref="V73:V74"/>
    <mergeCell ref="W73:W74"/>
    <mergeCell ref="X73:X74"/>
    <mergeCell ref="Y73:Y74"/>
  </mergeCells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2B9C-0938-44E1-A502-2A69D33FA035}">
  <sheetPr codeName="Sheet14">
    <tabColor rgb="FF00B050"/>
  </sheetPr>
  <dimension ref="A1:X81"/>
  <sheetViews>
    <sheetView zoomScaleNormal="100" workbookViewId="0">
      <selection activeCell="O31" sqref="O31"/>
    </sheetView>
  </sheetViews>
  <sheetFormatPr defaultRowHeight="15" x14ac:dyDescent="0.25"/>
  <cols>
    <col min="1" max="1" width="10.140625" bestFit="1" customWidth="1"/>
    <col min="2" max="2" width="7.85546875" bestFit="1" customWidth="1"/>
    <col min="3" max="3" width="7.5703125" bestFit="1" customWidth="1"/>
    <col min="4" max="4" width="13" bestFit="1" customWidth="1"/>
    <col min="5" max="5" width="6.140625" bestFit="1" customWidth="1"/>
    <col min="6" max="6" width="11.85546875" bestFit="1" customWidth="1"/>
    <col min="7" max="7" width="6.140625" bestFit="1" customWidth="1"/>
    <col min="8" max="8" width="11.85546875" bestFit="1" customWidth="1"/>
    <col min="9" max="9" width="2.140625" customWidth="1"/>
    <col min="10" max="10" width="15" bestFit="1" customWidth="1"/>
    <col min="11" max="11" width="14.140625" bestFit="1" customWidth="1"/>
    <col min="14" max="14" width="17.42578125" bestFit="1" customWidth="1"/>
    <col min="15" max="15" width="8.42578125" bestFit="1" customWidth="1"/>
    <col min="16" max="16" width="6.5703125" bestFit="1" customWidth="1"/>
    <col min="17" max="17" width="12.85546875" bestFit="1" customWidth="1"/>
    <col min="18" max="18" width="6.140625" bestFit="1" customWidth="1"/>
    <col min="19" max="19" width="11.85546875" bestFit="1" customWidth="1"/>
    <col min="20" max="20" width="6.140625" bestFit="1" customWidth="1"/>
    <col min="21" max="21" width="11.140625" bestFit="1" customWidth="1"/>
    <col min="22" max="22" width="2.5703125" customWidth="1"/>
    <col min="23" max="23" width="15" bestFit="1" customWidth="1"/>
    <col min="24" max="24" width="14.140625" bestFit="1" customWidth="1"/>
  </cols>
  <sheetData>
    <row r="1" spans="1:24" ht="18.75" x14ac:dyDescent="0.3">
      <c r="A1" s="299" t="s">
        <v>215</v>
      </c>
      <c r="B1" s="299"/>
      <c r="C1" s="299"/>
      <c r="D1" s="299"/>
      <c r="E1" s="299"/>
      <c r="F1" s="299"/>
      <c r="G1" s="299"/>
      <c r="H1" s="299"/>
      <c r="I1" s="29"/>
      <c r="J1" s="299" t="s">
        <v>31</v>
      </c>
      <c r="K1" s="299"/>
      <c r="N1" s="299" t="s">
        <v>215</v>
      </c>
      <c r="O1" s="299"/>
      <c r="P1" s="299"/>
      <c r="Q1" s="299"/>
      <c r="R1" s="299"/>
      <c r="S1" s="299"/>
      <c r="T1" s="299"/>
      <c r="U1" s="299"/>
      <c r="V1" s="29"/>
      <c r="W1" s="299" t="s">
        <v>31</v>
      </c>
      <c r="X1" s="299"/>
    </row>
    <row r="2" spans="1:24" ht="5.85" customHeight="1" x14ac:dyDescent="0.25">
      <c r="B2" s="1"/>
      <c r="C2" s="1"/>
      <c r="D2" s="2"/>
      <c r="E2" s="1"/>
    </row>
    <row r="3" spans="1:24" ht="5.85" customHeight="1" x14ac:dyDescent="0.25">
      <c r="B3" s="1"/>
      <c r="C3" s="1"/>
      <c r="D3" s="2"/>
      <c r="E3" s="1"/>
    </row>
    <row r="4" spans="1:24" x14ac:dyDescent="0.25">
      <c r="A4" s="290" t="s">
        <v>251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  <c r="N4" s="290" t="s">
        <v>252</v>
      </c>
      <c r="O4" s="290"/>
      <c r="P4" s="290"/>
      <c r="Q4" s="290"/>
      <c r="R4" s="290"/>
      <c r="S4" s="290"/>
      <c r="T4" s="290"/>
      <c r="U4" s="290"/>
      <c r="V4" s="290"/>
      <c r="W4" s="290"/>
      <c r="X4" s="290"/>
    </row>
    <row r="5" spans="1:24" x14ac:dyDescent="0.25">
      <c r="A5" s="291" t="s">
        <v>198</v>
      </c>
      <c r="B5" s="293" t="s">
        <v>253</v>
      </c>
      <c r="C5" s="293" t="s">
        <v>8</v>
      </c>
      <c r="D5" s="293" t="s">
        <v>199</v>
      </c>
      <c r="E5" s="295" t="s">
        <v>39</v>
      </c>
      <c r="F5" s="295" t="s">
        <v>200</v>
      </c>
      <c r="G5" s="295" t="s">
        <v>39</v>
      </c>
      <c r="H5" s="4" t="s">
        <v>141</v>
      </c>
      <c r="I5" s="19"/>
      <c r="J5" s="4" t="s">
        <v>201</v>
      </c>
      <c r="K5" s="4" t="s">
        <v>202</v>
      </c>
      <c r="N5" s="291" t="s">
        <v>198</v>
      </c>
      <c r="O5" s="293" t="s">
        <v>253</v>
      </c>
      <c r="P5" s="293" t="s">
        <v>8</v>
      </c>
      <c r="Q5" s="293" t="s">
        <v>199</v>
      </c>
      <c r="R5" s="295" t="s">
        <v>39</v>
      </c>
      <c r="S5" s="295" t="s">
        <v>200</v>
      </c>
      <c r="T5" s="295" t="s">
        <v>39</v>
      </c>
      <c r="U5" s="4" t="s">
        <v>141</v>
      </c>
      <c r="V5" s="19"/>
      <c r="W5" s="4" t="s">
        <v>201</v>
      </c>
      <c r="X5" s="4" t="s">
        <v>202</v>
      </c>
    </row>
    <row r="6" spans="1:24" x14ac:dyDescent="0.25">
      <c r="A6" s="292"/>
      <c r="B6" s="294"/>
      <c r="C6" s="294"/>
      <c r="D6" s="294"/>
      <c r="E6" s="296"/>
      <c r="F6" s="296"/>
      <c r="G6" s="296"/>
      <c r="H6" s="27">
        <v>0.7</v>
      </c>
      <c r="I6" s="20"/>
      <c r="J6" s="17">
        <v>0.06</v>
      </c>
      <c r="K6" s="17">
        <v>0.06</v>
      </c>
      <c r="N6" s="292"/>
      <c r="O6" s="294"/>
      <c r="P6" s="294"/>
      <c r="Q6" s="294"/>
      <c r="R6" s="296"/>
      <c r="S6" s="296"/>
      <c r="T6" s="296"/>
      <c r="U6" s="27">
        <v>0.65</v>
      </c>
      <c r="V6" s="20"/>
      <c r="W6" s="17">
        <v>0.06</v>
      </c>
      <c r="X6" s="17">
        <v>0.06</v>
      </c>
    </row>
    <row r="7" spans="1:24" x14ac:dyDescent="0.25">
      <c r="A7" s="8" t="s">
        <v>254</v>
      </c>
      <c r="B7" s="8" t="s">
        <v>255</v>
      </c>
      <c r="C7" s="12">
        <f>Kitset.!E6</f>
        <v>18.038</v>
      </c>
      <c r="D7" s="22">
        <v>53.570299999999996</v>
      </c>
      <c r="E7" s="83">
        <f t="shared" ref="E7:E22" si="0">(D7-C7)/D7</f>
        <v>0.66328357317394149</v>
      </c>
      <c r="F7" s="24">
        <v>71.914599999999993</v>
      </c>
      <c r="G7" s="75">
        <f t="shared" ref="G7:G22" si="1">(F7-C7)/F7</f>
        <v>0.74917471556540671</v>
      </c>
      <c r="H7" s="28">
        <f t="shared" ref="H7:H22" si="2">C7/(1-$H$6)</f>
        <v>60.126666666666658</v>
      </c>
      <c r="I7" s="20"/>
      <c r="J7" s="18">
        <f t="shared" ref="J7:J22" si="3">(D7*$J$6)</f>
        <v>3.2142179999999998</v>
      </c>
      <c r="K7" s="18">
        <f t="shared" ref="K7:K22" si="4">(F7*$K$6)</f>
        <v>4.314875999999999</v>
      </c>
      <c r="N7" s="8" t="s">
        <v>256</v>
      </c>
      <c r="O7" s="50" t="s">
        <v>257</v>
      </c>
      <c r="P7" s="12">
        <f>Kitset.!M6</f>
        <v>22.566600000000001</v>
      </c>
      <c r="Q7" s="22">
        <v>50.571599999999997</v>
      </c>
      <c r="R7" s="83">
        <f t="shared" ref="R7" si="5">(Q7-P7)/Q7</f>
        <v>0.55376930925657875</v>
      </c>
      <c r="S7" s="24">
        <v>68.197199999999995</v>
      </c>
      <c r="T7" s="75">
        <f t="shared" ref="T7" si="6">(S7-P7)/S7</f>
        <v>0.66909785152469603</v>
      </c>
      <c r="U7" s="28">
        <f>P7/(1-$U$6)</f>
        <v>64.476000000000013</v>
      </c>
      <c r="V7" s="20"/>
      <c r="W7" s="18">
        <f t="shared" ref="W7" si="7">(Q7*$J$6)</f>
        <v>3.0342959999999999</v>
      </c>
      <c r="X7" s="18">
        <f t="shared" ref="X7" si="8">(S7*$K$6)</f>
        <v>4.0918319999999992</v>
      </c>
    </row>
    <row r="8" spans="1:24" x14ac:dyDescent="0.25">
      <c r="A8" s="8" t="s">
        <v>254</v>
      </c>
      <c r="B8" s="8" t="s">
        <v>71</v>
      </c>
      <c r="C8" s="12">
        <f>Kitset.!E7</f>
        <v>26.382999999999999</v>
      </c>
      <c r="D8" s="22">
        <v>71.224500000000006</v>
      </c>
      <c r="E8" s="83">
        <f t="shared" si="0"/>
        <v>0.62957970922926809</v>
      </c>
      <c r="F8" s="24">
        <v>93.024450000000002</v>
      </c>
      <c r="G8" s="75">
        <f t="shared" si="1"/>
        <v>0.71638639088970701</v>
      </c>
      <c r="H8" s="28">
        <f t="shared" si="2"/>
        <v>87.943333333333314</v>
      </c>
      <c r="I8" s="20"/>
      <c r="J8" s="18">
        <f t="shared" si="3"/>
        <v>4.2734700000000005</v>
      </c>
      <c r="K8" s="18">
        <f t="shared" si="4"/>
        <v>5.581467</v>
      </c>
      <c r="N8" s="8" t="s">
        <v>256</v>
      </c>
      <c r="O8" s="50" t="s">
        <v>258</v>
      </c>
      <c r="P8" s="12">
        <f>Kitset.!M7</f>
        <v>30.088799999999999</v>
      </c>
      <c r="Q8" s="22">
        <v>64.035600000000002</v>
      </c>
      <c r="R8" s="83">
        <f t="shared" ref="R8" si="9">(Q8-P8)/Q8</f>
        <v>0.53012386859809235</v>
      </c>
      <c r="S8" s="24">
        <v>88.280999999999992</v>
      </c>
      <c r="T8" s="75">
        <f t="shared" ref="T8" si="10">(S8-P8)/S8</f>
        <v>0.65917014986237132</v>
      </c>
      <c r="U8" s="28">
        <f>P8/(1-$U$6)</f>
        <v>85.968000000000004</v>
      </c>
      <c r="V8" s="20"/>
      <c r="W8" s="18">
        <f t="shared" ref="W8" si="11">(Q8*$J$6)</f>
        <v>3.842136</v>
      </c>
      <c r="X8" s="18">
        <f t="shared" ref="X8" si="12">(S8*$K$6)</f>
        <v>5.2968599999999997</v>
      </c>
    </row>
    <row r="9" spans="1:24" x14ac:dyDescent="0.25">
      <c r="A9" s="8" t="s">
        <v>254</v>
      </c>
      <c r="B9" s="8" t="s">
        <v>115</v>
      </c>
      <c r="C9" s="12">
        <f>Kitset.!E8</f>
        <v>36.055499999999995</v>
      </c>
      <c r="D9" s="22">
        <v>91.257999999999996</v>
      </c>
      <c r="E9" s="83">
        <f t="shared" si="0"/>
        <v>0.60490587126608086</v>
      </c>
      <c r="F9" s="24">
        <v>126.4325</v>
      </c>
      <c r="G9" s="75">
        <f t="shared" si="1"/>
        <v>0.71482411563482495</v>
      </c>
      <c r="H9" s="28">
        <f t="shared" si="2"/>
        <v>120.18499999999996</v>
      </c>
      <c r="I9" s="20"/>
      <c r="J9" s="18">
        <f t="shared" si="3"/>
        <v>5.4754799999999992</v>
      </c>
      <c r="K9" s="18">
        <f t="shared" si="4"/>
        <v>7.5859500000000004</v>
      </c>
    </row>
    <row r="10" spans="1:24" x14ac:dyDescent="0.25">
      <c r="A10" s="8" t="s">
        <v>254</v>
      </c>
      <c r="B10" s="8" t="s">
        <v>117</v>
      </c>
      <c r="C10" s="12">
        <f>Kitset.!E9</f>
        <v>45.341000000000001</v>
      </c>
      <c r="D10" s="22">
        <v>110.36450000000001</v>
      </c>
      <c r="E10" s="83">
        <f t="shared" si="0"/>
        <v>0.58917043070915021</v>
      </c>
      <c r="F10" s="24">
        <v>151.41</v>
      </c>
      <c r="G10" s="75">
        <f t="shared" si="1"/>
        <v>0.70054157585364241</v>
      </c>
      <c r="H10" s="28">
        <f t="shared" si="2"/>
        <v>151.13666666666666</v>
      </c>
      <c r="I10" s="20"/>
      <c r="J10" s="18">
        <f t="shared" si="3"/>
        <v>6.6218700000000004</v>
      </c>
      <c r="K10" s="18">
        <f t="shared" si="4"/>
        <v>9.0846</v>
      </c>
      <c r="N10" s="8" t="s">
        <v>256</v>
      </c>
      <c r="O10" s="50" t="s">
        <v>259</v>
      </c>
      <c r="P10" s="12">
        <f>Kitset.!M9</f>
        <v>17.816000000000003</v>
      </c>
      <c r="Q10" s="22">
        <f t="shared" ref="Q10" si="13">S10-(S10*10%)</f>
        <v>45.812571428571438</v>
      </c>
      <c r="R10" s="83">
        <f t="shared" ref="R10" si="14">(Q10-P10)/Q10</f>
        <v>0.61111111111111116</v>
      </c>
      <c r="S10" s="24">
        <f>U10</f>
        <v>50.902857142857151</v>
      </c>
      <c r="T10" s="75">
        <f t="shared" ref="T10" si="15">(S10-P10)/S10</f>
        <v>0.65</v>
      </c>
      <c r="U10" s="28">
        <f>P10/(1-$U$6)</f>
        <v>50.902857142857151</v>
      </c>
      <c r="V10" s="20"/>
      <c r="W10" s="18">
        <f t="shared" ref="W10" si="16">(Q10*$J$6)</f>
        <v>2.7487542857142864</v>
      </c>
      <c r="X10" s="18">
        <f t="shared" ref="X10" si="17">(S10*$K$6)</f>
        <v>3.0541714285714288</v>
      </c>
    </row>
    <row r="11" spans="1:24" x14ac:dyDescent="0.25">
      <c r="A11" s="8" t="s">
        <v>254</v>
      </c>
      <c r="B11" s="8" t="s">
        <v>260</v>
      </c>
      <c r="C11" s="12">
        <f>Kitset.!E10</f>
        <v>54.900999999999996</v>
      </c>
      <c r="D11" s="22">
        <v>131.1808</v>
      </c>
      <c r="E11" s="83">
        <f t="shared" si="0"/>
        <v>0.58148601014782653</v>
      </c>
      <c r="F11" s="24">
        <v>184.88499999999999</v>
      </c>
      <c r="G11" s="75">
        <f t="shared" si="1"/>
        <v>0.70305324931714297</v>
      </c>
      <c r="H11" s="28">
        <f t="shared" si="2"/>
        <v>183.0033333333333</v>
      </c>
      <c r="I11" s="20"/>
      <c r="J11" s="18">
        <f t="shared" si="3"/>
        <v>7.8708479999999996</v>
      </c>
      <c r="K11" s="18">
        <f t="shared" si="4"/>
        <v>11.0931</v>
      </c>
    </row>
    <row r="12" spans="1:24" x14ac:dyDescent="0.25">
      <c r="A12" s="8" t="s">
        <v>254</v>
      </c>
      <c r="B12" s="8" t="s">
        <v>118</v>
      </c>
      <c r="C12" s="12">
        <f>Kitset.!E11</f>
        <v>64.38000000000001</v>
      </c>
      <c r="D12" s="22">
        <v>154.8708</v>
      </c>
      <c r="E12" s="83">
        <f t="shared" si="0"/>
        <v>0.58429865410393689</v>
      </c>
      <c r="F12" s="24">
        <v>218.36</v>
      </c>
      <c r="G12" s="75">
        <f t="shared" si="1"/>
        <v>0.70516578127862251</v>
      </c>
      <c r="H12" s="28">
        <f t="shared" si="2"/>
        <v>214.6</v>
      </c>
      <c r="I12" s="20"/>
      <c r="J12" s="18">
        <f t="shared" si="3"/>
        <v>9.292247999999999</v>
      </c>
      <c r="K12" s="18">
        <f t="shared" si="4"/>
        <v>13.101599999999999</v>
      </c>
    </row>
    <row r="13" spans="1:24" x14ac:dyDescent="0.25">
      <c r="A13" s="8" t="s">
        <v>254</v>
      </c>
      <c r="B13" s="8" t="s">
        <v>261</v>
      </c>
      <c r="C13" s="12">
        <f>Kitset.!E12</f>
        <v>73.899500000000003</v>
      </c>
      <c r="D13" s="22">
        <v>176.44929999999999</v>
      </c>
      <c r="E13" s="83">
        <f t="shared" si="0"/>
        <v>0.58118564369481773</v>
      </c>
      <c r="F13" s="24">
        <v>253.38</v>
      </c>
      <c r="G13" s="75">
        <f t="shared" si="1"/>
        <v>0.70834517325755786</v>
      </c>
      <c r="H13" s="28">
        <f t="shared" si="2"/>
        <v>246.33166666666665</v>
      </c>
      <c r="I13" s="20"/>
      <c r="J13" s="18">
        <f t="shared" si="3"/>
        <v>10.586957999999999</v>
      </c>
      <c r="K13" s="18">
        <f t="shared" si="4"/>
        <v>15.2028</v>
      </c>
    </row>
    <row r="14" spans="1:24" x14ac:dyDescent="0.25">
      <c r="A14" s="8" t="s">
        <v>254</v>
      </c>
      <c r="B14" s="8" t="s">
        <v>262</v>
      </c>
      <c r="C14" s="12">
        <f>Kitset.!E13</f>
        <v>83.419000000000011</v>
      </c>
      <c r="D14" s="22">
        <v>200.8603</v>
      </c>
      <c r="E14" s="83">
        <f t="shared" si="0"/>
        <v>0.58469144972899068</v>
      </c>
      <c r="F14" s="24">
        <v>294.58</v>
      </c>
      <c r="G14" s="75">
        <f t="shared" si="1"/>
        <v>0.71682055808269396</v>
      </c>
      <c r="H14" s="28">
        <f t="shared" si="2"/>
        <v>278.06333333333333</v>
      </c>
      <c r="I14" s="20"/>
      <c r="J14" s="18">
        <f t="shared" si="3"/>
        <v>12.051617999999999</v>
      </c>
      <c r="K14" s="18">
        <f t="shared" si="4"/>
        <v>17.674799999999998</v>
      </c>
    </row>
    <row r="15" spans="1:24" x14ac:dyDescent="0.25">
      <c r="A15" s="8" t="s">
        <v>254</v>
      </c>
      <c r="B15" s="8" t="s">
        <v>263</v>
      </c>
      <c r="C15" s="12">
        <f>Kitset.!E14</f>
        <v>92.897999999999996</v>
      </c>
      <c r="D15" s="22">
        <v>225.16829999999999</v>
      </c>
      <c r="E15" s="83">
        <f t="shared" si="0"/>
        <v>0.5874286034046533</v>
      </c>
      <c r="F15" s="24">
        <v>328.57</v>
      </c>
      <c r="G15" s="75">
        <f t="shared" si="1"/>
        <v>0.71726572724229232</v>
      </c>
      <c r="H15" s="28">
        <f t="shared" si="2"/>
        <v>309.65999999999997</v>
      </c>
      <c r="I15" s="20"/>
      <c r="J15" s="18">
        <f t="shared" si="3"/>
        <v>13.510097999999999</v>
      </c>
      <c r="K15" s="18">
        <f t="shared" si="4"/>
        <v>19.714199999999998</v>
      </c>
    </row>
    <row r="16" spans="1:24" x14ac:dyDescent="0.25">
      <c r="A16" s="8" t="s">
        <v>254</v>
      </c>
      <c r="B16" s="8" t="s">
        <v>264</v>
      </c>
      <c r="C16" s="12">
        <f>Kitset.!E15</f>
        <v>102.377</v>
      </c>
      <c r="D16" s="22">
        <v>244.32629999999997</v>
      </c>
      <c r="E16" s="83">
        <f t="shared" si="0"/>
        <v>0.58098248121467078</v>
      </c>
      <c r="F16" s="24">
        <v>359.98500000000001</v>
      </c>
      <c r="G16" s="75">
        <f t="shared" si="1"/>
        <v>0.71560759476089275</v>
      </c>
      <c r="H16" s="28">
        <f t="shared" si="2"/>
        <v>341.2566666666666</v>
      </c>
      <c r="I16" s="20"/>
      <c r="J16" s="18">
        <f t="shared" si="3"/>
        <v>14.659577999999998</v>
      </c>
      <c r="K16" s="18">
        <f t="shared" si="4"/>
        <v>21.5991</v>
      </c>
    </row>
    <row r="17" spans="1:11" x14ac:dyDescent="0.25">
      <c r="A17" s="8" t="s">
        <v>254</v>
      </c>
      <c r="B17" s="8" t="s">
        <v>265</v>
      </c>
      <c r="C17" s="12">
        <f>Kitset.!E16</f>
        <v>111.85599999999999</v>
      </c>
      <c r="D17" s="22">
        <v>264.51429999999999</v>
      </c>
      <c r="E17" s="83">
        <f t="shared" si="0"/>
        <v>0.57712683208431459</v>
      </c>
      <c r="F17" s="24">
        <v>391.4</v>
      </c>
      <c r="G17" s="75">
        <f t="shared" si="1"/>
        <v>0.71421563617782324</v>
      </c>
      <c r="H17" s="28">
        <f t="shared" si="2"/>
        <v>372.85333333333324</v>
      </c>
      <c r="I17" s="20"/>
      <c r="J17" s="18">
        <f t="shared" si="3"/>
        <v>15.870857999999998</v>
      </c>
      <c r="K17" s="18">
        <f t="shared" si="4"/>
        <v>23.483999999999998</v>
      </c>
    </row>
    <row r="18" spans="1:11" x14ac:dyDescent="0.25">
      <c r="A18" s="8" t="s">
        <v>254</v>
      </c>
      <c r="B18" s="8" t="s">
        <v>266</v>
      </c>
      <c r="C18" s="12">
        <f>Kitset.!E17</f>
        <v>121.38360000000002</v>
      </c>
      <c r="D18" s="22">
        <v>285.86619999999994</v>
      </c>
      <c r="E18" s="83">
        <f t="shared" si="0"/>
        <v>0.57538316876916529</v>
      </c>
      <c r="F18" s="24">
        <v>422.815</v>
      </c>
      <c r="G18" s="75">
        <f t="shared" si="1"/>
        <v>0.71291557773494318</v>
      </c>
      <c r="H18" s="28">
        <f t="shared" si="2"/>
        <v>404.61199999999997</v>
      </c>
      <c r="I18" s="20"/>
      <c r="J18" s="18">
        <f t="shared" si="3"/>
        <v>17.151971999999997</v>
      </c>
      <c r="K18" s="18">
        <f t="shared" si="4"/>
        <v>25.3689</v>
      </c>
    </row>
    <row r="19" spans="1:11" x14ac:dyDescent="0.25">
      <c r="A19" s="8" t="s">
        <v>254</v>
      </c>
      <c r="B19" s="8" t="s">
        <v>267</v>
      </c>
      <c r="C19" s="12">
        <f>Kitset.!E18</f>
        <v>130.87880000000001</v>
      </c>
      <c r="D19" s="22">
        <v>309.18540000000002</v>
      </c>
      <c r="E19" s="83">
        <f t="shared" si="0"/>
        <v>0.57669799414849465</v>
      </c>
      <c r="F19" s="24">
        <v>458.35</v>
      </c>
      <c r="G19" s="75">
        <f t="shared" si="1"/>
        <v>0.71445663794043857</v>
      </c>
      <c r="H19" s="28">
        <f t="shared" si="2"/>
        <v>436.26266666666663</v>
      </c>
      <c r="I19" s="20"/>
      <c r="J19" s="18">
        <f t="shared" si="3"/>
        <v>18.551124000000002</v>
      </c>
      <c r="K19" s="18">
        <f t="shared" si="4"/>
        <v>27.501000000000001</v>
      </c>
    </row>
    <row r="20" spans="1:11" x14ac:dyDescent="0.25">
      <c r="A20" s="8" t="s">
        <v>254</v>
      </c>
      <c r="B20" s="8" t="s">
        <v>268</v>
      </c>
      <c r="C20" s="12">
        <f>Kitset.!E19</f>
        <v>140.374</v>
      </c>
      <c r="D20" s="22">
        <v>330.44459999999998</v>
      </c>
      <c r="E20" s="83">
        <f t="shared" si="0"/>
        <v>0.57519656850195156</v>
      </c>
      <c r="F20" s="24">
        <v>486.16</v>
      </c>
      <c r="G20" s="75">
        <f t="shared" si="1"/>
        <v>0.71125966759914439</v>
      </c>
      <c r="H20" s="28">
        <f t="shared" si="2"/>
        <v>467.91333333333324</v>
      </c>
      <c r="I20" s="20"/>
      <c r="J20" s="18">
        <f t="shared" si="3"/>
        <v>19.826675999999999</v>
      </c>
      <c r="K20" s="18">
        <f t="shared" si="4"/>
        <v>29.169599999999999</v>
      </c>
    </row>
    <row r="21" spans="1:11" x14ac:dyDescent="0.25">
      <c r="A21" s="8" t="s">
        <v>254</v>
      </c>
      <c r="B21" s="8" t="s">
        <v>269</v>
      </c>
      <c r="C21" s="12">
        <f>Kitset.!E20</f>
        <v>149.85300000000001</v>
      </c>
      <c r="D21" s="22">
        <v>350.63260000000002</v>
      </c>
      <c r="E21" s="83">
        <f t="shared" si="0"/>
        <v>0.57262102839268225</v>
      </c>
      <c r="F21" s="24">
        <v>519.12</v>
      </c>
      <c r="G21" s="75">
        <f t="shared" si="1"/>
        <v>0.7113326398520573</v>
      </c>
      <c r="H21" s="28">
        <f t="shared" si="2"/>
        <v>499.50999999999993</v>
      </c>
      <c r="I21" s="20"/>
      <c r="J21" s="18">
        <f t="shared" si="3"/>
        <v>21.037956000000001</v>
      </c>
      <c r="K21" s="18">
        <f t="shared" si="4"/>
        <v>31.147199999999998</v>
      </c>
    </row>
    <row r="22" spans="1:11" x14ac:dyDescent="0.25">
      <c r="A22" s="8" t="s">
        <v>254</v>
      </c>
      <c r="B22" s="8" t="s">
        <v>270</v>
      </c>
      <c r="C22" s="12">
        <f>Kitset.!E21</f>
        <v>159.33200000000002</v>
      </c>
      <c r="D22" s="22">
        <v>371.85059999999999</v>
      </c>
      <c r="E22" s="83">
        <f t="shared" si="0"/>
        <v>0.5715160873748758</v>
      </c>
      <c r="F22" s="24">
        <v>543.84</v>
      </c>
      <c r="G22" s="75">
        <f t="shared" si="1"/>
        <v>0.70702412474257137</v>
      </c>
      <c r="H22" s="28">
        <f t="shared" si="2"/>
        <v>531.10666666666668</v>
      </c>
      <c r="I22" s="21"/>
      <c r="J22" s="18">
        <f t="shared" si="3"/>
        <v>22.311035999999998</v>
      </c>
      <c r="K22" s="18">
        <f t="shared" si="4"/>
        <v>32.630400000000002</v>
      </c>
    </row>
    <row r="23" spans="1:11" ht="6" customHeight="1" x14ac:dyDescent="0.25">
      <c r="B23" s="1"/>
      <c r="C23" s="1"/>
      <c r="D23" s="2"/>
      <c r="E23" s="1"/>
    </row>
    <row r="24" spans="1:11" x14ac:dyDescent="0.25">
      <c r="A24" s="290" t="s">
        <v>271</v>
      </c>
      <c r="B24" s="290"/>
      <c r="C24" s="290"/>
      <c r="D24" s="290"/>
      <c r="E24" s="290"/>
      <c r="F24" s="290"/>
      <c r="G24" s="290"/>
      <c r="H24" s="290"/>
      <c r="I24" s="290"/>
      <c r="J24" s="290"/>
      <c r="K24" s="290"/>
    </row>
    <row r="25" spans="1:11" x14ac:dyDescent="0.25">
      <c r="A25" s="291" t="s">
        <v>198</v>
      </c>
      <c r="B25" s="293" t="s">
        <v>253</v>
      </c>
      <c r="C25" s="293" t="s">
        <v>8</v>
      </c>
      <c r="D25" s="293" t="s">
        <v>199</v>
      </c>
      <c r="E25" s="295" t="s">
        <v>39</v>
      </c>
      <c r="F25" s="295" t="s">
        <v>200</v>
      </c>
      <c r="G25" s="295" t="s">
        <v>39</v>
      </c>
      <c r="H25" s="4" t="s">
        <v>141</v>
      </c>
      <c r="I25" s="19"/>
      <c r="J25" s="4" t="s">
        <v>201</v>
      </c>
      <c r="K25" s="4" t="s">
        <v>202</v>
      </c>
    </row>
    <row r="26" spans="1:11" x14ac:dyDescent="0.25">
      <c r="A26" s="292"/>
      <c r="B26" s="294"/>
      <c r="C26" s="294"/>
      <c r="D26" s="294"/>
      <c r="E26" s="296"/>
      <c r="F26" s="296"/>
      <c r="G26" s="296"/>
      <c r="H26" s="27">
        <v>0.7</v>
      </c>
      <c r="I26" s="20"/>
      <c r="J26" s="17">
        <v>0.06</v>
      </c>
      <c r="K26" s="17">
        <v>0.06</v>
      </c>
    </row>
    <row r="27" spans="1:11" x14ac:dyDescent="0.25">
      <c r="A27" s="8" t="s">
        <v>254</v>
      </c>
      <c r="B27" s="8" t="s">
        <v>255</v>
      </c>
      <c r="C27" s="12">
        <f>Kitset.!E26</f>
        <v>26.806000000000001</v>
      </c>
      <c r="D27" s="22">
        <v>123.64120000000001</v>
      </c>
      <c r="E27" s="83">
        <f t="shared" ref="E27:E42" si="18">(D27-C27)/D27</f>
        <v>0.78319524559774578</v>
      </c>
      <c r="F27" s="24">
        <v>160.73120335999999</v>
      </c>
      <c r="G27" s="75">
        <f t="shared" ref="G27:G42" si="19">(F27-C27)/F27</f>
        <v>0.83322466677511964</v>
      </c>
      <c r="H27" s="28">
        <f t="shared" ref="H27:H42" si="20">C27/(1-$H$26)</f>
        <v>89.353333333333325</v>
      </c>
      <c r="I27" s="20"/>
      <c r="J27" s="18">
        <f t="shared" ref="J27:J42" si="21">(D27*$J$6)</f>
        <v>7.4184720000000004</v>
      </c>
      <c r="K27" s="18">
        <f t="shared" ref="K27:K42" si="22">(F27*$K$6)</f>
        <v>9.6438722015999989</v>
      </c>
    </row>
    <row r="28" spans="1:11" x14ac:dyDescent="0.25">
      <c r="A28" s="8" t="s">
        <v>254</v>
      </c>
      <c r="B28" s="8" t="s">
        <v>71</v>
      </c>
      <c r="C28" s="12">
        <f>Kitset.!E27</f>
        <v>38.860200000000006</v>
      </c>
      <c r="D28" s="22">
        <v>147.0222</v>
      </c>
      <c r="E28" s="83">
        <f t="shared" si="18"/>
        <v>0.73568481494631421</v>
      </c>
      <c r="F28" s="24">
        <v>191.12545358400001</v>
      </c>
      <c r="G28" s="75">
        <f t="shared" si="19"/>
        <v>0.79667700313437906</v>
      </c>
      <c r="H28" s="28">
        <f t="shared" si="20"/>
        <v>129.53399999999999</v>
      </c>
      <c r="I28" s="20"/>
      <c r="J28" s="18">
        <f t="shared" si="21"/>
        <v>8.821332</v>
      </c>
      <c r="K28" s="18">
        <f t="shared" si="22"/>
        <v>11.46752721504</v>
      </c>
    </row>
    <row r="29" spans="1:11" x14ac:dyDescent="0.25">
      <c r="A29" s="8" t="s">
        <v>254</v>
      </c>
      <c r="B29" s="8" t="s">
        <v>115</v>
      </c>
      <c r="C29" s="12">
        <f>Kitset.!E28</f>
        <v>52.129400000000004</v>
      </c>
      <c r="D29" s="22">
        <v>169.3732</v>
      </c>
      <c r="E29" s="83">
        <f t="shared" si="18"/>
        <v>0.69222167379490962</v>
      </c>
      <c r="F29" s="24">
        <v>220.18070380800003</v>
      </c>
      <c r="G29" s="75">
        <f t="shared" si="19"/>
        <v>0.76324264979433709</v>
      </c>
      <c r="H29" s="28">
        <f t="shared" si="20"/>
        <v>173.76466666666664</v>
      </c>
      <c r="I29" s="20"/>
      <c r="J29" s="18">
        <f t="shared" si="21"/>
        <v>10.162391999999999</v>
      </c>
      <c r="K29" s="18">
        <f t="shared" si="22"/>
        <v>13.210842228480001</v>
      </c>
    </row>
    <row r="30" spans="1:11" x14ac:dyDescent="0.25">
      <c r="A30" s="8" t="s">
        <v>254</v>
      </c>
      <c r="B30" s="8" t="s">
        <v>117</v>
      </c>
      <c r="C30" s="12">
        <f>Kitset.!E29</f>
        <v>65.236599999999996</v>
      </c>
      <c r="D30" s="22">
        <v>191.7242</v>
      </c>
      <c r="E30" s="83">
        <f t="shared" si="18"/>
        <v>0.65973726843038072</v>
      </c>
      <c r="F30" s="24">
        <v>249.235954032</v>
      </c>
      <c r="G30" s="75">
        <f t="shared" si="19"/>
        <v>0.73825365504198437</v>
      </c>
      <c r="H30" s="28">
        <f t="shared" si="20"/>
        <v>217.4553333333333</v>
      </c>
      <c r="I30" s="20"/>
      <c r="J30" s="18">
        <f t="shared" si="21"/>
        <v>11.503451999999999</v>
      </c>
      <c r="K30" s="18">
        <f t="shared" si="22"/>
        <v>14.954157241919999</v>
      </c>
    </row>
    <row r="31" spans="1:11" x14ac:dyDescent="0.25">
      <c r="A31" s="8" t="s">
        <v>254</v>
      </c>
      <c r="B31" s="8" t="s">
        <v>260</v>
      </c>
      <c r="C31" s="12">
        <f>Kitset.!E30</f>
        <v>78.505800000000008</v>
      </c>
      <c r="D31" s="22">
        <v>215.1052</v>
      </c>
      <c r="E31" s="83">
        <f t="shared" si="18"/>
        <v>0.63503532225162385</v>
      </c>
      <c r="F31" s="24">
        <v>279.63020425600001</v>
      </c>
      <c r="G31" s="75">
        <f t="shared" si="19"/>
        <v>0.71925135838284349</v>
      </c>
      <c r="H31" s="28">
        <f t="shared" si="20"/>
        <v>261.68599999999998</v>
      </c>
      <c r="I31" s="20"/>
      <c r="J31" s="18">
        <f t="shared" si="21"/>
        <v>12.906312</v>
      </c>
      <c r="K31" s="18">
        <f t="shared" si="22"/>
        <v>16.777812255360001</v>
      </c>
    </row>
    <row r="32" spans="1:11" x14ac:dyDescent="0.25">
      <c r="A32" s="8" t="s">
        <v>254</v>
      </c>
      <c r="B32" s="8" t="s">
        <v>118</v>
      </c>
      <c r="C32" s="12">
        <f>Kitset.!E31</f>
        <v>91.694000000000003</v>
      </c>
      <c r="D32" s="22">
        <v>241.5659</v>
      </c>
      <c r="E32" s="83">
        <f t="shared" si="18"/>
        <v>0.620418279235604</v>
      </c>
      <c r="F32" s="24">
        <v>314.04145448000003</v>
      </c>
      <c r="G32" s="75">
        <f t="shared" si="19"/>
        <v>0.70801943917935961</v>
      </c>
      <c r="H32" s="28">
        <f t="shared" si="20"/>
        <v>305.64666666666665</v>
      </c>
      <c r="I32" s="20"/>
      <c r="J32" s="18">
        <f t="shared" si="21"/>
        <v>14.493953999999999</v>
      </c>
      <c r="K32" s="18">
        <f t="shared" si="22"/>
        <v>18.842487268799999</v>
      </c>
    </row>
    <row r="33" spans="1:11" x14ac:dyDescent="0.25">
      <c r="A33" s="8" t="s">
        <v>254</v>
      </c>
      <c r="B33" s="8" t="s">
        <v>261</v>
      </c>
      <c r="C33" s="12">
        <f>Kitset.!E32</f>
        <v>104.92270000000001</v>
      </c>
      <c r="D33" s="22">
        <v>269.06690000000003</v>
      </c>
      <c r="E33" s="83">
        <f t="shared" si="18"/>
        <v>0.61004976829182633</v>
      </c>
      <c r="F33" s="24">
        <v>349.79170470399998</v>
      </c>
      <c r="G33" s="75">
        <f t="shared" si="19"/>
        <v>0.70004234351758721</v>
      </c>
      <c r="H33" s="28">
        <f t="shared" si="20"/>
        <v>349.74233333333331</v>
      </c>
      <c r="I33" s="20"/>
      <c r="J33" s="18">
        <f t="shared" si="21"/>
        <v>16.144014000000002</v>
      </c>
      <c r="K33" s="18">
        <f t="shared" si="22"/>
        <v>20.987502282239998</v>
      </c>
    </row>
    <row r="34" spans="1:11" x14ac:dyDescent="0.25">
      <c r="A34" s="8" t="s">
        <v>254</v>
      </c>
      <c r="B34" s="8" t="s">
        <v>262</v>
      </c>
      <c r="C34" s="12">
        <f>Kitset.!E33</f>
        <v>118.1514</v>
      </c>
      <c r="D34" s="22">
        <v>296.56790000000001</v>
      </c>
      <c r="E34" s="83">
        <f t="shared" si="18"/>
        <v>0.60160421947216813</v>
      </c>
      <c r="F34" s="24">
        <v>385.541954928</v>
      </c>
      <c r="G34" s="75">
        <f t="shared" si="19"/>
        <v>0.69354463634946095</v>
      </c>
      <c r="H34" s="28">
        <f t="shared" si="20"/>
        <v>393.83799999999991</v>
      </c>
      <c r="I34" s="20"/>
      <c r="J34" s="18">
        <f t="shared" si="21"/>
        <v>17.794073999999998</v>
      </c>
      <c r="K34" s="18">
        <f t="shared" si="22"/>
        <v>23.13251729568</v>
      </c>
    </row>
    <row r="35" spans="1:11" x14ac:dyDescent="0.25">
      <c r="A35" s="8" t="s">
        <v>254</v>
      </c>
      <c r="B35" s="8" t="s">
        <v>263</v>
      </c>
      <c r="C35" s="12">
        <f>Kitset.!E34</f>
        <v>131.33960000000002</v>
      </c>
      <c r="D35" s="22">
        <v>324.07092703999996</v>
      </c>
      <c r="E35" s="83">
        <f t="shared" si="18"/>
        <v>0.59471958438348649</v>
      </c>
      <c r="F35" s="24">
        <v>421.29220515199995</v>
      </c>
      <c r="G35" s="75">
        <f t="shared" si="19"/>
        <v>0.68824583414114349</v>
      </c>
      <c r="H35" s="28">
        <f t="shared" si="20"/>
        <v>437.79866666666669</v>
      </c>
      <c r="I35" s="20"/>
      <c r="J35" s="18">
        <f t="shared" si="21"/>
        <v>19.444255622399996</v>
      </c>
      <c r="K35" s="18">
        <f t="shared" si="22"/>
        <v>25.277532309119994</v>
      </c>
    </row>
    <row r="36" spans="1:11" x14ac:dyDescent="0.25">
      <c r="A36" s="8" t="s">
        <v>254</v>
      </c>
      <c r="B36" s="8" t="s">
        <v>264</v>
      </c>
      <c r="C36" s="12">
        <f>Kitset.!E35</f>
        <v>144.52780000000001</v>
      </c>
      <c r="D36" s="22">
        <v>346.42111951999993</v>
      </c>
      <c r="E36" s="83">
        <f t="shared" si="18"/>
        <v>0.58279737621003791</v>
      </c>
      <c r="F36" s="24">
        <v>450.34745537599997</v>
      </c>
      <c r="G36" s="75">
        <f t="shared" si="19"/>
        <v>0.67907490477695232</v>
      </c>
      <c r="H36" s="28">
        <f t="shared" si="20"/>
        <v>481.7593333333333</v>
      </c>
      <c r="I36" s="20"/>
      <c r="J36" s="18">
        <f t="shared" si="21"/>
        <v>20.785267171199994</v>
      </c>
      <c r="K36" s="18">
        <f t="shared" si="22"/>
        <v>27.020847322559998</v>
      </c>
    </row>
    <row r="37" spans="1:11" x14ac:dyDescent="0.25">
      <c r="A37" s="8" t="s">
        <v>254</v>
      </c>
      <c r="B37" s="8" t="s">
        <v>265</v>
      </c>
      <c r="C37" s="12">
        <f>Kitset.!E36</f>
        <v>157.71600000000001</v>
      </c>
      <c r="D37" s="22">
        <v>369.801312</v>
      </c>
      <c r="E37" s="83">
        <f t="shared" si="18"/>
        <v>0.57351151853133497</v>
      </c>
      <c r="F37" s="24">
        <v>480.74170559999999</v>
      </c>
      <c r="G37" s="75">
        <f t="shared" si="19"/>
        <v>0.67193193733179613</v>
      </c>
      <c r="H37" s="28">
        <f t="shared" si="20"/>
        <v>525.71999999999991</v>
      </c>
      <c r="I37" s="20"/>
      <c r="J37" s="18">
        <f t="shared" si="21"/>
        <v>22.18807872</v>
      </c>
      <c r="K37" s="18">
        <f t="shared" si="22"/>
        <v>28.844502335999998</v>
      </c>
    </row>
    <row r="38" spans="1:11" x14ac:dyDescent="0.25">
      <c r="A38" s="8" t="s">
        <v>254</v>
      </c>
      <c r="B38" s="8" t="s">
        <v>266</v>
      </c>
      <c r="C38" s="12">
        <f>Kitset.!E37</f>
        <v>170.9528</v>
      </c>
      <c r="D38" s="22">
        <v>394.21150447999997</v>
      </c>
      <c r="E38" s="83">
        <f t="shared" si="18"/>
        <v>0.56634243786085858</v>
      </c>
      <c r="F38" s="24">
        <v>512.47495582399995</v>
      </c>
      <c r="G38" s="75">
        <f t="shared" si="19"/>
        <v>0.66641725989296807</v>
      </c>
      <c r="H38" s="28">
        <f t="shared" si="20"/>
        <v>569.84266666666656</v>
      </c>
      <c r="I38" s="20"/>
      <c r="J38" s="18">
        <f t="shared" si="21"/>
        <v>23.652690268799997</v>
      </c>
      <c r="K38" s="18">
        <f t="shared" si="22"/>
        <v>30.748497349439997</v>
      </c>
    </row>
    <row r="39" spans="1:11" x14ac:dyDescent="0.25">
      <c r="A39" s="8" t="s">
        <v>254</v>
      </c>
      <c r="B39" s="8" t="s">
        <v>267</v>
      </c>
      <c r="C39" s="12">
        <f>Kitset.!E38</f>
        <v>184.15720000000005</v>
      </c>
      <c r="D39" s="22">
        <v>420.68169696000001</v>
      </c>
      <c r="E39" s="83">
        <f t="shared" si="18"/>
        <v>0.56224099757420543</v>
      </c>
      <c r="F39" s="24">
        <v>546.88620604799996</v>
      </c>
      <c r="G39" s="75">
        <f t="shared" si="19"/>
        <v>0.66326230582631174</v>
      </c>
      <c r="H39" s="28">
        <f t="shared" si="20"/>
        <v>613.85733333333337</v>
      </c>
      <c r="I39" s="20"/>
      <c r="J39" s="18">
        <f t="shared" si="21"/>
        <v>25.240901817600001</v>
      </c>
      <c r="K39" s="18">
        <f t="shared" si="22"/>
        <v>32.813172362879996</v>
      </c>
    </row>
    <row r="40" spans="1:11" x14ac:dyDescent="0.25">
      <c r="A40" s="8" t="s">
        <v>254</v>
      </c>
      <c r="B40" s="8" t="s">
        <v>268</v>
      </c>
      <c r="C40" s="12">
        <f>Kitset.!E39</f>
        <v>197.36160000000001</v>
      </c>
      <c r="D40" s="22">
        <v>445.09188943999999</v>
      </c>
      <c r="E40" s="83">
        <f t="shared" si="18"/>
        <v>0.5565823492126224</v>
      </c>
      <c r="F40" s="24">
        <v>578.61945627199987</v>
      </c>
      <c r="G40" s="75">
        <f t="shared" si="19"/>
        <v>0.65890949939432486</v>
      </c>
      <c r="H40" s="28">
        <f t="shared" si="20"/>
        <v>657.87199999999996</v>
      </c>
      <c r="I40" s="20"/>
      <c r="J40" s="18">
        <f t="shared" si="21"/>
        <v>26.705513366399998</v>
      </c>
      <c r="K40" s="18">
        <f t="shared" si="22"/>
        <v>34.717167376319992</v>
      </c>
    </row>
    <row r="41" spans="1:11" x14ac:dyDescent="0.25">
      <c r="A41" s="8" t="s">
        <v>254</v>
      </c>
      <c r="B41" s="8" t="s">
        <v>269</v>
      </c>
      <c r="C41" s="12">
        <f>Kitset.!E40</f>
        <v>211.39330000000001</v>
      </c>
      <c r="D41" s="22">
        <v>470.16527831999997</v>
      </c>
      <c r="E41" s="83">
        <f t="shared" si="18"/>
        <v>0.55038513104295361</v>
      </c>
      <c r="F41" s="24">
        <v>611.21486181599994</v>
      </c>
      <c r="G41" s="75">
        <f t="shared" si="19"/>
        <v>0.65414240849457972</v>
      </c>
      <c r="H41" s="28">
        <f t="shared" si="20"/>
        <v>704.64433333333329</v>
      </c>
      <c r="I41" s="20"/>
      <c r="J41" s="18">
        <f t="shared" si="21"/>
        <v>28.209916699199997</v>
      </c>
      <c r="K41" s="18">
        <f t="shared" si="22"/>
        <v>36.672891708959995</v>
      </c>
    </row>
    <row r="42" spans="1:11" x14ac:dyDescent="0.25">
      <c r="A42" s="8" t="s">
        <v>254</v>
      </c>
      <c r="B42" s="8" t="s">
        <v>270</v>
      </c>
      <c r="C42" s="12">
        <f>Kitset.!E41</f>
        <v>223.73800000000003</v>
      </c>
      <c r="D42" s="22">
        <v>492.88227439999997</v>
      </c>
      <c r="E42" s="83">
        <f t="shared" si="18"/>
        <v>0.54606198757631763</v>
      </c>
      <c r="F42" s="24">
        <v>640.74695671999996</v>
      </c>
      <c r="G42" s="75">
        <f t="shared" si="19"/>
        <v>0.65081691352024429</v>
      </c>
      <c r="H42" s="28">
        <f t="shared" si="20"/>
        <v>745.79333333333329</v>
      </c>
      <c r="I42" s="21"/>
      <c r="J42" s="18">
        <f t="shared" si="21"/>
        <v>29.572936463999998</v>
      </c>
      <c r="K42" s="18">
        <f t="shared" si="22"/>
        <v>38.444817403199998</v>
      </c>
    </row>
    <row r="43" spans="1:11" ht="6" customHeight="1" x14ac:dyDescent="0.25">
      <c r="B43" s="1"/>
      <c r="C43" s="1"/>
      <c r="D43" s="2"/>
      <c r="E43" s="1"/>
    </row>
    <row r="44" spans="1:11" x14ac:dyDescent="0.25">
      <c r="A44" s="290" t="s">
        <v>272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</row>
    <row r="45" spans="1:11" x14ac:dyDescent="0.25">
      <c r="A45" s="291" t="s">
        <v>198</v>
      </c>
      <c r="B45" s="293" t="s">
        <v>253</v>
      </c>
      <c r="C45" s="293" t="s">
        <v>8</v>
      </c>
      <c r="D45" s="293" t="s">
        <v>199</v>
      </c>
      <c r="E45" s="295" t="s">
        <v>39</v>
      </c>
      <c r="F45" s="295" t="s">
        <v>200</v>
      </c>
      <c r="G45" s="295" t="s">
        <v>39</v>
      </c>
      <c r="H45" s="4" t="s">
        <v>141</v>
      </c>
      <c r="I45" s="19"/>
      <c r="J45" s="4" t="s">
        <v>201</v>
      </c>
      <c r="K45" s="4" t="s">
        <v>202</v>
      </c>
    </row>
    <row r="46" spans="1:11" x14ac:dyDescent="0.25">
      <c r="A46" s="292"/>
      <c r="B46" s="294"/>
      <c r="C46" s="294"/>
      <c r="D46" s="294"/>
      <c r="E46" s="296"/>
      <c r="F46" s="296"/>
      <c r="G46" s="296"/>
      <c r="H46" s="27">
        <v>0.7</v>
      </c>
      <c r="I46" s="20"/>
      <c r="J46" s="17">
        <v>0.06</v>
      </c>
      <c r="K46" s="17">
        <v>0.06</v>
      </c>
    </row>
    <row r="47" spans="1:11" x14ac:dyDescent="0.25">
      <c r="A47" s="8" t="s">
        <v>254</v>
      </c>
      <c r="B47" s="8" t="s">
        <v>255</v>
      </c>
      <c r="C47" s="12">
        <f>Kitset.!E46</f>
        <v>26.806000000000001</v>
      </c>
      <c r="D47" s="22">
        <v>133.69594763636363</v>
      </c>
      <c r="E47" s="83">
        <f t="shared" ref="E47:E62" si="23">(D47-C47)/D47</f>
        <v>0.79950028049534461</v>
      </c>
      <c r="F47" s="24">
        <v>173.80473192727271</v>
      </c>
      <c r="G47" s="75">
        <f t="shared" ref="G47:G62" si="24">(F47-C47)/F47</f>
        <v>0.8457694465348804</v>
      </c>
      <c r="H47" s="28">
        <f t="shared" ref="H47:H62" si="25">C47/(1-$H$46)</f>
        <v>89.353333333333325</v>
      </c>
      <c r="I47" s="20"/>
      <c r="J47" s="18">
        <f t="shared" ref="J47:J62" si="26">(D47*$J$6)</f>
        <v>8.0217568581818171</v>
      </c>
      <c r="K47" s="18">
        <f t="shared" ref="K47:K62" si="27">(F47*$K$6)</f>
        <v>10.428283915636362</v>
      </c>
    </row>
    <row r="48" spans="1:11" x14ac:dyDescent="0.25">
      <c r="A48" s="8" t="s">
        <v>254</v>
      </c>
      <c r="B48" s="8" t="s">
        <v>71</v>
      </c>
      <c r="C48" s="12">
        <f>Kitset.!E47</f>
        <v>38.860200000000006</v>
      </c>
      <c r="D48" s="22">
        <v>161.81709003636365</v>
      </c>
      <c r="E48" s="83">
        <f t="shared" si="23"/>
        <v>0.75985107635252047</v>
      </c>
      <c r="F48" s="24">
        <v>210.36221704727274</v>
      </c>
      <c r="G48" s="75">
        <f t="shared" si="24"/>
        <v>0.81527005873270797</v>
      </c>
      <c r="H48" s="28">
        <f t="shared" si="25"/>
        <v>129.53399999999999</v>
      </c>
      <c r="I48" s="20"/>
      <c r="J48" s="18">
        <f t="shared" si="26"/>
        <v>9.709025402181819</v>
      </c>
      <c r="K48" s="18">
        <f t="shared" si="27"/>
        <v>12.621733022836363</v>
      </c>
    </row>
    <row r="49" spans="1:11" x14ac:dyDescent="0.25">
      <c r="A49" s="8" t="s">
        <v>254</v>
      </c>
      <c r="B49" s="8" t="s">
        <v>115</v>
      </c>
      <c r="C49" s="12">
        <f>Kitset.!E48</f>
        <v>52.129400000000004</v>
      </c>
      <c r="D49" s="22">
        <v>188.90823243636368</v>
      </c>
      <c r="E49" s="83">
        <f t="shared" si="23"/>
        <v>0.72404908283941249</v>
      </c>
      <c r="F49" s="24">
        <v>245.58070216727276</v>
      </c>
      <c r="G49" s="75">
        <f t="shared" si="24"/>
        <v>0.787730063722625</v>
      </c>
      <c r="H49" s="28">
        <f t="shared" si="25"/>
        <v>173.76466666666664</v>
      </c>
      <c r="I49" s="20"/>
      <c r="J49" s="18">
        <f t="shared" si="26"/>
        <v>11.334493946181819</v>
      </c>
      <c r="K49" s="18">
        <f t="shared" si="27"/>
        <v>14.734842130036364</v>
      </c>
    </row>
    <row r="50" spans="1:11" x14ac:dyDescent="0.25">
      <c r="A50" s="8" t="s">
        <v>254</v>
      </c>
      <c r="B50" s="8" t="s">
        <v>117</v>
      </c>
      <c r="C50" s="12">
        <f>Kitset.!E49</f>
        <v>65.236599999999996</v>
      </c>
      <c r="D50" s="22">
        <v>215.99937483636364</v>
      </c>
      <c r="E50" s="83">
        <f t="shared" si="23"/>
        <v>0.69797782956815579</v>
      </c>
      <c r="F50" s="24">
        <v>280.79918728727273</v>
      </c>
      <c r="G50" s="75">
        <f t="shared" si="24"/>
        <v>0.76767525351396604</v>
      </c>
      <c r="H50" s="28">
        <f t="shared" si="25"/>
        <v>217.4553333333333</v>
      </c>
      <c r="I50" s="20"/>
      <c r="J50" s="18">
        <f t="shared" si="26"/>
        <v>12.959962490181818</v>
      </c>
      <c r="K50" s="18">
        <f t="shared" si="27"/>
        <v>16.847951237236362</v>
      </c>
    </row>
    <row r="51" spans="1:11" x14ac:dyDescent="0.25">
      <c r="A51" s="8" t="s">
        <v>254</v>
      </c>
      <c r="B51" s="8" t="s">
        <v>260</v>
      </c>
      <c r="C51" s="12">
        <f>Kitset.!E50</f>
        <v>78.505800000000008</v>
      </c>
      <c r="D51" s="22">
        <v>244.12051723636364</v>
      </c>
      <c r="E51" s="83">
        <f t="shared" si="23"/>
        <v>0.6784137569068448</v>
      </c>
      <c r="F51" s="24">
        <v>317.3566724072727</v>
      </c>
      <c r="G51" s="75">
        <f t="shared" si="24"/>
        <v>0.75262596685141903</v>
      </c>
      <c r="H51" s="28">
        <f t="shared" si="25"/>
        <v>261.68599999999998</v>
      </c>
      <c r="I51" s="20"/>
      <c r="J51" s="18">
        <f t="shared" si="26"/>
        <v>14.647231034181818</v>
      </c>
      <c r="K51" s="18">
        <f t="shared" si="27"/>
        <v>19.041400344436362</v>
      </c>
    </row>
    <row r="52" spans="1:11" x14ac:dyDescent="0.25">
      <c r="A52" s="8" t="s">
        <v>254</v>
      </c>
      <c r="B52" s="8" t="s">
        <v>118</v>
      </c>
      <c r="C52" s="12">
        <f>Kitset.!E51</f>
        <v>91.694000000000003</v>
      </c>
      <c r="D52" s="22">
        <v>275.33165963636367</v>
      </c>
      <c r="E52" s="83">
        <f t="shared" si="23"/>
        <v>0.66696891987974716</v>
      </c>
      <c r="F52" s="24">
        <v>357.93115752727277</v>
      </c>
      <c r="G52" s="75">
        <f t="shared" si="24"/>
        <v>0.74382224606134395</v>
      </c>
      <c r="H52" s="28">
        <f t="shared" si="25"/>
        <v>305.64666666666665</v>
      </c>
      <c r="I52" s="20"/>
      <c r="J52" s="18">
        <f t="shared" si="26"/>
        <v>16.519899578181821</v>
      </c>
      <c r="K52" s="18">
        <f t="shared" si="27"/>
        <v>21.475869451636367</v>
      </c>
    </row>
    <row r="53" spans="1:11" x14ac:dyDescent="0.25">
      <c r="A53" s="8" t="s">
        <v>254</v>
      </c>
      <c r="B53" s="8" t="s">
        <v>261</v>
      </c>
      <c r="C53" s="12">
        <f>Kitset.!E52</f>
        <v>104.92270000000001</v>
      </c>
      <c r="D53" s="22">
        <v>307.57280203636361</v>
      </c>
      <c r="E53" s="83">
        <f t="shared" si="23"/>
        <v>0.65886873187312822</v>
      </c>
      <c r="F53" s="24">
        <v>399.84464264727274</v>
      </c>
      <c r="G53" s="75">
        <f t="shared" si="24"/>
        <v>0.73759133221009865</v>
      </c>
      <c r="H53" s="28">
        <f t="shared" si="25"/>
        <v>349.74233333333331</v>
      </c>
      <c r="I53" s="20"/>
      <c r="J53" s="18">
        <f t="shared" si="26"/>
        <v>18.454368122181815</v>
      </c>
      <c r="K53" s="18">
        <f t="shared" si="27"/>
        <v>23.990678558836365</v>
      </c>
    </row>
    <row r="54" spans="1:11" x14ac:dyDescent="0.25">
      <c r="A54" s="8" t="s">
        <v>254</v>
      </c>
      <c r="B54" s="8" t="s">
        <v>262</v>
      </c>
      <c r="C54" s="12">
        <f>Kitset.!E53</f>
        <v>118.1514</v>
      </c>
      <c r="D54" s="22">
        <v>339.81394443636361</v>
      </c>
      <c r="E54" s="83">
        <f t="shared" si="23"/>
        <v>0.65230561625134831</v>
      </c>
      <c r="F54" s="24">
        <v>441.75812776727264</v>
      </c>
      <c r="G54" s="75">
        <f t="shared" si="24"/>
        <v>0.73254278173180642</v>
      </c>
      <c r="H54" s="28">
        <f t="shared" si="25"/>
        <v>393.83799999999991</v>
      </c>
      <c r="I54" s="20"/>
      <c r="J54" s="18">
        <f t="shared" si="26"/>
        <v>20.388836666181817</v>
      </c>
      <c r="K54" s="18">
        <f t="shared" si="27"/>
        <v>26.505487666036359</v>
      </c>
    </row>
    <row r="55" spans="1:11" x14ac:dyDescent="0.25">
      <c r="A55" s="8" t="s">
        <v>254</v>
      </c>
      <c r="B55" s="8" t="s">
        <v>263</v>
      </c>
      <c r="C55" s="12">
        <f>Kitset.!E54</f>
        <v>131.33960000000002</v>
      </c>
      <c r="D55" s="22">
        <v>372.05508683636361</v>
      </c>
      <c r="E55" s="83">
        <f t="shared" si="23"/>
        <v>0.64698883405465846</v>
      </c>
      <c r="F55" s="24">
        <v>483.67161288727266</v>
      </c>
      <c r="G55" s="75">
        <f t="shared" si="24"/>
        <v>0.72845294927281412</v>
      </c>
      <c r="H55" s="28">
        <f t="shared" si="25"/>
        <v>437.79866666666669</v>
      </c>
      <c r="I55" s="20"/>
      <c r="J55" s="18">
        <f t="shared" si="26"/>
        <v>22.323305210181815</v>
      </c>
      <c r="K55" s="18">
        <f t="shared" si="27"/>
        <v>29.020296773236357</v>
      </c>
    </row>
    <row r="56" spans="1:11" x14ac:dyDescent="0.25">
      <c r="A56" s="8" t="s">
        <v>254</v>
      </c>
      <c r="B56" s="8" t="s">
        <v>264</v>
      </c>
      <c r="C56" s="12">
        <f>Kitset.!E55</f>
        <v>144.52780000000001</v>
      </c>
      <c r="D56" s="22">
        <v>399.14622923636358</v>
      </c>
      <c r="E56" s="83">
        <f t="shared" si="23"/>
        <v>0.6379076403239311</v>
      </c>
      <c r="F56" s="24">
        <v>518.89009800727263</v>
      </c>
      <c r="G56" s="75">
        <f t="shared" si="24"/>
        <v>0.72146741563379313</v>
      </c>
      <c r="H56" s="28">
        <f t="shared" si="25"/>
        <v>481.7593333333333</v>
      </c>
      <c r="I56" s="20"/>
      <c r="J56" s="18">
        <f t="shared" si="26"/>
        <v>23.948773754181815</v>
      </c>
      <c r="K56" s="18">
        <f t="shared" si="27"/>
        <v>31.133405880436356</v>
      </c>
    </row>
    <row r="57" spans="1:11" x14ac:dyDescent="0.25">
      <c r="A57" s="8" t="s">
        <v>254</v>
      </c>
      <c r="B57" s="8" t="s">
        <v>265</v>
      </c>
      <c r="C57" s="12">
        <f>Kitset.!E56</f>
        <v>157.71600000000001</v>
      </c>
      <c r="D57" s="22">
        <v>427.26737163636363</v>
      </c>
      <c r="E57" s="83">
        <f t="shared" si="23"/>
        <v>0.63087281999565348</v>
      </c>
      <c r="F57" s="24">
        <v>555.44758312727276</v>
      </c>
      <c r="G57" s="75">
        <f t="shared" si="24"/>
        <v>0.71605601538127195</v>
      </c>
      <c r="H57" s="28">
        <f t="shared" si="25"/>
        <v>525.71999999999991</v>
      </c>
      <c r="I57" s="20"/>
      <c r="J57" s="18">
        <f t="shared" si="26"/>
        <v>25.636042298181817</v>
      </c>
      <c r="K57" s="18">
        <f t="shared" si="27"/>
        <v>33.326854987636366</v>
      </c>
    </row>
    <row r="58" spans="1:11" x14ac:dyDescent="0.25">
      <c r="A58" s="8" t="s">
        <v>254</v>
      </c>
      <c r="B58" s="8" t="s">
        <v>266</v>
      </c>
      <c r="C58" s="12">
        <f>Kitset.!E57</f>
        <v>170.9528</v>
      </c>
      <c r="D58" s="22">
        <v>456.4185140363636</v>
      </c>
      <c r="E58" s="83">
        <f t="shared" si="23"/>
        <v>0.62544727099659259</v>
      </c>
      <c r="F58" s="24">
        <v>593.34406824727273</v>
      </c>
      <c r="G58" s="75">
        <f t="shared" si="24"/>
        <v>0.711882516151225</v>
      </c>
      <c r="H58" s="28">
        <f t="shared" si="25"/>
        <v>569.84266666666656</v>
      </c>
      <c r="I58" s="20"/>
      <c r="J58" s="18">
        <f t="shared" si="26"/>
        <v>27.385110842181817</v>
      </c>
      <c r="K58" s="18">
        <f t="shared" si="27"/>
        <v>35.600644094836362</v>
      </c>
    </row>
    <row r="59" spans="1:11" x14ac:dyDescent="0.25">
      <c r="A59" s="8" t="s">
        <v>254</v>
      </c>
      <c r="B59" s="8" t="s">
        <v>267</v>
      </c>
      <c r="C59" s="12">
        <f>Kitset.!E58</f>
        <v>184.15720000000005</v>
      </c>
      <c r="D59" s="22">
        <v>487.62965643636363</v>
      </c>
      <c r="E59" s="83">
        <f t="shared" si="23"/>
        <v>0.62234208365045818</v>
      </c>
      <c r="F59" s="24">
        <v>633.91855336727269</v>
      </c>
      <c r="G59" s="75">
        <f t="shared" si="24"/>
        <v>0.70949391050035238</v>
      </c>
      <c r="H59" s="28">
        <f t="shared" si="25"/>
        <v>613.85733333333337</v>
      </c>
      <c r="I59" s="20"/>
      <c r="J59" s="18">
        <f t="shared" si="26"/>
        <v>29.257779386181817</v>
      </c>
      <c r="K59" s="18">
        <f t="shared" si="27"/>
        <v>38.035113202036364</v>
      </c>
    </row>
    <row r="60" spans="1:11" x14ac:dyDescent="0.25">
      <c r="A60" s="8" t="s">
        <v>254</v>
      </c>
      <c r="B60" s="8" t="s">
        <v>268</v>
      </c>
      <c r="C60" s="12">
        <f>Kitset.!E59</f>
        <v>197.36160000000001</v>
      </c>
      <c r="D60" s="22">
        <v>516.78079883636372</v>
      </c>
      <c r="E60" s="83">
        <f t="shared" si="23"/>
        <v>0.61809416982132559</v>
      </c>
      <c r="F60" s="24">
        <v>671.81503848727277</v>
      </c>
      <c r="G60" s="75">
        <f t="shared" si="24"/>
        <v>0.70622628447794278</v>
      </c>
      <c r="H60" s="28">
        <f t="shared" si="25"/>
        <v>657.87199999999996</v>
      </c>
      <c r="I60" s="20"/>
      <c r="J60" s="18">
        <f t="shared" si="26"/>
        <v>31.00684793018182</v>
      </c>
      <c r="K60" s="18">
        <f t="shared" si="27"/>
        <v>40.308902309236366</v>
      </c>
    </row>
    <row r="61" spans="1:11" x14ac:dyDescent="0.25">
      <c r="A61" s="8" t="s">
        <v>254</v>
      </c>
      <c r="B61" s="8" t="s">
        <v>269</v>
      </c>
      <c r="C61" s="12">
        <f>Kitset.!E60</f>
        <v>211.39330000000001</v>
      </c>
      <c r="D61" s="22">
        <v>546.9543005090909</v>
      </c>
      <c r="E61" s="83">
        <f t="shared" si="23"/>
        <v>0.61350829529406647</v>
      </c>
      <c r="F61" s="24">
        <v>711.0405906618181</v>
      </c>
      <c r="G61" s="75">
        <f t="shared" si="24"/>
        <v>0.70269868868774343</v>
      </c>
      <c r="H61" s="28">
        <f t="shared" si="25"/>
        <v>704.64433333333329</v>
      </c>
      <c r="I61" s="20"/>
      <c r="J61" s="18">
        <f t="shared" si="26"/>
        <v>32.817258030545453</v>
      </c>
      <c r="K61" s="18">
        <f t="shared" si="27"/>
        <v>42.662435439709085</v>
      </c>
    </row>
    <row r="62" spans="1:11" x14ac:dyDescent="0.25">
      <c r="A62" s="8" t="s">
        <v>254</v>
      </c>
      <c r="B62" s="8" t="s">
        <v>270</v>
      </c>
      <c r="C62" s="12">
        <f>Kitset.!E61</f>
        <v>223.73800000000003</v>
      </c>
      <c r="D62" s="22">
        <v>574.05308363636368</v>
      </c>
      <c r="E62" s="83">
        <f t="shared" si="23"/>
        <v>0.61024858784361513</v>
      </c>
      <c r="F62" s="24">
        <v>746.26900872727288</v>
      </c>
      <c r="G62" s="75">
        <f t="shared" si="24"/>
        <v>0.70019122141816548</v>
      </c>
      <c r="H62" s="28">
        <f t="shared" si="25"/>
        <v>745.79333333333329</v>
      </c>
      <c r="I62" s="21"/>
      <c r="J62" s="18">
        <f t="shared" si="26"/>
        <v>34.443185018181822</v>
      </c>
      <c r="K62" s="18">
        <f t="shared" si="27"/>
        <v>44.776140523636371</v>
      </c>
    </row>
    <row r="63" spans="1:11" ht="6" customHeight="1" x14ac:dyDescent="0.25">
      <c r="B63" s="1"/>
      <c r="C63" s="1"/>
      <c r="D63" s="2"/>
      <c r="E63" s="1"/>
    </row>
    <row r="64" spans="1:11" x14ac:dyDescent="0.25">
      <c r="A64" s="290" t="s">
        <v>273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</row>
    <row r="65" spans="1:11" x14ac:dyDescent="0.25">
      <c r="A65" s="291" t="s">
        <v>198</v>
      </c>
      <c r="B65" s="293" t="s">
        <v>253</v>
      </c>
      <c r="C65" s="293" t="s">
        <v>8</v>
      </c>
      <c r="D65" s="293" t="s">
        <v>199</v>
      </c>
      <c r="E65" s="295" t="s">
        <v>39</v>
      </c>
      <c r="F65" s="295" t="s">
        <v>200</v>
      </c>
      <c r="G65" s="295" t="s">
        <v>39</v>
      </c>
      <c r="H65" s="4" t="s">
        <v>141</v>
      </c>
      <c r="I65" s="19"/>
      <c r="J65" s="4" t="s">
        <v>201</v>
      </c>
      <c r="K65" s="4" t="s">
        <v>202</v>
      </c>
    </row>
    <row r="66" spans="1:11" x14ac:dyDescent="0.25">
      <c r="A66" s="292"/>
      <c r="B66" s="294"/>
      <c r="C66" s="294"/>
      <c r="D66" s="294"/>
      <c r="E66" s="296"/>
      <c r="F66" s="296"/>
      <c r="G66" s="296"/>
      <c r="H66" s="27">
        <v>0.7</v>
      </c>
      <c r="I66" s="20"/>
      <c r="J66" s="17">
        <v>0.06</v>
      </c>
      <c r="K66" s="17">
        <v>0.06</v>
      </c>
    </row>
    <row r="67" spans="1:11" x14ac:dyDescent="0.25">
      <c r="A67" s="8" t="s">
        <v>254</v>
      </c>
      <c r="B67" s="8" t="s">
        <v>71</v>
      </c>
      <c r="C67" s="12">
        <f>Kitset.!E68</f>
        <v>27.823399999999999</v>
      </c>
      <c r="D67" s="22">
        <v>79.236804654545452</v>
      </c>
      <c r="E67" s="83">
        <f t="shared" ref="E67:E81" si="28">(D67-C67)/D67</f>
        <v>0.6488576221453688</v>
      </c>
      <c r="F67" s="24">
        <v>110.93152651636362</v>
      </c>
      <c r="G67" s="75">
        <f t="shared" ref="G67:G81" si="29">(F67-C67)/F67</f>
        <v>0.74918401581812055</v>
      </c>
      <c r="H67" s="28">
        <f>C67/(1-$H$66)</f>
        <v>92.744666666666646</v>
      </c>
      <c r="I67" s="20"/>
      <c r="J67" s="18">
        <f t="shared" ref="J67:J81" si="30">(D67*$J$6)</f>
        <v>4.7542082792727269</v>
      </c>
      <c r="K67" s="18">
        <f t="shared" ref="K67:K81" si="31">(F67*$K$6)</f>
        <v>6.6558915909818168</v>
      </c>
    </row>
    <row r="68" spans="1:11" x14ac:dyDescent="0.25">
      <c r="A68" s="8" t="s">
        <v>254</v>
      </c>
      <c r="B68" s="8" t="s">
        <v>115</v>
      </c>
      <c r="C68" s="12">
        <f>Kitset.!E69</f>
        <v>34.310500000000005</v>
      </c>
      <c r="D68" s="22">
        <v>92.650865454545453</v>
      </c>
      <c r="E68" s="83">
        <f t="shared" si="28"/>
        <v>0.62967965996137676</v>
      </c>
      <c r="F68" s="24">
        <v>129.71121163636363</v>
      </c>
      <c r="G68" s="75">
        <f t="shared" si="29"/>
        <v>0.73548547140098341</v>
      </c>
      <c r="H68" s="28">
        <f t="shared" ref="H68:H81" si="32">C68/(1-$H$66)</f>
        <v>114.36833333333333</v>
      </c>
      <c r="I68" s="20"/>
      <c r="J68" s="18">
        <f t="shared" si="30"/>
        <v>5.5590519272727272</v>
      </c>
      <c r="K68" s="18">
        <f t="shared" si="31"/>
        <v>7.7826726981818171</v>
      </c>
    </row>
    <row r="69" spans="1:11" x14ac:dyDescent="0.25">
      <c r="A69" s="8" t="s">
        <v>254</v>
      </c>
      <c r="B69" s="8" t="s">
        <v>117</v>
      </c>
      <c r="C69" s="12">
        <f>Kitset.!E70</f>
        <v>41.134999999999998</v>
      </c>
      <c r="D69" s="22">
        <v>106.87789963636364</v>
      </c>
      <c r="E69" s="83">
        <f t="shared" si="28"/>
        <v>0.61512155328692086</v>
      </c>
      <c r="F69" s="24">
        <v>149.6290594909091</v>
      </c>
      <c r="G69" s="75">
        <f t="shared" si="29"/>
        <v>0.72508682377637212</v>
      </c>
      <c r="H69" s="28">
        <f t="shared" si="32"/>
        <v>137.11666666666665</v>
      </c>
      <c r="I69" s="20"/>
      <c r="J69" s="18">
        <f t="shared" si="30"/>
        <v>6.4126739781818181</v>
      </c>
      <c r="K69" s="18">
        <f t="shared" si="31"/>
        <v>8.977743569454546</v>
      </c>
    </row>
    <row r="70" spans="1:11" x14ac:dyDescent="0.25">
      <c r="A70" s="8" t="s">
        <v>254</v>
      </c>
      <c r="B70" s="8" t="s">
        <v>260</v>
      </c>
      <c r="C70" s="12">
        <f>Kitset.!E71</f>
        <v>47.959499999999998</v>
      </c>
      <c r="D70" s="22">
        <v>122.12493381818184</v>
      </c>
      <c r="E70" s="83">
        <f t="shared" si="28"/>
        <v>0.60729149649815539</v>
      </c>
      <c r="F70" s="24">
        <v>170.97490734545457</v>
      </c>
      <c r="G70" s="75">
        <f t="shared" si="29"/>
        <v>0.71949392607011109</v>
      </c>
      <c r="H70" s="28">
        <f t="shared" si="32"/>
        <v>159.86499999999998</v>
      </c>
      <c r="I70" s="20"/>
      <c r="J70" s="18">
        <f t="shared" si="30"/>
        <v>7.3274960290909101</v>
      </c>
      <c r="K70" s="18">
        <f t="shared" si="31"/>
        <v>10.258494440727274</v>
      </c>
    </row>
    <row r="71" spans="1:11" x14ac:dyDescent="0.25">
      <c r="A71" s="8" t="s">
        <v>254</v>
      </c>
      <c r="B71" s="8" t="s">
        <v>118</v>
      </c>
      <c r="C71" s="12">
        <f>Kitset.!E72</f>
        <v>54.784000000000006</v>
      </c>
      <c r="D71" s="22">
        <v>140.43196800000001</v>
      </c>
      <c r="E71" s="83">
        <f t="shared" si="28"/>
        <v>0.60988939498448103</v>
      </c>
      <c r="F71" s="24">
        <v>196.6047552</v>
      </c>
      <c r="G71" s="75">
        <f t="shared" si="29"/>
        <v>0.72134956784605797</v>
      </c>
      <c r="H71" s="28">
        <f t="shared" si="32"/>
        <v>182.61333333333332</v>
      </c>
      <c r="I71" s="20"/>
      <c r="J71" s="18">
        <f t="shared" si="30"/>
        <v>8.4259180800000006</v>
      </c>
      <c r="K71" s="18">
        <f t="shared" si="31"/>
        <v>11.796285312</v>
      </c>
    </row>
    <row r="72" spans="1:11" x14ac:dyDescent="0.25">
      <c r="A72" s="8" t="s">
        <v>254</v>
      </c>
      <c r="B72" s="8" t="s">
        <v>261</v>
      </c>
      <c r="C72" s="12">
        <f>Kitset.!E73</f>
        <v>62.013500000000001</v>
      </c>
      <c r="D72" s="22">
        <v>160.77916538181819</v>
      </c>
      <c r="E72" s="83">
        <f t="shared" si="28"/>
        <v>0.61429393010760813</v>
      </c>
      <c r="F72" s="24">
        <v>225.09083153454546</v>
      </c>
      <c r="G72" s="75">
        <f t="shared" si="29"/>
        <v>0.72449566436257729</v>
      </c>
      <c r="H72" s="28">
        <f t="shared" si="32"/>
        <v>206.71166666666664</v>
      </c>
      <c r="I72" s="20"/>
      <c r="J72" s="18">
        <f t="shared" si="30"/>
        <v>9.6467499229090912</v>
      </c>
      <c r="K72" s="18">
        <f t="shared" si="31"/>
        <v>13.505449892072727</v>
      </c>
    </row>
    <row r="73" spans="1:11" x14ac:dyDescent="0.25">
      <c r="A73" s="8" t="s">
        <v>254</v>
      </c>
      <c r="B73" s="8" t="s">
        <v>262</v>
      </c>
      <c r="C73" s="12">
        <f>Kitset.!E74</f>
        <v>70.052999999999997</v>
      </c>
      <c r="D73" s="22">
        <v>183.16668916363636</v>
      </c>
      <c r="E73" s="83">
        <f t="shared" si="28"/>
        <v>0.61754508792034524</v>
      </c>
      <c r="F73" s="24">
        <v>256.43336482909086</v>
      </c>
      <c r="G73" s="75">
        <f t="shared" si="29"/>
        <v>0.72681791994310374</v>
      </c>
      <c r="H73" s="28">
        <f t="shared" si="32"/>
        <v>233.50999999999996</v>
      </c>
      <c r="I73" s="20"/>
      <c r="J73" s="18">
        <f t="shared" si="30"/>
        <v>10.990001349818181</v>
      </c>
      <c r="K73" s="18">
        <f t="shared" si="31"/>
        <v>15.386001889745451</v>
      </c>
    </row>
    <row r="74" spans="1:11" x14ac:dyDescent="0.25">
      <c r="A74" s="8" t="s">
        <v>254</v>
      </c>
      <c r="B74" s="8" t="s">
        <v>263</v>
      </c>
      <c r="C74" s="12">
        <f>Kitset.!E75</f>
        <v>78.497500000000002</v>
      </c>
      <c r="D74" s="22">
        <v>206.59361520000002</v>
      </c>
      <c r="E74" s="83">
        <f t="shared" si="28"/>
        <v>0.62003908047202805</v>
      </c>
      <c r="F74" s="24">
        <v>289.23106128000006</v>
      </c>
      <c r="G74" s="75">
        <f t="shared" si="29"/>
        <v>0.72859934319430586</v>
      </c>
      <c r="H74" s="28">
        <f t="shared" si="32"/>
        <v>261.6583333333333</v>
      </c>
      <c r="I74" s="20"/>
      <c r="J74" s="18">
        <f t="shared" si="30"/>
        <v>12.395616912000001</v>
      </c>
      <c r="K74" s="18">
        <f t="shared" si="31"/>
        <v>17.353863676800003</v>
      </c>
    </row>
    <row r="75" spans="1:11" x14ac:dyDescent="0.25">
      <c r="A75" s="8" t="s">
        <v>254</v>
      </c>
      <c r="B75" s="8" t="s">
        <v>264</v>
      </c>
      <c r="C75" s="12">
        <f>Kitset.!E76</f>
        <v>86.78</v>
      </c>
      <c r="D75" s="22">
        <v>224.49530879999998</v>
      </c>
      <c r="E75" s="83">
        <f t="shared" si="28"/>
        <v>0.61344403825689198</v>
      </c>
      <c r="F75" s="24">
        <v>314.29343231999997</v>
      </c>
      <c r="G75" s="75">
        <f t="shared" si="29"/>
        <v>0.72388859875492284</v>
      </c>
      <c r="H75" s="28">
        <f t="shared" si="32"/>
        <v>289.26666666666665</v>
      </c>
      <c r="I75" s="20"/>
      <c r="J75" s="18">
        <f t="shared" si="30"/>
        <v>13.469718527999998</v>
      </c>
      <c r="K75" s="18">
        <f t="shared" si="31"/>
        <v>18.857605939199996</v>
      </c>
    </row>
    <row r="76" spans="1:11" x14ac:dyDescent="0.25">
      <c r="A76" s="8" t="s">
        <v>254</v>
      </c>
      <c r="B76" s="8" t="s">
        <v>265</v>
      </c>
      <c r="C76" s="12">
        <f>Kitset.!E77</f>
        <v>95.143500000000017</v>
      </c>
      <c r="D76" s="22">
        <v>243.62103504000001</v>
      </c>
      <c r="E76" s="83">
        <f t="shared" si="28"/>
        <v>0.60946106322724369</v>
      </c>
      <c r="F76" s="24">
        <v>341.06944905600005</v>
      </c>
      <c r="G76" s="75">
        <f t="shared" si="29"/>
        <v>0.72104361659088834</v>
      </c>
      <c r="H76" s="28">
        <f t="shared" si="32"/>
        <v>317.14500000000004</v>
      </c>
      <c r="I76" s="20"/>
      <c r="J76" s="18">
        <f t="shared" si="30"/>
        <v>14.6172621024</v>
      </c>
      <c r="K76" s="18">
        <f t="shared" si="31"/>
        <v>20.464166943360002</v>
      </c>
    </row>
    <row r="77" spans="1:11" x14ac:dyDescent="0.25">
      <c r="A77" s="8" t="s">
        <v>254</v>
      </c>
      <c r="B77" s="8" t="s">
        <v>266</v>
      </c>
      <c r="C77" s="12">
        <f>Kitset.!E78</f>
        <v>103.50700000000001</v>
      </c>
      <c r="D77" s="22">
        <v>263.76676128000003</v>
      </c>
      <c r="E77" s="83">
        <f t="shared" si="28"/>
        <v>0.60758133626199107</v>
      </c>
      <c r="F77" s="24">
        <v>369.27346579200008</v>
      </c>
      <c r="G77" s="75">
        <f t="shared" si="29"/>
        <v>0.71970095447285076</v>
      </c>
      <c r="H77" s="28">
        <f t="shared" si="32"/>
        <v>345.02333333333331</v>
      </c>
      <c r="I77" s="20"/>
      <c r="J77" s="18">
        <f t="shared" si="30"/>
        <v>15.826005676800001</v>
      </c>
      <c r="K77" s="18">
        <f t="shared" si="31"/>
        <v>22.156407947520005</v>
      </c>
    </row>
    <row r="78" spans="1:11" x14ac:dyDescent="0.25">
      <c r="A78" s="8" t="s">
        <v>254</v>
      </c>
      <c r="B78" s="8" t="s">
        <v>267</v>
      </c>
      <c r="C78" s="12">
        <f>Kitset.!E79</f>
        <v>111.87050000000002</v>
      </c>
      <c r="D78" s="22">
        <v>285.95248752000003</v>
      </c>
      <c r="E78" s="83">
        <f t="shared" si="28"/>
        <v>0.60877941307583272</v>
      </c>
      <c r="F78" s="24">
        <v>400.33348252800005</v>
      </c>
      <c r="G78" s="75">
        <f t="shared" si="29"/>
        <v>0.72055672362559475</v>
      </c>
      <c r="H78" s="28">
        <f t="shared" si="32"/>
        <v>372.9016666666667</v>
      </c>
      <c r="I78" s="20"/>
      <c r="J78" s="18">
        <f t="shared" si="30"/>
        <v>17.1571492512</v>
      </c>
      <c r="K78" s="18">
        <f t="shared" si="31"/>
        <v>24.020008951680001</v>
      </c>
    </row>
    <row r="79" spans="1:11" x14ac:dyDescent="0.25">
      <c r="A79" s="8" t="s">
        <v>254</v>
      </c>
      <c r="B79" s="8" t="s">
        <v>268</v>
      </c>
      <c r="C79" s="12">
        <f>Kitset.!E80</f>
        <v>120.23400000000001</v>
      </c>
      <c r="D79" s="22">
        <v>306.09821376000002</v>
      </c>
      <c r="E79" s="83">
        <f t="shared" si="28"/>
        <v>0.60720450301526119</v>
      </c>
      <c r="F79" s="24">
        <v>428.53749926400002</v>
      </c>
      <c r="G79" s="75">
        <f t="shared" si="29"/>
        <v>0.71943178786804385</v>
      </c>
      <c r="H79" s="28">
        <f t="shared" si="32"/>
        <v>400.78</v>
      </c>
      <c r="I79" s="20"/>
      <c r="J79" s="18">
        <f t="shared" si="30"/>
        <v>18.3658928256</v>
      </c>
      <c r="K79" s="18">
        <f t="shared" si="31"/>
        <v>25.712249955840001</v>
      </c>
    </row>
    <row r="80" spans="1:11" x14ac:dyDescent="0.25">
      <c r="A80" s="8" t="s">
        <v>254</v>
      </c>
      <c r="B80" s="8" t="s">
        <v>269</v>
      </c>
      <c r="C80" s="12">
        <f>Kitset.!E81</f>
        <v>128.5975</v>
      </c>
      <c r="D80" s="22">
        <v>325.22394000000003</v>
      </c>
      <c r="E80" s="83">
        <f t="shared" si="28"/>
        <v>0.60458784184214731</v>
      </c>
      <c r="F80" s="24">
        <v>455.31351600000005</v>
      </c>
      <c r="G80" s="75">
        <f t="shared" si="29"/>
        <v>0.7175627441729624</v>
      </c>
      <c r="H80" s="28">
        <f t="shared" si="32"/>
        <v>428.65833333333325</v>
      </c>
      <c r="I80" s="20"/>
      <c r="J80" s="18">
        <f t="shared" si="30"/>
        <v>19.5134364</v>
      </c>
      <c r="K80" s="18">
        <f t="shared" si="31"/>
        <v>27.31881096</v>
      </c>
    </row>
    <row r="81" spans="1:11" x14ac:dyDescent="0.25">
      <c r="A81" s="8" t="s">
        <v>254</v>
      </c>
      <c r="B81" s="8" t="s">
        <v>270</v>
      </c>
      <c r="C81" s="12">
        <f>Kitset.!E82</f>
        <v>136.96100000000001</v>
      </c>
      <c r="D81" s="22">
        <v>345.36966624000002</v>
      </c>
      <c r="E81" s="83">
        <f t="shared" si="28"/>
        <v>0.60343651053354297</v>
      </c>
      <c r="F81" s="24">
        <v>483.51753273600002</v>
      </c>
      <c r="G81" s="75">
        <f t="shared" si="29"/>
        <v>0.71674036466681645</v>
      </c>
      <c r="H81" s="28">
        <f t="shared" si="32"/>
        <v>456.53666666666663</v>
      </c>
      <c r="I81" s="21"/>
      <c r="J81" s="18">
        <f t="shared" si="30"/>
        <v>20.722179974399999</v>
      </c>
      <c r="K81" s="18">
        <f t="shared" si="31"/>
        <v>29.01105196416</v>
      </c>
    </row>
  </sheetData>
  <mergeCells count="44">
    <mergeCell ref="A1:H1"/>
    <mergeCell ref="J1:K1"/>
    <mergeCell ref="A4:K4"/>
    <mergeCell ref="A24:K24"/>
    <mergeCell ref="A25:A26"/>
    <mergeCell ref="B25:B26"/>
    <mergeCell ref="C25:C26"/>
    <mergeCell ref="D25:D26"/>
    <mergeCell ref="E25:E26"/>
    <mergeCell ref="F25:F26"/>
    <mergeCell ref="G25:G26"/>
    <mergeCell ref="E5:E6"/>
    <mergeCell ref="G5:G6"/>
    <mergeCell ref="A5:A6"/>
    <mergeCell ref="B5:B6"/>
    <mergeCell ref="C5:C6"/>
    <mergeCell ref="D5:D6"/>
    <mergeCell ref="F5:F6"/>
    <mergeCell ref="A44:K44"/>
    <mergeCell ref="A45:A46"/>
    <mergeCell ref="B45:B46"/>
    <mergeCell ref="C45:C46"/>
    <mergeCell ref="D45:D46"/>
    <mergeCell ref="E45:E46"/>
    <mergeCell ref="F45:F46"/>
    <mergeCell ref="G45:G46"/>
    <mergeCell ref="N1:U1"/>
    <mergeCell ref="W1:X1"/>
    <mergeCell ref="N4:X4"/>
    <mergeCell ref="N5:N6"/>
    <mergeCell ref="O5:O6"/>
    <mergeCell ref="P5:P6"/>
    <mergeCell ref="Q5:Q6"/>
    <mergeCell ref="R5:R6"/>
    <mergeCell ref="S5:S6"/>
    <mergeCell ref="T5:T6"/>
    <mergeCell ref="A64:K64"/>
    <mergeCell ref="A65:A66"/>
    <mergeCell ref="B65:B66"/>
    <mergeCell ref="C65:C66"/>
    <mergeCell ref="D65:D66"/>
    <mergeCell ref="E65:E66"/>
    <mergeCell ref="F65:F66"/>
    <mergeCell ref="G65:G6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8D55-08A0-4AB4-A1B2-4ACB58063B45}">
  <sheetPr codeName="Sheet15">
    <tabColor rgb="FF00B050"/>
  </sheetPr>
  <dimension ref="A1:K35"/>
  <sheetViews>
    <sheetView workbookViewId="0">
      <selection activeCell="M34" sqref="M34"/>
    </sheetView>
  </sheetViews>
  <sheetFormatPr defaultRowHeight="15" x14ac:dyDescent="0.25"/>
  <cols>
    <col min="1" max="1" width="12.85546875" bestFit="1" customWidth="1"/>
    <col min="2" max="2" width="6.85546875" bestFit="1" customWidth="1"/>
    <col min="3" max="3" width="7.5703125" bestFit="1" customWidth="1"/>
    <col min="4" max="4" width="13" bestFit="1" customWidth="1"/>
    <col min="5" max="5" width="4.85546875" bestFit="1" customWidth="1"/>
    <col min="6" max="6" width="11.85546875" bestFit="1" customWidth="1"/>
    <col min="7" max="7" width="4.85546875" bestFit="1" customWidth="1"/>
    <col min="8" max="8" width="11.85546875" bestFit="1" customWidth="1"/>
    <col min="9" max="9" width="2.42578125" customWidth="1"/>
    <col min="10" max="10" width="15" bestFit="1" customWidth="1"/>
    <col min="11" max="11" width="14.140625" bestFit="1" customWidth="1"/>
  </cols>
  <sheetData>
    <row r="1" spans="1:11" ht="18.75" x14ac:dyDescent="0.3">
      <c r="A1" s="299" t="s">
        <v>215</v>
      </c>
      <c r="B1" s="299"/>
      <c r="C1" s="299"/>
      <c r="D1" s="299"/>
      <c r="E1" s="299"/>
      <c r="F1" s="299"/>
      <c r="G1" s="299"/>
      <c r="H1" s="299"/>
      <c r="I1" s="29"/>
      <c r="J1" s="299" t="s">
        <v>31</v>
      </c>
      <c r="K1" s="299"/>
    </row>
    <row r="2" spans="1:11" ht="6" customHeight="1" x14ac:dyDescent="0.25">
      <c r="B2" s="1"/>
      <c r="C2" s="1"/>
      <c r="D2" s="2"/>
      <c r="E2" s="1"/>
    </row>
    <row r="3" spans="1:11" ht="6" customHeight="1" x14ac:dyDescent="0.25">
      <c r="B3" s="1"/>
      <c r="C3" s="1"/>
      <c r="D3" s="2"/>
      <c r="E3" s="1"/>
    </row>
    <row r="4" spans="1:11" x14ac:dyDescent="0.25">
      <c r="A4" s="290" t="s">
        <v>274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</row>
    <row r="5" spans="1:11" x14ac:dyDescent="0.25">
      <c r="A5" s="291" t="s">
        <v>198</v>
      </c>
      <c r="B5" s="293" t="s">
        <v>83</v>
      </c>
      <c r="C5" s="293" t="s">
        <v>8</v>
      </c>
      <c r="D5" s="13" t="s">
        <v>199</v>
      </c>
      <c r="E5" s="295" t="s">
        <v>39</v>
      </c>
      <c r="F5" s="295" t="s">
        <v>200</v>
      </c>
      <c r="G5" s="295" t="s">
        <v>39</v>
      </c>
      <c r="H5" s="4" t="s">
        <v>141</v>
      </c>
      <c r="I5" s="19"/>
      <c r="J5" s="4" t="s">
        <v>201</v>
      </c>
      <c r="K5" s="4" t="s">
        <v>202</v>
      </c>
    </row>
    <row r="6" spans="1:11" x14ac:dyDescent="0.25">
      <c r="A6" s="292"/>
      <c r="B6" s="294"/>
      <c r="C6" s="294"/>
      <c r="D6" s="14" t="s">
        <v>203</v>
      </c>
      <c r="E6" s="296"/>
      <c r="F6" s="296"/>
      <c r="G6" s="296"/>
      <c r="H6" s="27">
        <v>0.64</v>
      </c>
      <c r="I6" s="20"/>
      <c r="J6" s="17">
        <v>0.06</v>
      </c>
      <c r="K6" s="17">
        <v>0.06</v>
      </c>
    </row>
    <row r="7" spans="1:11" x14ac:dyDescent="0.25">
      <c r="A7" s="8" t="s">
        <v>275</v>
      </c>
      <c r="B7" s="8" t="s">
        <v>16</v>
      </c>
      <c r="C7" s="12">
        <f>External.!G6</f>
        <v>42.454741666666671</v>
      </c>
      <c r="D7" s="22">
        <f t="shared" ref="D7" si="0">F7-(F7*10%)</f>
        <v>114.41447500000001</v>
      </c>
      <c r="E7" s="23">
        <f t="shared" ref="E7" si="1">(D7-C7)/D7</f>
        <v>0.62893906853423331</v>
      </c>
      <c r="F7" s="24">
        <v>127.12719444444446</v>
      </c>
      <c r="G7" s="25">
        <f t="shared" ref="G7" si="2">(F7-C7)/F7</f>
        <v>0.66604516168080996</v>
      </c>
      <c r="H7" s="28">
        <f t="shared" ref="H7" si="3">C7/(1-$H$6)</f>
        <v>117.92983796296298</v>
      </c>
      <c r="I7" s="20"/>
      <c r="J7" s="18">
        <f t="shared" ref="J7" si="4">(D7*$J$6)</f>
        <v>6.8648685</v>
      </c>
      <c r="K7" s="18">
        <f t="shared" ref="K7" si="5">(F7*$K$6)</f>
        <v>7.6276316666666668</v>
      </c>
    </row>
    <row r="8" spans="1:11" x14ac:dyDescent="0.25">
      <c r="A8" s="8" t="s">
        <v>275</v>
      </c>
      <c r="B8" s="8" t="s">
        <v>70</v>
      </c>
      <c r="C8" s="12">
        <f>External.!G7</f>
        <v>44.564248333333346</v>
      </c>
      <c r="D8" s="22">
        <f t="shared" ref="D8:D13" si="6">F8-(F8*10%)</f>
        <v>119.52837499999998</v>
      </c>
      <c r="E8" s="23">
        <f t="shared" ref="E8:E13" si="7">(D8-C8)/D8</f>
        <v>0.62716594839230966</v>
      </c>
      <c r="F8" s="24">
        <v>132.80930555555554</v>
      </c>
      <c r="G8" s="25">
        <f t="shared" ref="G8:G13" si="8">(F8-C8)/F8</f>
        <v>0.66444935355307877</v>
      </c>
      <c r="H8" s="28">
        <f t="shared" ref="H8:H13" si="9">C8/(1-$H$6)</f>
        <v>123.78957870370374</v>
      </c>
      <c r="I8" s="20"/>
      <c r="J8" s="18">
        <f t="shared" ref="J8:J13" si="10">(D8*$J$6)</f>
        <v>7.1717024999999985</v>
      </c>
      <c r="K8" s="18">
        <f t="shared" ref="K8:K13" si="11">(F8*$K$6)</f>
        <v>7.9685583333333323</v>
      </c>
    </row>
    <row r="9" spans="1:11" x14ac:dyDescent="0.25">
      <c r="A9" s="8" t="s">
        <v>275</v>
      </c>
      <c r="B9" s="8" t="s">
        <v>88</v>
      </c>
      <c r="C9" s="12">
        <f>External.!G8</f>
        <v>48.758003888888894</v>
      </c>
      <c r="D9" s="22">
        <f t="shared" si="6"/>
        <v>129.69787500000001</v>
      </c>
      <c r="E9" s="23">
        <f t="shared" si="7"/>
        <v>0.62406474362907727</v>
      </c>
      <c r="F9" s="24">
        <v>144.10875000000001</v>
      </c>
      <c r="G9" s="25">
        <f t="shared" si="8"/>
        <v>0.66165826926616955</v>
      </c>
      <c r="H9" s="28">
        <f t="shared" si="9"/>
        <v>135.43889969135805</v>
      </c>
      <c r="I9" s="20"/>
      <c r="J9" s="18">
        <f t="shared" si="10"/>
        <v>7.7818725000000004</v>
      </c>
      <c r="K9" s="18">
        <f t="shared" si="11"/>
        <v>8.6465250000000005</v>
      </c>
    </row>
    <row r="10" spans="1:11" x14ac:dyDescent="0.25">
      <c r="A10" s="8" t="s">
        <v>275</v>
      </c>
      <c r="B10" s="8" t="s">
        <v>276</v>
      </c>
      <c r="C10" s="12">
        <f>External.!G9</f>
        <v>63.781044444444447</v>
      </c>
      <c r="D10" s="22">
        <f t="shared" si="6"/>
        <v>170.66012500000005</v>
      </c>
      <c r="E10" s="23">
        <f t="shared" ref="E10:E11" si="12">(D10-C10)/D10</f>
        <v>0.62626861755524654</v>
      </c>
      <c r="F10" s="24">
        <v>189.62236111111116</v>
      </c>
      <c r="G10" s="25">
        <f t="shared" si="8"/>
        <v>0.66364175579972184</v>
      </c>
      <c r="H10" s="28">
        <f t="shared" si="9"/>
        <v>177.16956790123459</v>
      </c>
      <c r="I10" s="20"/>
      <c r="J10" s="18">
        <f t="shared" ref="J10:J11" si="13">(D10*$J$6)</f>
        <v>10.239607500000004</v>
      </c>
      <c r="K10" s="18">
        <f t="shared" ref="K10:K11" si="14">(F10*$K$6)</f>
        <v>11.37734166666667</v>
      </c>
    </row>
    <row r="11" spans="1:11" x14ac:dyDescent="0.25">
      <c r="A11" s="8" t="s">
        <v>275</v>
      </c>
      <c r="B11" s="8" t="s">
        <v>277</v>
      </c>
      <c r="C11" s="12">
        <f>External.!G10</f>
        <v>73.98155777777778</v>
      </c>
      <c r="D11" s="22">
        <f t="shared" si="6"/>
        <v>193.06432500000003</v>
      </c>
      <c r="E11" s="23">
        <f t="shared" si="12"/>
        <v>0.616803582030094</v>
      </c>
      <c r="F11" s="24">
        <v>214.5159166666667</v>
      </c>
      <c r="G11" s="25">
        <f t="shared" si="8"/>
        <v>0.65512322382708454</v>
      </c>
      <c r="H11" s="28">
        <f t="shared" si="9"/>
        <v>205.50432716049383</v>
      </c>
      <c r="I11" s="20"/>
      <c r="J11" s="18">
        <f t="shared" si="13"/>
        <v>11.583859500000001</v>
      </c>
      <c r="K11" s="18">
        <f t="shared" si="14"/>
        <v>12.870955000000002</v>
      </c>
    </row>
    <row r="12" spans="1:11" x14ac:dyDescent="0.25">
      <c r="A12" s="8" t="s">
        <v>275</v>
      </c>
      <c r="B12" s="8" t="s">
        <v>278</v>
      </c>
      <c r="C12" s="12">
        <f>External.!G11</f>
        <v>83.859404999999995</v>
      </c>
      <c r="D12" s="22">
        <f t="shared" si="6"/>
        <v>214.47977500000002</v>
      </c>
      <c r="E12" s="23">
        <f t="shared" si="7"/>
        <v>0.60901019688220037</v>
      </c>
      <c r="F12" s="24">
        <v>238.31086111111114</v>
      </c>
      <c r="G12" s="25">
        <f t="shared" si="8"/>
        <v>0.64810917719398031</v>
      </c>
      <c r="H12" s="28">
        <f t="shared" si="9"/>
        <v>232.94279166666666</v>
      </c>
      <c r="I12" s="20"/>
      <c r="J12" s="18">
        <f t="shared" si="10"/>
        <v>12.868786500000001</v>
      </c>
      <c r="K12" s="18">
        <f t="shared" si="11"/>
        <v>14.298651666666668</v>
      </c>
    </row>
    <row r="13" spans="1:11" x14ac:dyDescent="0.25">
      <c r="A13" s="8" t="s">
        <v>275</v>
      </c>
      <c r="B13" s="8" t="s">
        <v>279</v>
      </c>
      <c r="C13" s="12">
        <f>External.!G12</f>
        <v>90.187924999999993</v>
      </c>
      <c r="D13" s="22">
        <f t="shared" si="6"/>
        <v>232.92897499999998</v>
      </c>
      <c r="E13" s="23">
        <f t="shared" si="7"/>
        <v>0.61280933383234093</v>
      </c>
      <c r="F13" s="24">
        <v>258.8099722222222</v>
      </c>
      <c r="G13" s="25">
        <f t="shared" si="8"/>
        <v>0.65152840044910676</v>
      </c>
      <c r="H13" s="28">
        <f t="shared" si="9"/>
        <v>250.52201388888886</v>
      </c>
      <c r="I13" s="20"/>
      <c r="J13" s="18">
        <f t="shared" si="10"/>
        <v>13.975738499999999</v>
      </c>
      <c r="K13" s="18">
        <f t="shared" si="11"/>
        <v>15.528598333333331</v>
      </c>
    </row>
    <row r="14" spans="1:11" ht="6" customHeight="1" x14ac:dyDescent="0.25">
      <c r="B14" s="1"/>
      <c r="C14" s="1"/>
      <c r="D14" s="2"/>
      <c r="E14" s="1"/>
    </row>
    <row r="15" spans="1:11" x14ac:dyDescent="0.25">
      <c r="A15" s="290" t="s">
        <v>280</v>
      </c>
      <c r="B15" s="290"/>
      <c r="C15" s="290"/>
      <c r="D15" s="290"/>
      <c r="E15" s="290"/>
      <c r="F15" s="290"/>
      <c r="G15" s="290"/>
      <c r="H15" s="290"/>
      <c r="I15" s="290"/>
      <c r="J15" s="290"/>
      <c r="K15" s="290"/>
    </row>
    <row r="16" spans="1:11" x14ac:dyDescent="0.25">
      <c r="A16" s="291" t="s">
        <v>198</v>
      </c>
      <c r="B16" s="293" t="s">
        <v>83</v>
      </c>
      <c r="C16" s="293" t="s">
        <v>8</v>
      </c>
      <c r="D16" s="13" t="s">
        <v>199</v>
      </c>
      <c r="E16" s="295" t="s">
        <v>39</v>
      </c>
      <c r="F16" s="295" t="s">
        <v>200</v>
      </c>
      <c r="G16" s="295" t="s">
        <v>39</v>
      </c>
      <c r="H16" s="4" t="s">
        <v>141</v>
      </c>
      <c r="I16" s="19"/>
      <c r="J16" s="4" t="s">
        <v>201</v>
      </c>
      <c r="K16" s="4" t="s">
        <v>202</v>
      </c>
    </row>
    <row r="17" spans="1:11" x14ac:dyDescent="0.25">
      <c r="A17" s="292"/>
      <c r="B17" s="294"/>
      <c r="C17" s="294"/>
      <c r="D17" s="14" t="s">
        <v>203</v>
      </c>
      <c r="E17" s="296"/>
      <c r="F17" s="296"/>
      <c r="G17" s="296"/>
      <c r="H17" s="27">
        <v>0.64</v>
      </c>
      <c r="I17" s="20"/>
      <c r="J17" s="17">
        <v>0.06</v>
      </c>
      <c r="K17" s="17">
        <v>0.06</v>
      </c>
    </row>
    <row r="18" spans="1:11" x14ac:dyDescent="0.25">
      <c r="A18" s="8" t="s">
        <v>275</v>
      </c>
      <c r="B18" s="8" t="s">
        <v>16</v>
      </c>
      <c r="C18" s="12">
        <f>External.!G17</f>
        <v>53.037841666666665</v>
      </c>
      <c r="D18" s="22">
        <f t="shared" ref="D18" si="15">F18-(F18*10%)</f>
        <v>122.53247500000002</v>
      </c>
      <c r="E18" s="23">
        <f t="shared" ref="E18" si="16">(D18-C18)/D18</f>
        <v>0.56715277589335678</v>
      </c>
      <c r="F18" s="24">
        <v>136.14719444444447</v>
      </c>
      <c r="G18" s="25">
        <f t="shared" ref="G18" si="17">(F18-C18)/F18</f>
        <v>0.61043749830402105</v>
      </c>
      <c r="H18" s="28">
        <f t="shared" ref="H18" si="18">C18/(1-$H$6)</f>
        <v>147.32733796296296</v>
      </c>
      <c r="I18" s="20"/>
      <c r="J18" s="18">
        <f t="shared" ref="J18" si="19">(D18*$J$6)</f>
        <v>7.3519485000000007</v>
      </c>
      <c r="K18" s="18">
        <f t="shared" ref="K18" si="20">(F18*$K$6)</f>
        <v>8.1688316666666676</v>
      </c>
    </row>
    <row r="19" spans="1:11" x14ac:dyDescent="0.25">
      <c r="A19" s="8" t="s">
        <v>275</v>
      </c>
      <c r="B19" s="8" t="s">
        <v>70</v>
      </c>
      <c r="C19" s="12">
        <f>External.!G18</f>
        <v>56.323248333333346</v>
      </c>
      <c r="D19" s="22">
        <f t="shared" ref="D19:D24" si="21">F19-(F19*10%)</f>
        <v>128.54837500000002</v>
      </c>
      <c r="E19" s="23">
        <f t="shared" ref="E19:E24" si="22">(D19-C19)/D19</f>
        <v>0.56185172832147179</v>
      </c>
      <c r="F19" s="24">
        <v>142.83152777777781</v>
      </c>
      <c r="G19" s="25">
        <f t="shared" ref="G19:G24" si="23">(F19-C19)/F19</f>
        <v>0.60566655548932458</v>
      </c>
      <c r="H19" s="28">
        <f t="shared" ref="H19:H24" si="24">C19/(1-$H$6)</f>
        <v>156.45346759259263</v>
      </c>
      <c r="I19" s="20"/>
      <c r="J19" s="18">
        <f t="shared" ref="J19:J24" si="25">(D19*$J$6)</f>
        <v>7.7129025000000011</v>
      </c>
      <c r="K19" s="18">
        <f t="shared" ref="K19:K24" si="26">(F19*$K$6)</f>
        <v>8.5698916666666687</v>
      </c>
    </row>
    <row r="20" spans="1:11" x14ac:dyDescent="0.25">
      <c r="A20" s="8" t="s">
        <v>275</v>
      </c>
      <c r="B20" s="8" t="s">
        <v>88</v>
      </c>
      <c r="C20" s="12">
        <f>External.!G19</f>
        <v>62.975703888888901</v>
      </c>
      <c r="D20" s="22">
        <f t="shared" si="21"/>
        <v>146.96012500000001</v>
      </c>
      <c r="E20" s="23">
        <f t="shared" ref="E20:E21" si="27">(D20-C20)/D20</f>
        <v>0.57147761075401304</v>
      </c>
      <c r="F20" s="24">
        <v>163.28902777777779</v>
      </c>
      <c r="G20" s="25">
        <f t="shared" ref="G20:G21" si="28">(F20-C20)/F20</f>
        <v>0.61432984967861171</v>
      </c>
      <c r="H20" s="28">
        <f t="shared" ref="H20:H21" si="29">C20/(1-$H$6)</f>
        <v>174.93251080246918</v>
      </c>
      <c r="I20" s="20"/>
      <c r="J20" s="18">
        <f t="shared" ref="J20:J21" si="30">(D20*$J$6)</f>
        <v>8.8176074999999994</v>
      </c>
      <c r="K20" s="18">
        <f t="shared" ref="K20:K21" si="31">(F20*$K$6)</f>
        <v>9.7973416666666662</v>
      </c>
    </row>
    <row r="21" spans="1:11" x14ac:dyDescent="0.25">
      <c r="A21" s="8" t="s">
        <v>275</v>
      </c>
      <c r="B21" s="8" t="s">
        <v>276</v>
      </c>
      <c r="C21" s="12">
        <f>External.!G20</f>
        <v>81.419544444444455</v>
      </c>
      <c r="D21" s="22">
        <f t="shared" si="21"/>
        <v>186.308875</v>
      </c>
      <c r="E21" s="23">
        <f t="shared" si="27"/>
        <v>0.56298622679974608</v>
      </c>
      <c r="F21" s="24">
        <v>207.00986111111112</v>
      </c>
      <c r="G21" s="25">
        <f t="shared" si="28"/>
        <v>0.60668760411977152</v>
      </c>
      <c r="H21" s="28">
        <f t="shared" si="29"/>
        <v>226.16540123456795</v>
      </c>
      <c r="I21" s="20"/>
      <c r="J21" s="18">
        <f t="shared" si="30"/>
        <v>11.178532499999999</v>
      </c>
      <c r="K21" s="18">
        <f t="shared" si="31"/>
        <v>12.420591666666667</v>
      </c>
    </row>
    <row r="22" spans="1:11" x14ac:dyDescent="0.25">
      <c r="A22" s="8" t="s">
        <v>275</v>
      </c>
      <c r="B22" s="8" t="s">
        <v>277</v>
      </c>
      <c r="C22" s="12">
        <f>External.!G21</f>
        <v>95.147757777777784</v>
      </c>
      <c r="D22" s="22">
        <f t="shared" si="21"/>
        <v>207.88782500000002</v>
      </c>
      <c r="E22" s="23">
        <f t="shared" si="22"/>
        <v>0.54231202439210779</v>
      </c>
      <c r="F22" s="24">
        <v>230.98647222222226</v>
      </c>
      <c r="G22" s="25">
        <f t="shared" si="23"/>
        <v>0.5880808219528969</v>
      </c>
      <c r="H22" s="28">
        <f t="shared" si="24"/>
        <v>264.29932716049387</v>
      </c>
      <c r="I22" s="20"/>
      <c r="J22" s="18">
        <f t="shared" si="25"/>
        <v>12.473269500000001</v>
      </c>
      <c r="K22" s="18">
        <f t="shared" si="26"/>
        <v>13.859188333333336</v>
      </c>
    </row>
    <row r="23" spans="1:11" x14ac:dyDescent="0.25">
      <c r="A23" s="8" t="s">
        <v>275</v>
      </c>
      <c r="B23" s="8" t="s">
        <v>278</v>
      </c>
      <c r="C23" s="12">
        <f>External.!G22</f>
        <v>108.55330499999999</v>
      </c>
      <c r="D23" s="22">
        <f t="shared" si="21"/>
        <v>236.52927499999998</v>
      </c>
      <c r="E23" s="23">
        <f t="shared" si="22"/>
        <v>0.54105763440910215</v>
      </c>
      <c r="F23" s="24">
        <v>262.81030555555554</v>
      </c>
      <c r="G23" s="25">
        <f t="shared" si="23"/>
        <v>0.58695187096819201</v>
      </c>
      <c r="H23" s="28">
        <f t="shared" si="24"/>
        <v>301.5369583333333</v>
      </c>
      <c r="I23" s="20"/>
      <c r="J23" s="18">
        <f t="shared" si="25"/>
        <v>14.191756499999999</v>
      </c>
      <c r="K23" s="18">
        <f t="shared" si="26"/>
        <v>15.768618333333333</v>
      </c>
    </row>
    <row r="24" spans="1:11" x14ac:dyDescent="0.25">
      <c r="A24" s="8" t="s">
        <v>275</v>
      </c>
      <c r="B24" s="8" t="s">
        <v>279</v>
      </c>
      <c r="C24" s="12">
        <f>External.!G23</f>
        <v>118.409525</v>
      </c>
      <c r="D24" s="22">
        <f t="shared" si="21"/>
        <v>258.81447500000002</v>
      </c>
      <c r="E24" s="23">
        <f t="shared" si="22"/>
        <v>0.5424926484502075</v>
      </c>
      <c r="F24" s="24">
        <v>287.57163888888891</v>
      </c>
      <c r="G24" s="25">
        <f t="shared" si="23"/>
        <v>0.58824338360518669</v>
      </c>
      <c r="H24" s="28">
        <f t="shared" si="24"/>
        <v>328.91534722222224</v>
      </c>
      <c r="I24" s="21"/>
      <c r="J24" s="18">
        <f t="shared" si="25"/>
        <v>15.5288685</v>
      </c>
      <c r="K24" s="18">
        <f t="shared" si="26"/>
        <v>17.254298333333335</v>
      </c>
    </row>
    <row r="25" spans="1:11" ht="6" customHeight="1" x14ac:dyDescent="0.25"/>
    <row r="26" spans="1:11" x14ac:dyDescent="0.25">
      <c r="A26" s="290" t="s">
        <v>281</v>
      </c>
      <c r="B26" s="290"/>
      <c r="C26" s="290"/>
      <c r="D26" s="290"/>
      <c r="E26" s="290"/>
      <c r="F26" s="290"/>
      <c r="G26" s="290"/>
      <c r="H26" s="290"/>
      <c r="I26" s="290"/>
      <c r="J26" s="290"/>
      <c r="K26" s="290"/>
    </row>
    <row r="27" spans="1:11" x14ac:dyDescent="0.25">
      <c r="A27" s="291" t="s">
        <v>198</v>
      </c>
      <c r="B27" s="293" t="s">
        <v>83</v>
      </c>
      <c r="C27" s="293" t="s">
        <v>8</v>
      </c>
      <c r="D27" s="13" t="s">
        <v>199</v>
      </c>
      <c r="E27" s="295" t="s">
        <v>39</v>
      </c>
      <c r="F27" s="295" t="s">
        <v>200</v>
      </c>
      <c r="G27" s="295" t="s">
        <v>39</v>
      </c>
      <c r="H27" s="4" t="s">
        <v>141</v>
      </c>
      <c r="I27" s="19"/>
      <c r="J27" s="4" t="s">
        <v>201</v>
      </c>
      <c r="K27" s="4" t="s">
        <v>202</v>
      </c>
    </row>
    <row r="28" spans="1:11" x14ac:dyDescent="0.25">
      <c r="A28" s="292"/>
      <c r="B28" s="294"/>
      <c r="C28" s="294"/>
      <c r="D28" s="14" t="s">
        <v>203</v>
      </c>
      <c r="E28" s="296"/>
      <c r="F28" s="296"/>
      <c r="G28" s="296"/>
      <c r="H28" s="27">
        <v>0.64</v>
      </c>
      <c r="I28" s="20"/>
      <c r="J28" s="17">
        <v>0.06</v>
      </c>
      <c r="K28" s="17">
        <v>0.06</v>
      </c>
    </row>
    <row r="29" spans="1:11" x14ac:dyDescent="0.25">
      <c r="A29" s="8" t="s">
        <v>275</v>
      </c>
      <c r="B29" s="8" t="s">
        <v>16</v>
      </c>
      <c r="C29" s="12">
        <f>External.!G28</f>
        <v>51.820141666666672</v>
      </c>
      <c r="D29" s="22">
        <f t="shared" ref="D29" si="32">F29-(F29*10%)</f>
        <v>137.82797500000004</v>
      </c>
      <c r="E29" s="23">
        <f t="shared" ref="E29" si="33">(D29-C29)/D29</f>
        <v>0.62402304998918645</v>
      </c>
      <c r="F29" s="24">
        <v>153.1421944444445</v>
      </c>
      <c r="G29" s="25">
        <f t="shared" ref="G29" si="34">(F29-C29)/F29</f>
        <v>0.6616207449902678</v>
      </c>
      <c r="H29" s="28">
        <f t="shared" ref="H29" si="35">C29/(1-$H$6)</f>
        <v>143.94483796296299</v>
      </c>
      <c r="I29" s="20"/>
      <c r="J29" s="18">
        <f t="shared" ref="J29" si="36">(D29*$J$6)</f>
        <v>8.2696785000000013</v>
      </c>
      <c r="K29" s="18">
        <f t="shared" ref="K29" si="37">(F29*$K$6)</f>
        <v>9.1885316666666697</v>
      </c>
    </row>
    <row r="30" spans="1:11" x14ac:dyDescent="0.25">
      <c r="A30" s="8" t="s">
        <v>275</v>
      </c>
      <c r="B30" s="8" t="s">
        <v>70</v>
      </c>
      <c r="C30" s="12">
        <f>External.!G29</f>
        <v>54.970248333333338</v>
      </c>
      <c r="D30" s="22">
        <f t="shared" ref="D30:D35" si="38">F30-(F30*10%)</f>
        <v>145.543375</v>
      </c>
      <c r="E30" s="23">
        <f t="shared" ref="E30:E35" si="39">(D30-C30)/D30</f>
        <v>0.62231019905005414</v>
      </c>
      <c r="F30" s="24">
        <v>161.71486111111111</v>
      </c>
      <c r="G30" s="25">
        <f t="shared" ref="G30:G35" si="40">(F30-C30)/F30</f>
        <v>0.66007917914504866</v>
      </c>
      <c r="H30" s="28">
        <f t="shared" ref="H30:H35" si="41">C30/(1-$H$6)</f>
        <v>152.69513425925928</v>
      </c>
      <c r="I30" s="20"/>
      <c r="J30" s="18">
        <f t="shared" ref="J30:J35" si="42">(D30*$J$6)</f>
        <v>8.7326024999999987</v>
      </c>
      <c r="K30" s="18">
        <f t="shared" ref="K30:K35" si="43">(F30*$K$6)</f>
        <v>9.702891666666666</v>
      </c>
    </row>
    <row r="31" spans="1:11" x14ac:dyDescent="0.25">
      <c r="A31" s="8" t="s">
        <v>275</v>
      </c>
      <c r="B31" s="8" t="s">
        <v>88</v>
      </c>
      <c r="C31" s="12">
        <f>External.!G30</f>
        <v>61.339803888888895</v>
      </c>
      <c r="D31" s="22">
        <f t="shared" ref="D31:D32" si="44">F31-(F31*10%)</f>
        <v>167.50862500000005</v>
      </c>
      <c r="E31" s="23">
        <f t="shared" ref="E31:E32" si="45">(D31-C31)/D31</f>
        <v>0.63381107158578331</v>
      </c>
      <c r="F31" s="24">
        <v>186.1206944444445</v>
      </c>
      <c r="G31" s="25">
        <f t="shared" ref="G31:G32" si="46">(F31-C31)/F31</f>
        <v>0.67042996442720493</v>
      </c>
      <c r="H31" s="28">
        <f t="shared" ref="H31:H32" si="47">C31/(1-$H$6)</f>
        <v>170.3883441358025</v>
      </c>
      <c r="I31" s="20"/>
      <c r="J31" s="18">
        <f t="shared" ref="J31:J32" si="48">(D31*$J$6)</f>
        <v>10.050517500000003</v>
      </c>
      <c r="K31" s="18">
        <f t="shared" ref="K31:K32" si="49">(F31*$K$6)</f>
        <v>11.167241666666669</v>
      </c>
    </row>
    <row r="32" spans="1:11" x14ac:dyDescent="0.25">
      <c r="A32" s="8" t="s">
        <v>275</v>
      </c>
      <c r="B32" s="8" t="s">
        <v>276</v>
      </c>
      <c r="C32" s="12">
        <f>External.!G31</f>
        <v>79.390044444444442</v>
      </c>
      <c r="D32" s="22">
        <f t="shared" si="44"/>
        <v>211.80137500000001</v>
      </c>
      <c r="E32" s="23">
        <f t="shared" si="45"/>
        <v>0.62516747379735171</v>
      </c>
      <c r="F32" s="24">
        <v>235.33486111111114</v>
      </c>
      <c r="G32" s="25">
        <f t="shared" si="46"/>
        <v>0.66265072641761658</v>
      </c>
      <c r="H32" s="28">
        <f t="shared" si="47"/>
        <v>220.52790123456791</v>
      </c>
      <c r="I32" s="20"/>
      <c r="J32" s="18">
        <f t="shared" si="48"/>
        <v>12.7080825</v>
      </c>
      <c r="K32" s="18">
        <f t="shared" si="49"/>
        <v>14.120091666666667</v>
      </c>
    </row>
    <row r="33" spans="1:11" x14ac:dyDescent="0.25">
      <c r="A33" s="8" t="s">
        <v>275</v>
      </c>
      <c r="B33" s="8" t="s">
        <v>277</v>
      </c>
      <c r="C33" s="12">
        <f>External.!G32</f>
        <v>92.712357777777783</v>
      </c>
      <c r="D33" s="22">
        <f t="shared" si="38"/>
        <v>238.47882500000006</v>
      </c>
      <c r="E33" s="23">
        <f t="shared" si="39"/>
        <v>0.6112344239461186</v>
      </c>
      <c r="F33" s="24">
        <v>264.9764722222223</v>
      </c>
      <c r="G33" s="25">
        <f t="shared" si="40"/>
        <v>0.65011098155150682</v>
      </c>
      <c r="H33" s="28">
        <f t="shared" si="41"/>
        <v>257.53432716049383</v>
      </c>
      <c r="I33" s="20"/>
      <c r="J33" s="18">
        <f t="shared" si="42"/>
        <v>14.308729500000004</v>
      </c>
      <c r="K33" s="18">
        <f t="shared" si="43"/>
        <v>15.898588333333338</v>
      </c>
    </row>
    <row r="34" spans="1:11" x14ac:dyDescent="0.25">
      <c r="A34" s="8" t="s">
        <v>275</v>
      </c>
      <c r="B34" s="8" t="s">
        <v>278</v>
      </c>
      <c r="C34" s="12">
        <f>External.!G33</f>
        <v>105.71200500000002</v>
      </c>
      <c r="D34" s="22">
        <f t="shared" si="38"/>
        <v>272.21877499999994</v>
      </c>
      <c r="E34" s="23">
        <f t="shared" si="39"/>
        <v>0.61166526812854827</v>
      </c>
      <c r="F34" s="24">
        <v>302.46530555555552</v>
      </c>
      <c r="G34" s="25">
        <f t="shared" si="40"/>
        <v>0.65049874131569341</v>
      </c>
      <c r="H34" s="28">
        <f t="shared" si="41"/>
        <v>293.64445833333338</v>
      </c>
      <c r="I34" s="20"/>
      <c r="J34" s="18">
        <f t="shared" si="42"/>
        <v>16.333126499999995</v>
      </c>
      <c r="K34" s="18">
        <f t="shared" si="43"/>
        <v>18.14791833333333</v>
      </c>
    </row>
    <row r="35" spans="1:11" x14ac:dyDescent="0.25">
      <c r="A35" s="8" t="s">
        <v>275</v>
      </c>
      <c r="B35" s="8" t="s">
        <v>279</v>
      </c>
      <c r="C35" s="12">
        <f>External.!G34</f>
        <v>115.162325</v>
      </c>
      <c r="D35" s="22">
        <f t="shared" si="38"/>
        <v>299.60247499999997</v>
      </c>
      <c r="E35" s="23">
        <f t="shared" si="39"/>
        <v>0.61561624282309413</v>
      </c>
      <c r="F35" s="24">
        <v>332.89163888888885</v>
      </c>
      <c r="G35" s="25">
        <f t="shared" si="40"/>
        <v>0.65405461854078473</v>
      </c>
      <c r="H35" s="28">
        <f t="shared" si="41"/>
        <v>319.8953472222222</v>
      </c>
      <c r="I35" s="20"/>
      <c r="J35" s="18">
        <f t="shared" si="42"/>
        <v>17.976148499999997</v>
      </c>
      <c r="K35" s="18">
        <f t="shared" si="43"/>
        <v>19.973498333333332</v>
      </c>
    </row>
  </sheetData>
  <mergeCells count="23">
    <mergeCell ref="A15:K15"/>
    <mergeCell ref="A16:A17"/>
    <mergeCell ref="B16:B17"/>
    <mergeCell ref="C16:C17"/>
    <mergeCell ref="E16:E17"/>
    <mergeCell ref="F16:F17"/>
    <mergeCell ref="G16:G17"/>
    <mergeCell ref="A1:H1"/>
    <mergeCell ref="J1:K1"/>
    <mergeCell ref="A4:K4"/>
    <mergeCell ref="A26:K26"/>
    <mergeCell ref="G27:G28"/>
    <mergeCell ref="A5:A6"/>
    <mergeCell ref="B5:B6"/>
    <mergeCell ref="C5:C6"/>
    <mergeCell ref="E5:E6"/>
    <mergeCell ref="F5:F6"/>
    <mergeCell ref="G5:G6"/>
    <mergeCell ref="A27:A28"/>
    <mergeCell ref="B27:B28"/>
    <mergeCell ref="C27:C28"/>
    <mergeCell ref="E27:E28"/>
    <mergeCell ref="F27:F2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EC47-9F2E-49B9-BF4E-21E03BF3B902}">
  <sheetPr codeName="Sheet16">
    <tabColor rgb="FF00B050"/>
  </sheetPr>
  <dimension ref="A1:K21"/>
  <sheetViews>
    <sheetView zoomScaleNormal="100" workbookViewId="0">
      <selection activeCell="S17" sqref="S17"/>
    </sheetView>
  </sheetViews>
  <sheetFormatPr defaultRowHeight="15" x14ac:dyDescent="0.25"/>
  <cols>
    <col min="1" max="1" width="10.42578125" bestFit="1" customWidth="1"/>
    <col min="2" max="2" width="11.5703125" bestFit="1" customWidth="1"/>
    <col min="3" max="3" width="7.5703125" bestFit="1" customWidth="1"/>
    <col min="4" max="4" width="12.85546875" bestFit="1" customWidth="1"/>
    <col min="5" max="5" width="5.5703125" bestFit="1" customWidth="1"/>
    <col min="6" max="6" width="11.85546875" bestFit="1" customWidth="1"/>
    <col min="7" max="7" width="5.5703125" bestFit="1" customWidth="1"/>
    <col min="8" max="8" width="11.140625" bestFit="1" customWidth="1"/>
    <col min="9" max="9" width="2.5703125" customWidth="1"/>
    <col min="10" max="10" width="15" bestFit="1" customWidth="1"/>
    <col min="11" max="11" width="14.140625" bestFit="1" customWidth="1"/>
  </cols>
  <sheetData>
    <row r="1" spans="1:11" ht="18.75" x14ac:dyDescent="0.3">
      <c r="A1" s="299" t="s">
        <v>215</v>
      </c>
      <c r="B1" s="299"/>
      <c r="C1" s="299"/>
      <c r="D1" s="299"/>
      <c r="E1" s="299"/>
      <c r="F1" s="299"/>
      <c r="G1" s="299"/>
      <c r="H1" s="299"/>
      <c r="I1" s="29"/>
      <c r="J1" s="299" t="s">
        <v>31</v>
      </c>
      <c r="K1" s="299"/>
    </row>
    <row r="2" spans="1:11" ht="6.6" customHeight="1" x14ac:dyDescent="0.25">
      <c r="B2" s="1"/>
      <c r="C2" s="1"/>
      <c r="D2" s="2"/>
      <c r="E2" s="1"/>
    </row>
    <row r="3" spans="1:11" ht="6.6" customHeight="1" x14ac:dyDescent="0.25">
      <c r="B3" s="1"/>
      <c r="C3" s="1"/>
      <c r="D3" s="2"/>
      <c r="E3" s="1"/>
    </row>
    <row r="4" spans="1:11" x14ac:dyDescent="0.25">
      <c r="A4" s="290" t="s">
        <v>282</v>
      </c>
      <c r="B4" s="290"/>
      <c r="C4" s="290"/>
      <c r="D4" s="290"/>
      <c r="E4" s="290"/>
      <c r="F4" s="290"/>
      <c r="G4" s="290"/>
      <c r="H4" s="290"/>
      <c r="I4" s="290"/>
      <c r="J4" s="290"/>
      <c r="K4" s="290"/>
    </row>
    <row r="5" spans="1:11" x14ac:dyDescent="0.25">
      <c r="A5" s="291" t="s">
        <v>198</v>
      </c>
      <c r="B5" s="293" t="s">
        <v>283</v>
      </c>
      <c r="C5" s="293" t="s">
        <v>8</v>
      </c>
      <c r="D5" s="293" t="s">
        <v>199</v>
      </c>
      <c r="E5" s="295" t="s">
        <v>39</v>
      </c>
      <c r="F5" s="295" t="s">
        <v>200</v>
      </c>
      <c r="G5" s="295" t="s">
        <v>39</v>
      </c>
      <c r="H5" s="4" t="s">
        <v>141</v>
      </c>
      <c r="I5" s="19"/>
      <c r="J5" s="4" t="s">
        <v>201</v>
      </c>
      <c r="K5" s="4" t="s">
        <v>202</v>
      </c>
    </row>
    <row r="6" spans="1:11" x14ac:dyDescent="0.25">
      <c r="A6" s="292"/>
      <c r="B6" s="294"/>
      <c r="C6" s="294"/>
      <c r="D6" s="294"/>
      <c r="E6" s="296"/>
      <c r="F6" s="296"/>
      <c r="G6" s="296"/>
      <c r="H6" s="27">
        <v>0.6</v>
      </c>
      <c r="I6" s="20"/>
      <c r="J6" s="17">
        <v>0.06</v>
      </c>
      <c r="K6" s="17">
        <v>0.06</v>
      </c>
    </row>
    <row r="7" spans="1:11" x14ac:dyDescent="0.25">
      <c r="A7" s="8" t="s">
        <v>284</v>
      </c>
      <c r="B7" s="46" t="s">
        <v>285</v>
      </c>
      <c r="C7" s="12">
        <f>'Attic Ladders. (2025)'!B14</f>
        <v>216.05273040734895</v>
      </c>
      <c r="D7" s="22">
        <v>368</v>
      </c>
      <c r="E7" s="23">
        <f t="shared" ref="E7" si="0">(D7-C7)/D7</f>
        <v>0.41290018911046483</v>
      </c>
      <c r="F7" s="24">
        <v>525</v>
      </c>
      <c r="G7" s="25">
        <f t="shared" ref="G7" si="1">(F7-C7)/F7</f>
        <v>0.58847098970028777</v>
      </c>
      <c r="H7" s="28">
        <f t="shared" ref="H7" si="2">C7/(1-$H$6)</f>
        <v>540.13182601837229</v>
      </c>
      <c r="I7" s="20"/>
      <c r="J7" s="18">
        <f t="shared" ref="J7" si="3">(D7*$J$6)</f>
        <v>22.08</v>
      </c>
      <c r="K7" s="18">
        <f t="shared" ref="K7" si="4">(F7*$K$6)</f>
        <v>31.5</v>
      </c>
    </row>
    <row r="8" spans="1:11" x14ac:dyDescent="0.25">
      <c r="A8" s="8" t="s">
        <v>284</v>
      </c>
      <c r="B8" s="46" t="s">
        <v>286</v>
      </c>
      <c r="C8" s="12">
        <f>'Attic Ladders. (2025)'!B14</f>
        <v>216.05273040734895</v>
      </c>
      <c r="D8" s="22">
        <v>328</v>
      </c>
      <c r="E8" s="23">
        <f t="shared" ref="E8" si="5">(D8-C8)/D8</f>
        <v>0.3413026511971069</v>
      </c>
      <c r="F8" s="24">
        <v>525</v>
      </c>
      <c r="G8" s="25">
        <f t="shared" ref="G8" si="6">(F8-C8)/F8</f>
        <v>0.58847098970028777</v>
      </c>
      <c r="H8" s="28">
        <f t="shared" ref="H8" si="7">C8/(1-$H$6)</f>
        <v>540.13182601837229</v>
      </c>
      <c r="I8" s="20"/>
      <c r="J8" s="18">
        <f t="shared" ref="J8" si="8">(D8*$J$6)</f>
        <v>19.68</v>
      </c>
      <c r="K8" s="18">
        <f t="shared" ref="K8" si="9">(F8*$K$6)</f>
        <v>31.5</v>
      </c>
    </row>
    <row r="10" spans="1:11" x14ac:dyDescent="0.25">
      <c r="A10" s="290" t="s">
        <v>287</v>
      </c>
      <c r="B10" s="290"/>
      <c r="C10" s="290"/>
      <c r="D10" s="290"/>
      <c r="E10" s="290"/>
      <c r="F10" s="290"/>
      <c r="G10" s="290"/>
      <c r="H10" s="290"/>
      <c r="I10" s="290"/>
      <c r="J10" s="290"/>
      <c r="K10" s="290"/>
    </row>
    <row r="11" spans="1:11" x14ac:dyDescent="0.25">
      <c r="A11" s="291" t="s">
        <v>198</v>
      </c>
      <c r="B11" s="293" t="s">
        <v>283</v>
      </c>
      <c r="C11" s="293" t="s">
        <v>8</v>
      </c>
      <c r="D11" s="293" t="s">
        <v>199</v>
      </c>
      <c r="E11" s="295" t="s">
        <v>39</v>
      </c>
      <c r="F11" s="295" t="s">
        <v>200</v>
      </c>
      <c r="G11" s="295" t="s">
        <v>39</v>
      </c>
      <c r="H11" s="4" t="s">
        <v>141</v>
      </c>
      <c r="I11" s="19"/>
      <c r="J11" s="4" t="s">
        <v>201</v>
      </c>
      <c r="K11" s="4" t="s">
        <v>202</v>
      </c>
    </row>
    <row r="12" spans="1:11" x14ac:dyDescent="0.25">
      <c r="A12" s="292"/>
      <c r="B12" s="294"/>
      <c r="C12" s="294"/>
      <c r="D12" s="294"/>
      <c r="E12" s="296"/>
      <c r="F12" s="296"/>
      <c r="G12" s="296"/>
      <c r="H12" s="27">
        <v>0.6</v>
      </c>
      <c r="I12" s="20"/>
      <c r="J12" s="17">
        <v>0.06</v>
      </c>
      <c r="K12" s="17">
        <v>0.06</v>
      </c>
    </row>
    <row r="13" spans="1:11" x14ac:dyDescent="0.25">
      <c r="A13" s="8" t="s">
        <v>284</v>
      </c>
      <c r="B13" s="46" t="s">
        <v>285</v>
      </c>
      <c r="C13" s="12">
        <f>'Attic Ladders. (2025)'!B14</f>
        <v>216.05273040734895</v>
      </c>
      <c r="D13" s="22">
        <v>378.18</v>
      </c>
      <c r="E13" s="23">
        <f t="shared" ref="E13:E14" si="10">(D13-C13)/D13</f>
        <v>0.42870397586506703</v>
      </c>
      <c r="F13" s="24">
        <v>540.26</v>
      </c>
      <c r="G13" s="25">
        <f t="shared" ref="G13:G14" si="11">(F13-C13)/F13</f>
        <v>0.60009489799846572</v>
      </c>
      <c r="H13" s="28">
        <f t="shared" ref="H13:H14" si="12">C13/(1-$H$6)</f>
        <v>540.13182601837229</v>
      </c>
      <c r="I13" s="20"/>
      <c r="J13" s="18">
        <f t="shared" ref="J13:J14" si="13">(D13*$J$6)</f>
        <v>22.690799999999999</v>
      </c>
      <c r="K13" s="18">
        <f t="shared" ref="K13:K14" si="14">(F13*$K$6)</f>
        <v>32.415599999999998</v>
      </c>
    </row>
    <row r="14" spans="1:11" x14ac:dyDescent="0.25">
      <c r="A14" s="8" t="s">
        <v>284</v>
      </c>
      <c r="B14" s="46" t="s">
        <v>286</v>
      </c>
      <c r="C14" s="12">
        <f>'Attic Ladders. (2025)'!B14</f>
        <v>216.05273040734895</v>
      </c>
      <c r="D14" s="22">
        <v>338.18</v>
      </c>
      <c r="E14" s="23">
        <f t="shared" si="10"/>
        <v>0.36113096455334748</v>
      </c>
      <c r="F14" s="24">
        <v>540.26</v>
      </c>
      <c r="G14" s="25">
        <f t="shared" si="11"/>
        <v>0.60009489799846572</v>
      </c>
      <c r="H14" s="28">
        <f t="shared" si="12"/>
        <v>540.13182601837229</v>
      </c>
      <c r="I14" s="20"/>
      <c r="J14" s="18">
        <f t="shared" si="13"/>
        <v>20.290800000000001</v>
      </c>
      <c r="K14" s="18">
        <f t="shared" si="14"/>
        <v>32.415599999999998</v>
      </c>
    </row>
    <row r="16" spans="1:11" x14ac:dyDescent="0.25">
      <c r="A16" s="290" t="s">
        <v>288</v>
      </c>
      <c r="B16" s="290"/>
      <c r="C16" s="290"/>
      <c r="D16" s="290"/>
      <c r="E16" s="290"/>
      <c r="F16" s="290"/>
      <c r="G16" s="290"/>
      <c r="H16" s="290"/>
      <c r="I16" s="290"/>
      <c r="J16" s="290"/>
      <c r="K16" s="290"/>
    </row>
    <row r="17" spans="1:11" x14ac:dyDescent="0.25">
      <c r="A17" s="291" t="s">
        <v>198</v>
      </c>
      <c r="B17" s="293" t="s">
        <v>283</v>
      </c>
      <c r="C17" s="293" t="s">
        <v>8</v>
      </c>
      <c r="D17" s="293" t="s">
        <v>199</v>
      </c>
      <c r="E17" s="295" t="s">
        <v>39</v>
      </c>
      <c r="F17" s="295" t="s">
        <v>200</v>
      </c>
      <c r="G17" s="295" t="s">
        <v>39</v>
      </c>
      <c r="H17" s="4" t="s">
        <v>141</v>
      </c>
      <c r="I17" s="19"/>
      <c r="J17" s="4" t="s">
        <v>201</v>
      </c>
      <c r="K17" s="4" t="s">
        <v>202</v>
      </c>
    </row>
    <row r="18" spans="1:11" x14ac:dyDescent="0.25">
      <c r="A18" s="292"/>
      <c r="B18" s="294"/>
      <c r="C18" s="294"/>
      <c r="D18" s="294"/>
      <c r="E18" s="296"/>
      <c r="F18" s="296"/>
      <c r="G18" s="296"/>
      <c r="H18" s="27">
        <v>0.6</v>
      </c>
      <c r="I18" s="20"/>
      <c r="J18" s="17">
        <v>0.06</v>
      </c>
      <c r="K18" s="17">
        <v>0.06</v>
      </c>
    </row>
    <row r="19" spans="1:11" x14ac:dyDescent="0.25">
      <c r="A19" s="8" t="s">
        <v>284</v>
      </c>
      <c r="B19" s="9">
        <v>1</v>
      </c>
      <c r="C19" s="12">
        <f>'Attic Ladders. (2025)'!B14</f>
        <v>216.05273040734895</v>
      </c>
      <c r="D19" s="22">
        <v>459</v>
      </c>
      <c r="E19" s="23">
        <f t="shared" ref="E19:E21" si="15">(D19-C19)/D19</f>
        <v>0.52929688364411998</v>
      </c>
      <c r="F19" s="24">
        <v>525</v>
      </c>
      <c r="G19" s="25">
        <f t="shared" ref="G19:G21" si="16">(F19-C19)/F19</f>
        <v>0.58847098970028777</v>
      </c>
      <c r="H19" s="28">
        <f t="shared" ref="H19:H21" si="17">C19/(1-$H$6)</f>
        <v>540.13182601837229</v>
      </c>
      <c r="I19" s="20"/>
      <c r="J19" s="18">
        <f t="shared" ref="J19:J21" si="18">(D19*$J$6)</f>
        <v>27.54</v>
      </c>
      <c r="K19" s="18">
        <f t="shared" ref="K19:K21" si="19">(F19*$K$6)</f>
        <v>31.5</v>
      </c>
    </row>
    <row r="20" spans="1:11" x14ac:dyDescent="0.25">
      <c r="A20" s="8" t="s">
        <v>284</v>
      </c>
      <c r="B20" s="46" t="s">
        <v>289</v>
      </c>
      <c r="C20" s="12">
        <f>'Attic Ladders. (2025)'!B14</f>
        <v>216.05273040734895</v>
      </c>
      <c r="D20" s="22">
        <v>430</v>
      </c>
      <c r="E20" s="23">
        <f t="shared" ref="E20" si="20">(D20-C20)/D20</f>
        <v>0.4975517897503513</v>
      </c>
      <c r="F20" s="24">
        <v>525</v>
      </c>
      <c r="G20" s="25">
        <f t="shared" ref="G20" si="21">(F20-C20)/F20</f>
        <v>0.58847098970028777</v>
      </c>
      <c r="H20" s="28">
        <f t="shared" ref="H20" si="22">C20/(1-$H$6)</f>
        <v>540.13182601837229</v>
      </c>
      <c r="I20" s="20"/>
      <c r="J20" s="18">
        <f t="shared" ref="J20" si="23">(D20*$J$6)</f>
        <v>25.8</v>
      </c>
      <c r="K20" s="18">
        <f t="shared" ref="K20" si="24">(F20*$K$6)</f>
        <v>31.5</v>
      </c>
    </row>
    <row r="21" spans="1:11" x14ac:dyDescent="0.25">
      <c r="A21" s="8" t="s">
        <v>284</v>
      </c>
      <c r="B21" s="46" t="s">
        <v>286</v>
      </c>
      <c r="C21" s="12">
        <f>'Attic Ladders. (2025)'!B14</f>
        <v>216.05273040734895</v>
      </c>
      <c r="D21" s="22">
        <v>398</v>
      </c>
      <c r="E21" s="23">
        <f t="shared" si="15"/>
        <v>0.4571539437001283</v>
      </c>
      <c r="F21" s="24">
        <v>525</v>
      </c>
      <c r="G21" s="25">
        <f t="shared" si="16"/>
        <v>0.58847098970028777</v>
      </c>
      <c r="H21" s="28">
        <f t="shared" si="17"/>
        <v>540.13182601837229</v>
      </c>
      <c r="I21" s="20"/>
      <c r="J21" s="18">
        <f t="shared" si="18"/>
        <v>23.88</v>
      </c>
      <c r="K21" s="18">
        <f t="shared" si="19"/>
        <v>31.5</v>
      </c>
    </row>
  </sheetData>
  <mergeCells count="26">
    <mergeCell ref="G11:G12"/>
    <mergeCell ref="D11:D12"/>
    <mergeCell ref="D17:D18"/>
    <mergeCell ref="A16:K16"/>
    <mergeCell ref="A17:A18"/>
    <mergeCell ref="B17:B18"/>
    <mergeCell ref="C17:C18"/>
    <mergeCell ref="E17:E18"/>
    <mergeCell ref="F17:F18"/>
    <mergeCell ref="G17:G18"/>
    <mergeCell ref="A10:K10"/>
    <mergeCell ref="A11:A12"/>
    <mergeCell ref="B11:B12"/>
    <mergeCell ref="C11:C12"/>
    <mergeCell ref="A1:H1"/>
    <mergeCell ref="J1:K1"/>
    <mergeCell ref="A4:K4"/>
    <mergeCell ref="A5:A6"/>
    <mergeCell ref="B5:B6"/>
    <mergeCell ref="C5:C6"/>
    <mergeCell ref="E5:E6"/>
    <mergeCell ref="F5:F6"/>
    <mergeCell ref="G5:G6"/>
    <mergeCell ref="D5:D6"/>
    <mergeCell ref="E11:E12"/>
    <mergeCell ref="F11:F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FA2B-B494-482B-A97A-9878C1794045}">
  <sheetPr codeName="Sheet17">
    <tabColor rgb="FFFF0000"/>
  </sheetPr>
  <dimension ref="A1:O123"/>
  <sheetViews>
    <sheetView zoomScaleNormal="100" workbookViewId="0">
      <selection activeCell="F9" sqref="F9"/>
    </sheetView>
  </sheetViews>
  <sheetFormatPr defaultRowHeight="15" x14ac:dyDescent="0.25"/>
  <cols>
    <col min="1" max="1" width="7.85546875" bestFit="1" customWidth="1"/>
    <col min="2" max="2" width="22.140625" style="1" bestFit="1" customWidth="1"/>
    <col min="3" max="3" width="17.140625" style="1" bestFit="1" customWidth="1"/>
    <col min="4" max="4" width="16.140625" style="1" bestFit="1" customWidth="1"/>
    <col min="5" max="5" width="17.85546875" style="1" bestFit="1" customWidth="1"/>
    <col min="6" max="6" width="15.85546875" style="1" bestFit="1" customWidth="1"/>
    <col min="7" max="7" width="31.85546875" style="1" bestFit="1" customWidth="1"/>
    <col min="9" max="9" width="7.85546875" bestFit="1" customWidth="1"/>
    <col min="10" max="10" width="22.140625" bestFit="1" customWidth="1"/>
    <col min="11" max="11" width="17.140625" bestFit="1" customWidth="1"/>
    <col min="12" max="12" width="16.140625" bestFit="1" customWidth="1"/>
    <col min="13" max="13" width="17.85546875" bestFit="1" customWidth="1"/>
    <col min="14" max="14" width="15.85546875" bestFit="1" customWidth="1"/>
    <col min="15" max="15" width="31.85546875" bestFit="1" customWidth="1"/>
  </cols>
  <sheetData>
    <row r="1" spans="1:15" ht="18.75" x14ac:dyDescent="0.3">
      <c r="A1" s="303" t="s">
        <v>290</v>
      </c>
      <c r="B1" s="303"/>
      <c r="C1" s="303"/>
      <c r="D1" s="303"/>
      <c r="E1" s="303"/>
      <c r="F1" s="303"/>
      <c r="G1" s="303"/>
      <c r="I1" s="303" t="s">
        <v>291</v>
      </c>
      <c r="J1" s="303"/>
      <c r="K1" s="303"/>
      <c r="L1" s="303"/>
      <c r="M1" s="303"/>
      <c r="N1" s="303"/>
      <c r="O1" s="303"/>
    </row>
    <row r="2" spans="1:15" ht="6" customHeight="1" x14ac:dyDescent="0.25">
      <c r="J2" s="1"/>
      <c r="K2" s="1"/>
      <c r="L2" s="1"/>
      <c r="M2" s="1"/>
      <c r="N2" s="1"/>
      <c r="O2" s="1"/>
    </row>
    <row r="3" spans="1:15" x14ac:dyDescent="0.25">
      <c r="A3" s="290" t="s">
        <v>69</v>
      </c>
      <c r="B3" s="290"/>
      <c r="C3" s="290"/>
      <c r="D3" s="290"/>
      <c r="E3" s="290"/>
      <c r="F3" s="290"/>
      <c r="G3" s="290"/>
      <c r="I3" s="290" t="s">
        <v>69</v>
      </c>
      <c r="J3" s="290"/>
      <c r="K3" s="290"/>
      <c r="L3" s="290"/>
      <c r="M3" s="290"/>
      <c r="N3" s="290"/>
      <c r="O3" s="290"/>
    </row>
    <row r="4" spans="1:15" x14ac:dyDescent="0.25">
      <c r="A4" s="304" t="s">
        <v>83</v>
      </c>
      <c r="B4" s="4" t="s">
        <v>292</v>
      </c>
      <c r="C4" s="4" t="s">
        <v>293</v>
      </c>
      <c r="D4" s="4" t="s">
        <v>294</v>
      </c>
      <c r="E4" s="4" t="s">
        <v>295</v>
      </c>
      <c r="F4" s="4" t="s">
        <v>296</v>
      </c>
      <c r="G4" s="4" t="s">
        <v>297</v>
      </c>
      <c r="I4" s="304" t="s">
        <v>83</v>
      </c>
      <c r="J4" s="4" t="s">
        <v>292</v>
      </c>
      <c r="K4" s="4" t="s">
        <v>298</v>
      </c>
      <c r="L4" s="4" t="s">
        <v>299</v>
      </c>
      <c r="M4" s="4" t="s">
        <v>295</v>
      </c>
      <c r="N4" s="4" t="s">
        <v>296</v>
      </c>
      <c r="O4" s="4" t="s">
        <v>297</v>
      </c>
    </row>
    <row r="5" spans="1:15" x14ac:dyDescent="0.25">
      <c r="A5" s="304"/>
      <c r="B5" s="5">
        <v>10.1</v>
      </c>
      <c r="C5" s="30">
        <v>14</v>
      </c>
      <c r="D5" s="30">
        <v>15</v>
      </c>
      <c r="E5" s="5">
        <v>12.12</v>
      </c>
      <c r="F5" s="7">
        <f>'Labour Rate'!$C$7</f>
        <v>48.39991666666667</v>
      </c>
      <c r="G5" s="4">
        <v>15</v>
      </c>
      <c r="I5" s="304"/>
      <c r="J5" s="5">
        <v>10.1</v>
      </c>
      <c r="K5" s="30">
        <v>14</v>
      </c>
      <c r="L5" s="30">
        <v>15</v>
      </c>
      <c r="M5" s="5">
        <v>12.12</v>
      </c>
      <c r="N5" s="7">
        <f>'Labour Rate'!$C$7</f>
        <v>48.39991666666667</v>
      </c>
      <c r="O5" s="4">
        <v>15</v>
      </c>
    </row>
    <row r="6" spans="1:15" x14ac:dyDescent="0.25">
      <c r="A6" s="34" t="s">
        <v>16</v>
      </c>
      <c r="B6" s="9">
        <v>11.4</v>
      </c>
      <c r="C6" s="178">
        <v>5.41</v>
      </c>
      <c r="D6" s="9">
        <v>1.97</v>
      </c>
      <c r="E6" s="9">
        <v>0</v>
      </c>
      <c r="F6" s="9">
        <v>2.6</v>
      </c>
      <c r="G6" s="15">
        <f>(($B$5*B6)+($C$5*C6)+($D$5*D6)+($E$5*E6)+($F$5*F6))/$G$5</f>
        <v>23.084652222222225</v>
      </c>
      <c r="I6" s="34" t="s">
        <v>16</v>
      </c>
      <c r="J6" s="9">
        <v>11.4</v>
      </c>
      <c r="K6" s="9">
        <v>7.87</v>
      </c>
      <c r="L6" s="9">
        <v>3.52</v>
      </c>
      <c r="M6" s="9">
        <v>0</v>
      </c>
      <c r="N6" s="9">
        <v>2.6</v>
      </c>
      <c r="O6" s="15">
        <f>(($J$5*J6)+($K$5*K6)+($L$5*L6)+($M$5*M6)+($N$5*N6))/$O$5</f>
        <v>26.930652222222225</v>
      </c>
    </row>
    <row r="7" spans="1:15" x14ac:dyDescent="0.25">
      <c r="A7" s="34" t="s">
        <v>70</v>
      </c>
      <c r="B7" s="9">
        <v>11.4</v>
      </c>
      <c r="C7" s="178">
        <v>6.77</v>
      </c>
      <c r="D7" s="9">
        <v>1.97</v>
      </c>
      <c r="E7" s="9">
        <v>0</v>
      </c>
      <c r="F7" s="9">
        <v>2.6</v>
      </c>
      <c r="G7" s="15">
        <f t="shared" ref="G7:G12" si="0">(($B$5*B7)+($C$5*C7)+($D$5*D7)+($E$5*E7)+($F$5*F7))/$G$5</f>
        <v>24.353985555555557</v>
      </c>
      <c r="I7" s="34" t="s">
        <v>70</v>
      </c>
      <c r="J7" s="9">
        <v>11.4</v>
      </c>
      <c r="K7" s="9">
        <v>9.84</v>
      </c>
      <c r="L7" s="9">
        <v>3.52</v>
      </c>
      <c r="M7" s="9">
        <v>0</v>
      </c>
      <c r="N7" s="9">
        <v>2.6</v>
      </c>
      <c r="O7" s="15">
        <f t="shared" ref="O7:O12" si="1">(($J$5*J7)+($K$5*K7)+($L$5*L7)+($M$5*M7)+($N$5*N7))/$O$5</f>
        <v>28.76931888888889</v>
      </c>
    </row>
    <row r="8" spans="1:15" x14ac:dyDescent="0.25">
      <c r="A8" s="34" t="s">
        <v>87</v>
      </c>
      <c r="B8" s="9">
        <v>11.4</v>
      </c>
      <c r="C8" s="178">
        <v>6.77</v>
      </c>
      <c r="D8" s="9">
        <v>2.2999999999999998</v>
      </c>
      <c r="E8" s="9">
        <v>0</v>
      </c>
      <c r="F8" s="9">
        <v>2.6</v>
      </c>
      <c r="G8" s="15">
        <f t="shared" si="0"/>
        <v>24.683985555555559</v>
      </c>
      <c r="I8" s="34" t="s">
        <v>87</v>
      </c>
      <c r="J8" s="9">
        <v>11.4</v>
      </c>
      <c r="K8" s="9">
        <v>9.84</v>
      </c>
      <c r="L8" s="9">
        <v>4.1100000000000003</v>
      </c>
      <c r="M8" s="9">
        <v>0</v>
      </c>
      <c r="N8" s="9">
        <v>2.6</v>
      </c>
      <c r="O8" s="15">
        <f t="shared" si="1"/>
        <v>29.359318888888886</v>
      </c>
    </row>
    <row r="9" spans="1:15" x14ac:dyDescent="0.25">
      <c r="A9" s="34" t="s">
        <v>88</v>
      </c>
      <c r="B9" s="9">
        <v>11.4</v>
      </c>
      <c r="C9" s="179">
        <v>6.77</v>
      </c>
      <c r="D9" s="9">
        <v>2.2999999999999998</v>
      </c>
      <c r="E9" s="9">
        <v>0</v>
      </c>
      <c r="F9" s="9">
        <v>2.6</v>
      </c>
      <c r="G9" s="15">
        <f t="shared" si="0"/>
        <v>24.683985555555559</v>
      </c>
      <c r="I9" s="34" t="s">
        <v>88</v>
      </c>
      <c r="J9" s="9">
        <v>11.4</v>
      </c>
      <c r="K9" s="10">
        <v>9.84</v>
      </c>
      <c r="L9" s="9">
        <v>4.1100000000000003</v>
      </c>
      <c r="M9" s="9">
        <v>0</v>
      </c>
      <c r="N9" s="9">
        <v>2.6</v>
      </c>
      <c r="O9" s="15">
        <f t="shared" si="1"/>
        <v>29.359318888888886</v>
      </c>
    </row>
    <row r="10" spans="1:15" x14ac:dyDescent="0.25">
      <c r="A10" s="34" t="s">
        <v>68</v>
      </c>
      <c r="B10" s="9">
        <v>11.4</v>
      </c>
      <c r="C10" s="178">
        <v>7.89</v>
      </c>
      <c r="D10" s="9">
        <v>2.69</v>
      </c>
      <c r="E10" s="9">
        <v>5.7</v>
      </c>
      <c r="F10" s="9">
        <v>3.3</v>
      </c>
      <c r="G10" s="15">
        <f t="shared" si="0"/>
        <v>32.983581666666666</v>
      </c>
      <c r="I10" s="34" t="s">
        <v>68</v>
      </c>
      <c r="J10" s="9">
        <v>11.4</v>
      </c>
      <c r="K10" s="9">
        <v>11.48</v>
      </c>
      <c r="L10" s="9">
        <v>4.79</v>
      </c>
      <c r="M10" s="9">
        <v>5.7</v>
      </c>
      <c r="N10" s="9">
        <v>3.3</v>
      </c>
      <c r="O10" s="15">
        <f t="shared" si="1"/>
        <v>38.434248333333336</v>
      </c>
    </row>
    <row r="11" spans="1:15" x14ac:dyDescent="0.25">
      <c r="A11" s="34" t="s">
        <v>56</v>
      </c>
      <c r="B11" s="9">
        <v>11.4</v>
      </c>
      <c r="C11" s="178">
        <v>9.02</v>
      </c>
      <c r="D11" s="9">
        <v>3.07</v>
      </c>
      <c r="E11" s="9">
        <v>5.7</v>
      </c>
      <c r="F11" s="9">
        <v>4.5</v>
      </c>
      <c r="G11" s="15">
        <f t="shared" si="0"/>
        <v>38.290241666666674</v>
      </c>
      <c r="I11" s="34" t="s">
        <v>56</v>
      </c>
      <c r="J11" s="9">
        <v>11.4</v>
      </c>
      <c r="K11" s="9">
        <v>13.12</v>
      </c>
      <c r="L11" s="9">
        <v>5.48</v>
      </c>
      <c r="M11" s="9">
        <v>5.7</v>
      </c>
      <c r="N11" s="9">
        <v>4.5</v>
      </c>
      <c r="O11" s="15">
        <f t="shared" si="1"/>
        <v>44.526908333333338</v>
      </c>
    </row>
    <row r="12" spans="1:15" x14ac:dyDescent="0.25">
      <c r="A12" s="34" t="s">
        <v>89</v>
      </c>
      <c r="B12" s="9">
        <v>11.4</v>
      </c>
      <c r="C12" s="178">
        <v>11.28</v>
      </c>
      <c r="D12" s="9">
        <v>3.84</v>
      </c>
      <c r="E12" s="9">
        <v>5.7</v>
      </c>
      <c r="F12" s="9">
        <v>5.7</v>
      </c>
      <c r="G12" s="15">
        <f t="shared" si="0"/>
        <v>45.041568333333331</v>
      </c>
      <c r="I12" s="34" t="s">
        <v>89</v>
      </c>
      <c r="J12" s="9">
        <v>11.4</v>
      </c>
      <c r="K12" s="9">
        <v>16.399999999999999</v>
      </c>
      <c r="L12" s="9">
        <v>6.85</v>
      </c>
      <c r="M12" s="9">
        <v>5.7</v>
      </c>
      <c r="N12" s="9">
        <v>5.7</v>
      </c>
      <c r="O12" s="15">
        <f t="shared" si="1"/>
        <v>52.830234999999995</v>
      </c>
    </row>
    <row r="13" spans="1:15" ht="6" customHeight="1" x14ac:dyDescent="0.25">
      <c r="J13" s="1"/>
      <c r="K13" s="1"/>
      <c r="L13" s="1"/>
      <c r="M13" s="1"/>
      <c r="N13" s="1"/>
      <c r="O13" s="1"/>
    </row>
    <row r="14" spans="1:15" x14ac:dyDescent="0.25">
      <c r="A14" s="290" t="s">
        <v>67</v>
      </c>
      <c r="B14" s="290"/>
      <c r="C14" s="290"/>
      <c r="D14" s="290"/>
      <c r="E14" s="290"/>
      <c r="F14" s="290"/>
      <c r="G14" s="290"/>
      <c r="I14" s="290" t="s">
        <v>67</v>
      </c>
      <c r="J14" s="290"/>
      <c r="K14" s="290"/>
      <c r="L14" s="290"/>
      <c r="M14" s="290"/>
      <c r="N14" s="290"/>
      <c r="O14" s="290"/>
    </row>
    <row r="15" spans="1:15" x14ac:dyDescent="0.25">
      <c r="A15" s="304" t="s">
        <v>83</v>
      </c>
      <c r="B15" s="4" t="s">
        <v>292</v>
      </c>
      <c r="C15" s="4" t="s">
        <v>293</v>
      </c>
      <c r="D15" s="4" t="s">
        <v>294</v>
      </c>
      <c r="E15" s="4" t="s">
        <v>295</v>
      </c>
      <c r="F15" s="4" t="s">
        <v>296</v>
      </c>
      <c r="G15" s="4" t="s">
        <v>297</v>
      </c>
      <c r="I15" s="304" t="s">
        <v>83</v>
      </c>
      <c r="J15" s="4" t="s">
        <v>292</v>
      </c>
      <c r="K15" s="4" t="s">
        <v>298</v>
      </c>
      <c r="L15" s="4" t="s">
        <v>299</v>
      </c>
      <c r="M15" s="4" t="s">
        <v>295</v>
      </c>
      <c r="N15" s="4" t="s">
        <v>296</v>
      </c>
      <c r="O15" s="4" t="s">
        <v>297</v>
      </c>
    </row>
    <row r="16" spans="1:15" x14ac:dyDescent="0.25">
      <c r="A16" s="304"/>
      <c r="B16" s="5">
        <v>10.1</v>
      </c>
      <c r="C16" s="30">
        <v>14</v>
      </c>
      <c r="D16" s="30">
        <v>15</v>
      </c>
      <c r="E16" s="5">
        <v>12.12</v>
      </c>
      <c r="F16" s="7">
        <f>'Labour Rate'!$C$7</f>
        <v>48.39991666666667</v>
      </c>
      <c r="G16" s="4">
        <v>15</v>
      </c>
      <c r="I16" s="304"/>
      <c r="J16" s="5">
        <v>10.1</v>
      </c>
      <c r="K16" s="30">
        <v>14</v>
      </c>
      <c r="L16" s="30">
        <v>15</v>
      </c>
      <c r="M16" s="5">
        <v>12.12</v>
      </c>
      <c r="N16" s="7">
        <f>'Labour Rate'!$C$7</f>
        <v>48.39991666666667</v>
      </c>
      <c r="O16" s="4">
        <v>15</v>
      </c>
    </row>
    <row r="17" spans="1:15" x14ac:dyDescent="0.25">
      <c r="A17" s="34" t="s">
        <v>16</v>
      </c>
      <c r="B17" s="9">
        <v>11.4</v>
      </c>
      <c r="C17" s="9">
        <v>7.73</v>
      </c>
      <c r="D17" s="9">
        <v>1.97</v>
      </c>
      <c r="E17" s="9">
        <v>0</v>
      </c>
      <c r="F17" s="9">
        <v>2.6</v>
      </c>
      <c r="G17" s="15">
        <f>(($B$16*B17)+($C$16*C17)+($D$16*D17)+($E$16*E17)+($F$16*F17))/$G$16</f>
        <v>25.249985555555558</v>
      </c>
      <c r="I17" s="34" t="s">
        <v>16</v>
      </c>
      <c r="J17" s="9">
        <v>11.4</v>
      </c>
      <c r="K17" s="9">
        <v>11.24</v>
      </c>
      <c r="L17" s="9">
        <v>3.52</v>
      </c>
      <c r="M17" s="9">
        <v>0</v>
      </c>
      <c r="N17" s="9">
        <v>2.6</v>
      </c>
      <c r="O17" s="15">
        <f>(($J$16*J17)+($K$16*K17)+($L$16*L17)+($M$16*M17)+($N$16*N17))/$O$16</f>
        <v>30.075985555555558</v>
      </c>
    </row>
    <row r="18" spans="1:15" x14ac:dyDescent="0.25">
      <c r="A18" s="34" t="s">
        <v>70</v>
      </c>
      <c r="B18" s="9">
        <v>11.4</v>
      </c>
      <c r="C18" s="9">
        <v>7.73</v>
      </c>
      <c r="D18" s="9">
        <v>1.97</v>
      </c>
      <c r="E18" s="9">
        <v>0</v>
      </c>
      <c r="F18" s="9">
        <v>2.6</v>
      </c>
      <c r="G18" s="15">
        <f t="shared" ref="G18:G23" si="2">(($B$16*B18)+($C$16*C18)+($D$16*D18)+($E$16*E18)+($F$16*F18))/$G$16</f>
        <v>25.249985555555558</v>
      </c>
      <c r="I18" s="34" t="s">
        <v>70</v>
      </c>
      <c r="J18" s="9">
        <v>11.4</v>
      </c>
      <c r="K18" s="9">
        <v>11.24</v>
      </c>
      <c r="L18" s="9">
        <v>3.52</v>
      </c>
      <c r="M18" s="9">
        <v>0</v>
      </c>
      <c r="N18" s="9">
        <v>2.6</v>
      </c>
      <c r="O18" s="15">
        <f t="shared" ref="O18:O23" si="3">(($J$16*J18)+($K$16*K18)+($L$16*L18)+($M$16*M18)+($N$16*N18))/$O$16</f>
        <v>30.075985555555558</v>
      </c>
    </row>
    <row r="19" spans="1:15" x14ac:dyDescent="0.25">
      <c r="A19" s="34" t="s">
        <v>87</v>
      </c>
      <c r="B19" s="9">
        <v>11.4</v>
      </c>
      <c r="C19" s="9">
        <v>7.73</v>
      </c>
      <c r="D19" s="9">
        <v>2.2999999999999998</v>
      </c>
      <c r="E19" s="9">
        <v>0</v>
      </c>
      <c r="F19" s="9">
        <v>2.6</v>
      </c>
      <c r="G19" s="15">
        <f t="shared" si="2"/>
        <v>25.579985555555556</v>
      </c>
      <c r="I19" s="34" t="s">
        <v>87</v>
      </c>
      <c r="J19" s="9">
        <v>11.4</v>
      </c>
      <c r="K19" s="9">
        <v>11.24</v>
      </c>
      <c r="L19" s="9">
        <v>4.1100000000000003</v>
      </c>
      <c r="M19" s="9">
        <v>0</v>
      </c>
      <c r="N19" s="9">
        <v>2.6</v>
      </c>
      <c r="O19" s="15">
        <f t="shared" si="3"/>
        <v>30.665985555555554</v>
      </c>
    </row>
    <row r="20" spans="1:15" x14ac:dyDescent="0.25">
      <c r="A20" s="34" t="s">
        <v>88</v>
      </c>
      <c r="B20" s="9">
        <v>11.4</v>
      </c>
      <c r="C20" s="9">
        <v>7.73</v>
      </c>
      <c r="D20" s="9">
        <v>2.2999999999999998</v>
      </c>
      <c r="E20" s="9">
        <v>0</v>
      </c>
      <c r="F20" s="9">
        <v>2.6</v>
      </c>
      <c r="G20" s="15">
        <f t="shared" si="2"/>
        <v>25.579985555555556</v>
      </c>
      <c r="I20" s="34" t="s">
        <v>88</v>
      </c>
      <c r="J20" s="9">
        <v>11.4</v>
      </c>
      <c r="K20" s="9">
        <v>11.24</v>
      </c>
      <c r="L20" s="9">
        <v>4.1100000000000003</v>
      </c>
      <c r="M20" s="9">
        <v>0</v>
      </c>
      <c r="N20" s="9">
        <v>2.6</v>
      </c>
      <c r="O20" s="15">
        <f t="shared" si="3"/>
        <v>30.665985555555554</v>
      </c>
    </row>
    <row r="21" spans="1:15" x14ac:dyDescent="0.25">
      <c r="A21" s="34" t="s">
        <v>68</v>
      </c>
      <c r="B21" s="9">
        <v>11.4</v>
      </c>
      <c r="C21" s="9">
        <v>10.53</v>
      </c>
      <c r="D21" s="9">
        <v>2.69</v>
      </c>
      <c r="E21" s="9">
        <v>5.7</v>
      </c>
      <c r="F21" s="9">
        <v>3.3</v>
      </c>
      <c r="G21" s="15">
        <f t="shared" si="2"/>
        <v>35.447581666666672</v>
      </c>
      <c r="I21" s="34" t="s">
        <v>68</v>
      </c>
      <c r="J21" s="9">
        <v>11.4</v>
      </c>
      <c r="K21" s="9">
        <v>15.3</v>
      </c>
      <c r="L21" s="9">
        <v>4.79</v>
      </c>
      <c r="M21" s="9">
        <v>5.7</v>
      </c>
      <c r="N21" s="9">
        <v>3.3</v>
      </c>
      <c r="O21" s="15">
        <f t="shared" si="3"/>
        <v>41.999581666666671</v>
      </c>
    </row>
    <row r="22" spans="1:15" x14ac:dyDescent="0.25">
      <c r="A22" s="34" t="s">
        <v>56</v>
      </c>
      <c r="B22" s="9">
        <v>11.4</v>
      </c>
      <c r="C22" s="9">
        <v>12.03</v>
      </c>
      <c r="D22" s="9">
        <v>3.07</v>
      </c>
      <c r="E22" s="9">
        <v>5.7</v>
      </c>
      <c r="F22" s="9">
        <v>4.5</v>
      </c>
      <c r="G22" s="15">
        <f t="shared" si="2"/>
        <v>41.099575000000002</v>
      </c>
      <c r="I22" s="34" t="s">
        <v>56</v>
      </c>
      <c r="J22" s="9">
        <v>11.4</v>
      </c>
      <c r="K22" s="9">
        <v>17.489999999999998</v>
      </c>
      <c r="L22" s="9">
        <v>5.48</v>
      </c>
      <c r="M22" s="9">
        <v>5.7</v>
      </c>
      <c r="N22" s="9">
        <v>4.5</v>
      </c>
      <c r="O22" s="15">
        <f t="shared" si="3"/>
        <v>48.605575000000002</v>
      </c>
    </row>
    <row r="23" spans="1:15" x14ac:dyDescent="0.25">
      <c r="A23" s="34" t="s">
        <v>89</v>
      </c>
      <c r="B23" s="9">
        <v>11.4</v>
      </c>
      <c r="C23" s="9">
        <v>15.04</v>
      </c>
      <c r="D23" s="9">
        <v>3.84</v>
      </c>
      <c r="E23" s="9">
        <v>5.7</v>
      </c>
      <c r="F23" s="9">
        <v>5.7</v>
      </c>
      <c r="G23" s="15">
        <f t="shared" si="2"/>
        <v>48.550901666666661</v>
      </c>
      <c r="I23" s="34" t="s">
        <v>89</v>
      </c>
      <c r="J23" s="9">
        <v>11.4</v>
      </c>
      <c r="K23" s="9">
        <v>21.86</v>
      </c>
      <c r="L23" s="9">
        <v>6.85</v>
      </c>
      <c r="M23" s="9">
        <v>5.7</v>
      </c>
      <c r="N23" s="9">
        <v>5.7</v>
      </c>
      <c r="O23" s="15">
        <f t="shared" si="3"/>
        <v>57.926234999999998</v>
      </c>
    </row>
    <row r="26" spans="1:15" ht="18.75" x14ac:dyDescent="0.3">
      <c r="A26" s="303" t="s">
        <v>300</v>
      </c>
      <c r="B26" s="303"/>
      <c r="C26" s="303"/>
      <c r="D26" s="303"/>
      <c r="E26" s="303"/>
      <c r="F26" s="303"/>
      <c r="G26" s="303"/>
      <c r="I26" s="303" t="s">
        <v>301</v>
      </c>
      <c r="J26" s="303"/>
      <c r="K26" s="303"/>
      <c r="L26" s="303"/>
      <c r="M26" s="303"/>
      <c r="N26" s="303"/>
      <c r="O26" s="303"/>
    </row>
    <row r="27" spans="1:15" ht="6" customHeight="1" x14ac:dyDescent="0.25">
      <c r="J27" s="1"/>
      <c r="K27" s="1"/>
      <c r="L27" s="1"/>
      <c r="M27" s="1"/>
      <c r="N27" s="1"/>
      <c r="O27" s="1"/>
    </row>
    <row r="28" spans="1:15" x14ac:dyDescent="0.25">
      <c r="A28" s="290" t="s">
        <v>69</v>
      </c>
      <c r="B28" s="290"/>
      <c r="C28" s="290"/>
      <c r="D28" s="290"/>
      <c r="E28" s="290"/>
      <c r="F28" s="290"/>
      <c r="G28" s="290"/>
      <c r="I28" s="290" t="s">
        <v>69</v>
      </c>
      <c r="J28" s="290"/>
      <c r="K28" s="290"/>
      <c r="L28" s="290"/>
      <c r="M28" s="290"/>
      <c r="N28" s="290"/>
      <c r="O28" s="290"/>
    </row>
    <row r="29" spans="1:15" x14ac:dyDescent="0.25">
      <c r="A29" s="304" t="s">
        <v>83</v>
      </c>
      <c r="B29" s="4" t="s">
        <v>302</v>
      </c>
      <c r="C29" s="4" t="s">
        <v>293</v>
      </c>
      <c r="D29" s="4" t="s">
        <v>294</v>
      </c>
      <c r="E29" s="4" t="s">
        <v>295</v>
      </c>
      <c r="F29" s="4" t="s">
        <v>296</v>
      </c>
      <c r="G29" s="4" t="s">
        <v>297</v>
      </c>
      <c r="I29" s="304" t="s">
        <v>83</v>
      </c>
      <c r="J29" s="4" t="s">
        <v>302</v>
      </c>
      <c r="K29" s="4" t="s">
        <v>298</v>
      </c>
      <c r="L29" s="4" t="s">
        <v>299</v>
      </c>
      <c r="M29" s="4" t="s">
        <v>295</v>
      </c>
      <c r="N29" s="4" t="s">
        <v>296</v>
      </c>
      <c r="O29" s="4" t="s">
        <v>297</v>
      </c>
    </row>
    <row r="30" spans="1:15" x14ac:dyDescent="0.25">
      <c r="A30" s="304"/>
      <c r="B30" s="5">
        <v>12.16</v>
      </c>
      <c r="C30" s="30">
        <v>14</v>
      </c>
      <c r="D30" s="30">
        <v>15</v>
      </c>
      <c r="E30" s="5">
        <v>12.12</v>
      </c>
      <c r="F30" s="7">
        <f>'Labour Rate'!$C$7</f>
        <v>48.39991666666667</v>
      </c>
      <c r="G30" s="4">
        <v>15</v>
      </c>
      <c r="I30" s="304"/>
      <c r="J30" s="5">
        <v>12.16</v>
      </c>
      <c r="K30" s="30">
        <v>14</v>
      </c>
      <c r="L30" s="30">
        <v>15</v>
      </c>
      <c r="M30" s="5">
        <v>12.12</v>
      </c>
      <c r="N30" s="7">
        <f>'Labour Rate'!$C$7</f>
        <v>48.39991666666667</v>
      </c>
      <c r="O30" s="4">
        <v>15</v>
      </c>
    </row>
    <row r="31" spans="1:15" x14ac:dyDescent="0.25">
      <c r="A31" s="34" t="s">
        <v>16</v>
      </c>
      <c r="B31" s="9">
        <v>11.4</v>
      </c>
      <c r="C31" s="178">
        <v>5.41</v>
      </c>
      <c r="D31" s="9">
        <v>1.97</v>
      </c>
      <c r="E31" s="9">
        <v>0</v>
      </c>
      <c r="F31" s="9">
        <v>2.6</v>
      </c>
      <c r="G31" s="15">
        <f>(($B$30*B31)+($C$30*C31)+($D$30*D31)+($E$30*E31)+($F$30*F31))/$G$30</f>
        <v>24.650252222222221</v>
      </c>
      <c r="I31" s="34" t="s">
        <v>16</v>
      </c>
      <c r="J31" s="9">
        <v>11.4</v>
      </c>
      <c r="K31" s="9">
        <v>7.87</v>
      </c>
      <c r="L31" s="9">
        <v>3.52</v>
      </c>
      <c r="M31" s="9">
        <v>0</v>
      </c>
      <c r="N31" s="9">
        <v>2.6</v>
      </c>
      <c r="O31" s="15">
        <f>(($J$30*J31)+($K$30*K31)+($L$30*L31)+($M$30*M31)+($N$30*N31))/$O$30</f>
        <v>28.496252222222221</v>
      </c>
    </row>
    <row r="32" spans="1:15" x14ac:dyDescent="0.25">
      <c r="A32" s="34" t="s">
        <v>70</v>
      </c>
      <c r="B32" s="9">
        <v>11.4</v>
      </c>
      <c r="C32" s="178">
        <v>6.77</v>
      </c>
      <c r="D32" s="9">
        <v>1.97</v>
      </c>
      <c r="E32" s="9">
        <v>0</v>
      </c>
      <c r="F32" s="9">
        <v>2.6</v>
      </c>
      <c r="G32" s="15">
        <f t="shared" ref="G32:G37" si="4">(($B$30*B32)+($C$30*C32)+($D$30*D32)+($E$30*E32)+($F$30*F32))/$G$30</f>
        <v>25.919585555555557</v>
      </c>
      <c r="I32" s="34" t="s">
        <v>70</v>
      </c>
      <c r="J32" s="9">
        <v>11.4</v>
      </c>
      <c r="K32" s="9">
        <v>9.84</v>
      </c>
      <c r="L32" s="9">
        <v>3.52</v>
      </c>
      <c r="M32" s="9">
        <v>0</v>
      </c>
      <c r="N32" s="9">
        <v>2.6</v>
      </c>
      <c r="O32" s="15">
        <f t="shared" ref="O32:O37" si="5">(($J$30*J32)+($K$30*K32)+($L$30*L32)+($M$30*M32)+($N$30*N32))/$O$30</f>
        <v>30.33491888888889</v>
      </c>
    </row>
    <row r="33" spans="1:15" x14ac:dyDescent="0.25">
      <c r="A33" s="34" t="s">
        <v>87</v>
      </c>
      <c r="B33" s="9">
        <v>11.4</v>
      </c>
      <c r="C33" s="178">
        <v>6.77</v>
      </c>
      <c r="D33" s="9">
        <v>2.2999999999999998</v>
      </c>
      <c r="E33" s="9">
        <v>0</v>
      </c>
      <c r="F33" s="9">
        <v>2.6</v>
      </c>
      <c r="G33" s="15">
        <f t="shared" si="4"/>
        <v>26.249585555555555</v>
      </c>
      <c r="I33" s="34" t="s">
        <v>87</v>
      </c>
      <c r="J33" s="9">
        <v>11.4</v>
      </c>
      <c r="K33" s="9">
        <v>9.84</v>
      </c>
      <c r="L33" s="9">
        <v>4.1100000000000003</v>
      </c>
      <c r="M33" s="9">
        <v>0</v>
      </c>
      <c r="N33" s="9">
        <v>2.6</v>
      </c>
      <c r="O33" s="15">
        <f t="shared" si="5"/>
        <v>30.92491888888889</v>
      </c>
    </row>
    <row r="34" spans="1:15" x14ac:dyDescent="0.25">
      <c r="A34" s="34" t="s">
        <v>88</v>
      </c>
      <c r="B34" s="9">
        <v>11.4</v>
      </c>
      <c r="C34" s="179">
        <v>6.77</v>
      </c>
      <c r="D34" s="9">
        <v>2.2999999999999998</v>
      </c>
      <c r="E34" s="9">
        <v>0</v>
      </c>
      <c r="F34" s="9">
        <v>2.6</v>
      </c>
      <c r="G34" s="15">
        <f t="shared" si="4"/>
        <v>26.249585555555555</v>
      </c>
      <c r="I34" s="34" t="s">
        <v>88</v>
      </c>
      <c r="J34" s="9">
        <v>11.4</v>
      </c>
      <c r="K34" s="10">
        <v>9.84</v>
      </c>
      <c r="L34" s="9">
        <v>4.1100000000000003</v>
      </c>
      <c r="M34" s="9">
        <v>0</v>
      </c>
      <c r="N34" s="9">
        <v>2.6</v>
      </c>
      <c r="O34" s="15">
        <f t="shared" si="5"/>
        <v>30.92491888888889</v>
      </c>
    </row>
    <row r="35" spans="1:15" x14ac:dyDescent="0.25">
      <c r="A35" s="34" t="s">
        <v>68</v>
      </c>
      <c r="B35" s="9">
        <v>11.4</v>
      </c>
      <c r="C35" s="178">
        <v>7.89</v>
      </c>
      <c r="D35" s="9">
        <v>2.69</v>
      </c>
      <c r="E35" s="9">
        <v>5.7</v>
      </c>
      <c r="F35" s="9">
        <v>3.3</v>
      </c>
      <c r="G35" s="15">
        <f t="shared" si="4"/>
        <v>34.549181666666669</v>
      </c>
      <c r="I35" s="34" t="s">
        <v>68</v>
      </c>
      <c r="J35" s="9">
        <v>11.4</v>
      </c>
      <c r="K35" s="9">
        <v>11.48</v>
      </c>
      <c r="L35" s="9">
        <v>4.79</v>
      </c>
      <c r="M35" s="9">
        <v>5.7</v>
      </c>
      <c r="N35" s="9">
        <v>3.3</v>
      </c>
      <c r="O35" s="15">
        <f t="shared" si="5"/>
        <v>39.999848333333333</v>
      </c>
    </row>
    <row r="36" spans="1:15" x14ac:dyDescent="0.25">
      <c r="A36" s="34" t="s">
        <v>56</v>
      </c>
      <c r="B36" s="9">
        <v>11.4</v>
      </c>
      <c r="C36" s="178">
        <v>9.02</v>
      </c>
      <c r="D36" s="9">
        <v>3.07</v>
      </c>
      <c r="E36" s="9">
        <v>5.7</v>
      </c>
      <c r="F36" s="9">
        <v>4.5</v>
      </c>
      <c r="G36" s="15">
        <f t="shared" si="4"/>
        <v>39.85584166666667</v>
      </c>
      <c r="I36" s="34" t="s">
        <v>56</v>
      </c>
      <c r="J36" s="9">
        <v>11.4</v>
      </c>
      <c r="K36" s="9">
        <v>13.12</v>
      </c>
      <c r="L36" s="9">
        <v>5.48</v>
      </c>
      <c r="M36" s="9">
        <v>5.7</v>
      </c>
      <c r="N36" s="9">
        <v>4.5</v>
      </c>
      <c r="O36" s="15">
        <f t="shared" si="5"/>
        <v>46.092508333333328</v>
      </c>
    </row>
    <row r="37" spans="1:15" x14ac:dyDescent="0.25">
      <c r="A37" s="34" t="s">
        <v>89</v>
      </c>
      <c r="B37" s="9">
        <v>11.4</v>
      </c>
      <c r="C37" s="178">
        <v>11.28</v>
      </c>
      <c r="D37" s="9">
        <v>3.84</v>
      </c>
      <c r="E37" s="9">
        <v>5.7</v>
      </c>
      <c r="F37" s="9">
        <v>5.7</v>
      </c>
      <c r="G37" s="15">
        <f t="shared" si="4"/>
        <v>46.607168333333334</v>
      </c>
      <c r="I37" s="34" t="s">
        <v>89</v>
      </c>
      <c r="J37" s="9">
        <v>11.4</v>
      </c>
      <c r="K37" s="9">
        <v>16.399999999999999</v>
      </c>
      <c r="L37" s="9">
        <v>6.85</v>
      </c>
      <c r="M37" s="9">
        <v>5.7</v>
      </c>
      <c r="N37" s="9">
        <v>5.7</v>
      </c>
      <c r="O37" s="15">
        <f t="shared" si="5"/>
        <v>54.395835000000005</v>
      </c>
    </row>
    <row r="38" spans="1:15" ht="6" customHeight="1" x14ac:dyDescent="0.25">
      <c r="J38" s="1"/>
      <c r="K38" s="1"/>
      <c r="L38" s="1"/>
      <c r="M38" s="1"/>
      <c r="N38" s="1"/>
      <c r="O38" s="1"/>
    </row>
    <row r="39" spans="1:15" x14ac:dyDescent="0.25">
      <c r="A39" s="290" t="s">
        <v>67</v>
      </c>
      <c r="B39" s="290"/>
      <c r="C39" s="290"/>
      <c r="D39" s="290"/>
      <c r="E39" s="290"/>
      <c r="F39" s="290"/>
      <c r="G39" s="290"/>
      <c r="I39" s="290" t="s">
        <v>67</v>
      </c>
      <c r="J39" s="290"/>
      <c r="K39" s="290"/>
      <c r="L39" s="290"/>
      <c r="M39" s="290"/>
      <c r="N39" s="290"/>
      <c r="O39" s="290"/>
    </row>
    <row r="40" spans="1:15" x14ac:dyDescent="0.25">
      <c r="A40" s="304" t="s">
        <v>83</v>
      </c>
      <c r="B40" s="4" t="s">
        <v>302</v>
      </c>
      <c r="C40" s="4" t="s">
        <v>293</v>
      </c>
      <c r="D40" s="4" t="s">
        <v>294</v>
      </c>
      <c r="E40" s="4" t="s">
        <v>295</v>
      </c>
      <c r="F40" s="4" t="s">
        <v>296</v>
      </c>
      <c r="G40" s="4" t="s">
        <v>297</v>
      </c>
      <c r="I40" s="304" t="s">
        <v>83</v>
      </c>
      <c r="J40" s="4" t="s">
        <v>302</v>
      </c>
      <c r="K40" s="4" t="s">
        <v>298</v>
      </c>
      <c r="L40" s="4" t="s">
        <v>299</v>
      </c>
      <c r="M40" s="4" t="s">
        <v>295</v>
      </c>
      <c r="N40" s="4" t="s">
        <v>296</v>
      </c>
      <c r="O40" s="4" t="s">
        <v>297</v>
      </c>
    </row>
    <row r="41" spans="1:15" x14ac:dyDescent="0.25">
      <c r="A41" s="304"/>
      <c r="B41" s="5">
        <v>12.16</v>
      </c>
      <c r="C41" s="30">
        <v>14</v>
      </c>
      <c r="D41" s="30">
        <v>15</v>
      </c>
      <c r="E41" s="5">
        <v>12.12</v>
      </c>
      <c r="F41" s="7">
        <f>'Labour Rate'!$C$7</f>
        <v>48.39991666666667</v>
      </c>
      <c r="G41" s="4">
        <v>15</v>
      </c>
      <c r="I41" s="304"/>
      <c r="J41" s="5">
        <v>12.16</v>
      </c>
      <c r="K41" s="30">
        <v>14</v>
      </c>
      <c r="L41" s="30">
        <v>15</v>
      </c>
      <c r="M41" s="5">
        <v>12.12</v>
      </c>
      <c r="N41" s="7">
        <f>'Labour Rate'!$C$7</f>
        <v>48.39991666666667</v>
      </c>
      <c r="O41" s="4">
        <v>15</v>
      </c>
    </row>
    <row r="42" spans="1:15" x14ac:dyDescent="0.25">
      <c r="A42" s="34" t="s">
        <v>16</v>
      </c>
      <c r="B42" s="9">
        <v>11.4</v>
      </c>
      <c r="C42" s="9">
        <v>7.73</v>
      </c>
      <c r="D42" s="9">
        <v>1.97</v>
      </c>
      <c r="E42" s="9">
        <v>0</v>
      </c>
      <c r="F42" s="9">
        <v>2.6</v>
      </c>
      <c r="G42" s="15">
        <f>(($B$41*B42)+($C$41*C42)+($D$41*D42)+($E$41*E42)+($F$41*F42))/$G$41</f>
        <v>26.815585555555558</v>
      </c>
      <c r="I42" s="34" t="s">
        <v>16</v>
      </c>
      <c r="J42" s="9">
        <v>11.4</v>
      </c>
      <c r="K42" s="9">
        <v>11.24</v>
      </c>
      <c r="L42" s="9">
        <v>3.52</v>
      </c>
      <c r="M42" s="9">
        <v>0</v>
      </c>
      <c r="N42" s="9">
        <v>2.6</v>
      </c>
      <c r="O42" s="15">
        <f>(($J$41*J42)+($K$41*K42)+($L$41*L42)+($M$41*M42)+($N$41*N42))/$O$41</f>
        <v>31.641585555555558</v>
      </c>
    </row>
    <row r="43" spans="1:15" x14ac:dyDescent="0.25">
      <c r="A43" s="34" t="s">
        <v>70</v>
      </c>
      <c r="B43" s="9">
        <v>11.4</v>
      </c>
      <c r="C43" s="9">
        <v>7.73</v>
      </c>
      <c r="D43" s="9">
        <v>1.97</v>
      </c>
      <c r="E43" s="9">
        <v>0</v>
      </c>
      <c r="F43" s="9">
        <v>2.6</v>
      </c>
      <c r="G43" s="15">
        <f t="shared" ref="G43:G48" si="6">(($B$41*B43)+($C$41*C43)+($D$41*D43)+($E$41*E43)+($F$41*F43))/$G$41</f>
        <v>26.815585555555558</v>
      </c>
      <c r="I43" s="34" t="s">
        <v>70</v>
      </c>
      <c r="J43" s="9">
        <v>11.4</v>
      </c>
      <c r="K43" s="9">
        <v>11.24</v>
      </c>
      <c r="L43" s="9">
        <v>3.52</v>
      </c>
      <c r="M43" s="9">
        <v>0</v>
      </c>
      <c r="N43" s="9">
        <v>2.6</v>
      </c>
      <c r="O43" s="15">
        <f t="shared" ref="O43:O48" si="7">(($J$41*J43)+($K$41*K43)+($L$41*L43)+($M$41*M43)+($N$41*N43))/$O$41</f>
        <v>31.641585555555558</v>
      </c>
    </row>
    <row r="44" spans="1:15" x14ac:dyDescent="0.25">
      <c r="A44" s="34" t="s">
        <v>87</v>
      </c>
      <c r="B44" s="9">
        <v>11.4</v>
      </c>
      <c r="C44" s="9">
        <v>7.73</v>
      </c>
      <c r="D44" s="9">
        <v>2.2999999999999998</v>
      </c>
      <c r="E44" s="9">
        <v>0</v>
      </c>
      <c r="F44" s="9">
        <v>2.6</v>
      </c>
      <c r="G44" s="15">
        <f t="shared" si="6"/>
        <v>27.145585555555556</v>
      </c>
      <c r="I44" s="34" t="s">
        <v>87</v>
      </c>
      <c r="J44" s="9">
        <v>11.4</v>
      </c>
      <c r="K44" s="9">
        <v>11.24</v>
      </c>
      <c r="L44" s="9">
        <v>4.1100000000000003</v>
      </c>
      <c r="M44" s="9">
        <v>0</v>
      </c>
      <c r="N44" s="9">
        <v>2.6</v>
      </c>
      <c r="O44" s="15">
        <f t="shared" si="7"/>
        <v>32.231585555555554</v>
      </c>
    </row>
    <row r="45" spans="1:15" x14ac:dyDescent="0.25">
      <c r="A45" s="34" t="s">
        <v>88</v>
      </c>
      <c r="B45" s="9">
        <v>11.4</v>
      </c>
      <c r="C45" s="9">
        <v>7.73</v>
      </c>
      <c r="D45" s="9">
        <v>2.2999999999999998</v>
      </c>
      <c r="E45" s="9">
        <v>0</v>
      </c>
      <c r="F45" s="9">
        <v>2.6</v>
      </c>
      <c r="G45" s="15">
        <f t="shared" si="6"/>
        <v>27.145585555555556</v>
      </c>
      <c r="I45" s="34" t="s">
        <v>88</v>
      </c>
      <c r="J45" s="9">
        <v>11.4</v>
      </c>
      <c r="K45" s="9">
        <v>11.24</v>
      </c>
      <c r="L45" s="9">
        <v>4.1100000000000003</v>
      </c>
      <c r="M45" s="9">
        <v>0</v>
      </c>
      <c r="N45" s="9">
        <v>2.6</v>
      </c>
      <c r="O45" s="15">
        <f t="shared" si="7"/>
        <v>32.231585555555554</v>
      </c>
    </row>
    <row r="46" spans="1:15" x14ac:dyDescent="0.25">
      <c r="A46" s="34" t="s">
        <v>68</v>
      </c>
      <c r="B46" s="9">
        <v>11.4</v>
      </c>
      <c r="C46" s="9">
        <v>10.53</v>
      </c>
      <c r="D46" s="9">
        <v>2.69</v>
      </c>
      <c r="E46" s="9">
        <v>5.7</v>
      </c>
      <c r="F46" s="9">
        <v>3.3</v>
      </c>
      <c r="G46" s="15">
        <f t="shared" si="6"/>
        <v>37.013181666666668</v>
      </c>
      <c r="I46" s="34" t="s">
        <v>68</v>
      </c>
      <c r="J46" s="9">
        <v>11.4</v>
      </c>
      <c r="K46" s="9">
        <v>15.3</v>
      </c>
      <c r="L46" s="9">
        <v>4.79</v>
      </c>
      <c r="M46" s="9">
        <v>5.7</v>
      </c>
      <c r="N46" s="9">
        <v>3.3</v>
      </c>
      <c r="O46" s="15">
        <f t="shared" si="7"/>
        <v>43.565181666666668</v>
      </c>
    </row>
    <row r="47" spans="1:15" x14ac:dyDescent="0.25">
      <c r="A47" s="34" t="s">
        <v>56</v>
      </c>
      <c r="B47" s="9">
        <v>11.4</v>
      </c>
      <c r="C47" s="9">
        <v>12.03</v>
      </c>
      <c r="D47" s="9">
        <v>3.07</v>
      </c>
      <c r="E47" s="9">
        <v>5.7</v>
      </c>
      <c r="F47" s="9">
        <v>4.5</v>
      </c>
      <c r="G47" s="15">
        <f t="shared" si="6"/>
        <v>42.665174999999998</v>
      </c>
      <c r="I47" s="34" t="s">
        <v>56</v>
      </c>
      <c r="J47" s="9">
        <v>11.4</v>
      </c>
      <c r="K47" s="9">
        <v>17.489999999999998</v>
      </c>
      <c r="L47" s="9">
        <v>5.48</v>
      </c>
      <c r="M47" s="9">
        <v>5.7</v>
      </c>
      <c r="N47" s="9">
        <v>4.5</v>
      </c>
      <c r="O47" s="15">
        <f t="shared" si="7"/>
        <v>50.171174999999998</v>
      </c>
    </row>
    <row r="48" spans="1:15" x14ac:dyDescent="0.25">
      <c r="A48" s="34" t="s">
        <v>89</v>
      </c>
      <c r="B48" s="9">
        <v>11.4</v>
      </c>
      <c r="C48" s="9">
        <v>15.04</v>
      </c>
      <c r="D48" s="9">
        <v>3.84</v>
      </c>
      <c r="E48" s="9">
        <v>5.7</v>
      </c>
      <c r="F48" s="9">
        <v>5.7</v>
      </c>
      <c r="G48" s="15">
        <f t="shared" si="6"/>
        <v>50.116501666666665</v>
      </c>
      <c r="I48" s="34" t="s">
        <v>89</v>
      </c>
      <c r="J48" s="9">
        <v>11.4</v>
      </c>
      <c r="K48" s="9">
        <v>21.86</v>
      </c>
      <c r="L48" s="9">
        <v>6.85</v>
      </c>
      <c r="M48" s="9">
        <v>5.7</v>
      </c>
      <c r="N48" s="9">
        <v>5.7</v>
      </c>
      <c r="O48" s="15">
        <f t="shared" si="7"/>
        <v>59.491835000000009</v>
      </c>
    </row>
    <row r="51" spans="1:15" ht="18.75" x14ac:dyDescent="0.3">
      <c r="A51" s="303" t="s">
        <v>303</v>
      </c>
      <c r="B51" s="303"/>
      <c r="C51" s="303"/>
      <c r="D51" s="303"/>
      <c r="E51" s="303"/>
      <c r="F51" s="303"/>
      <c r="G51" s="303"/>
      <c r="I51" s="303" t="s">
        <v>304</v>
      </c>
      <c r="J51" s="303"/>
      <c r="K51" s="303"/>
      <c r="L51" s="303"/>
      <c r="M51" s="303"/>
      <c r="N51" s="303"/>
      <c r="O51" s="303"/>
    </row>
    <row r="52" spans="1:15" ht="6" customHeight="1" x14ac:dyDescent="0.25">
      <c r="J52" s="1"/>
      <c r="K52" s="1"/>
      <c r="L52" s="1"/>
      <c r="M52" s="1"/>
      <c r="N52" s="1"/>
      <c r="O52" s="1"/>
    </row>
    <row r="53" spans="1:15" x14ac:dyDescent="0.25">
      <c r="A53" s="290" t="s">
        <v>69</v>
      </c>
      <c r="B53" s="290"/>
      <c r="C53" s="290"/>
      <c r="D53" s="290"/>
      <c r="E53" s="290"/>
      <c r="F53" s="290"/>
      <c r="G53" s="290"/>
      <c r="I53" s="290" t="s">
        <v>69</v>
      </c>
      <c r="J53" s="290"/>
      <c r="K53" s="290"/>
      <c r="L53" s="290"/>
      <c r="M53" s="290"/>
      <c r="N53" s="290"/>
      <c r="O53" s="290"/>
    </row>
    <row r="54" spans="1:15" x14ac:dyDescent="0.25">
      <c r="A54" s="304" t="s">
        <v>83</v>
      </c>
      <c r="B54" s="4" t="s">
        <v>305</v>
      </c>
      <c r="C54" s="4" t="s">
        <v>293</v>
      </c>
      <c r="D54" s="4" t="s">
        <v>294</v>
      </c>
      <c r="E54" s="4" t="s">
        <v>306</v>
      </c>
      <c r="F54" s="4" t="s">
        <v>296</v>
      </c>
      <c r="G54" s="4" t="s">
        <v>297</v>
      </c>
      <c r="I54" s="304" t="s">
        <v>83</v>
      </c>
      <c r="J54" s="4" t="s">
        <v>305</v>
      </c>
      <c r="K54" s="4" t="s">
        <v>298</v>
      </c>
      <c r="L54" s="4" t="s">
        <v>299</v>
      </c>
      <c r="M54" s="4" t="s">
        <v>306</v>
      </c>
      <c r="N54" s="4" t="s">
        <v>296</v>
      </c>
      <c r="O54" s="4" t="s">
        <v>297</v>
      </c>
    </row>
    <row r="55" spans="1:15" x14ac:dyDescent="0.25">
      <c r="A55" s="304"/>
      <c r="B55" s="5">
        <v>15.14</v>
      </c>
      <c r="C55" s="30">
        <v>14</v>
      </c>
      <c r="D55" s="30">
        <v>15</v>
      </c>
      <c r="E55" s="5">
        <v>15.14</v>
      </c>
      <c r="F55" s="7">
        <f>'Labour Rate'!$C$7</f>
        <v>48.39991666666667</v>
      </c>
      <c r="G55" s="4">
        <v>15</v>
      </c>
      <c r="I55" s="304"/>
      <c r="J55" s="5">
        <v>15.14</v>
      </c>
      <c r="K55" s="30">
        <v>14</v>
      </c>
      <c r="L55" s="30">
        <v>15</v>
      </c>
      <c r="M55" s="5">
        <v>15.14</v>
      </c>
      <c r="N55" s="7">
        <f>'Labour Rate'!$C$7</f>
        <v>48.39991666666667</v>
      </c>
      <c r="O55" s="4">
        <v>15</v>
      </c>
    </row>
    <row r="56" spans="1:15" x14ac:dyDescent="0.25">
      <c r="A56" s="34" t="s">
        <v>16</v>
      </c>
      <c r="B56" s="9">
        <v>11.4</v>
      </c>
      <c r="C56" s="178">
        <v>5.41</v>
      </c>
      <c r="D56" s="9">
        <v>1.97</v>
      </c>
      <c r="E56" s="9">
        <v>0</v>
      </c>
      <c r="F56" s="9">
        <v>2.6</v>
      </c>
      <c r="G56" s="15">
        <f>(($B$55*B56)+($C$55*C56)+($D$55*D56)+($E$55*E56)+($F$55*F56))/$G$55</f>
        <v>26.915052222222226</v>
      </c>
      <c r="I56" s="34" t="s">
        <v>16</v>
      </c>
      <c r="J56" s="9">
        <v>11.4</v>
      </c>
      <c r="K56" s="9">
        <v>7.87</v>
      </c>
      <c r="L56" s="9">
        <v>3.52</v>
      </c>
      <c r="M56" s="9">
        <v>0</v>
      </c>
      <c r="N56" s="9">
        <v>2.6</v>
      </c>
      <c r="O56" s="15">
        <f>(($J$55*J56)+($K$55*K56)+($L$55*L56)+($M$55*M56)+($N$55*N56))/$O$55</f>
        <v>30.761052222222226</v>
      </c>
    </row>
    <row r="57" spans="1:15" x14ac:dyDescent="0.25">
      <c r="A57" s="34" t="s">
        <v>70</v>
      </c>
      <c r="B57" s="9">
        <v>11.4</v>
      </c>
      <c r="C57" s="178">
        <v>6.77</v>
      </c>
      <c r="D57" s="9">
        <v>1.97</v>
      </c>
      <c r="E57" s="9">
        <v>0</v>
      </c>
      <c r="F57" s="9">
        <v>2.6</v>
      </c>
      <c r="G57" s="15">
        <f t="shared" ref="G57:G62" si="8">(($B$55*B57)+($C$55*C57)+($D$55*D57)+($E$55*E57)+($F$55*F57))/$G$55</f>
        <v>28.184385555555554</v>
      </c>
      <c r="I57" s="34" t="s">
        <v>70</v>
      </c>
      <c r="J57" s="9">
        <v>11.4</v>
      </c>
      <c r="K57" s="9">
        <v>9.84</v>
      </c>
      <c r="L57" s="9">
        <v>3.52</v>
      </c>
      <c r="M57" s="9">
        <v>0</v>
      </c>
      <c r="N57" s="9">
        <v>2.6</v>
      </c>
      <c r="O57" s="15">
        <f t="shared" ref="O57:O62" si="9">(($J$55*J57)+($K$55*K57)+($L$55*L57)+($M$55*M57)+($N$55*N57))/$O$55</f>
        <v>32.599718888888887</v>
      </c>
    </row>
    <row r="58" spans="1:15" x14ac:dyDescent="0.25">
      <c r="A58" s="34" t="s">
        <v>87</v>
      </c>
      <c r="B58" s="9">
        <v>11.4</v>
      </c>
      <c r="C58" s="178">
        <v>6.77</v>
      </c>
      <c r="D58" s="9">
        <v>2.2999999999999998</v>
      </c>
      <c r="E58" s="9">
        <v>0</v>
      </c>
      <c r="F58" s="9">
        <v>2.6</v>
      </c>
      <c r="G58" s="15">
        <f t="shared" si="8"/>
        <v>28.514385555555556</v>
      </c>
      <c r="I58" s="34" t="s">
        <v>87</v>
      </c>
      <c r="J58" s="9">
        <v>11.4</v>
      </c>
      <c r="K58" s="9">
        <v>9.84</v>
      </c>
      <c r="L58" s="9">
        <v>4.1100000000000003</v>
      </c>
      <c r="M58" s="9">
        <v>0</v>
      </c>
      <c r="N58" s="9">
        <v>2.6</v>
      </c>
      <c r="O58" s="15">
        <f t="shared" si="9"/>
        <v>33.189718888888891</v>
      </c>
    </row>
    <row r="59" spans="1:15" x14ac:dyDescent="0.25">
      <c r="A59" s="34" t="s">
        <v>88</v>
      </c>
      <c r="B59" s="9">
        <v>11.4</v>
      </c>
      <c r="C59" s="179">
        <v>6.77</v>
      </c>
      <c r="D59" s="9">
        <v>2.2999999999999998</v>
      </c>
      <c r="E59" s="9">
        <v>0</v>
      </c>
      <c r="F59" s="9">
        <v>2.6</v>
      </c>
      <c r="G59" s="15">
        <f t="shared" si="8"/>
        <v>28.514385555555556</v>
      </c>
      <c r="I59" s="34" t="s">
        <v>88</v>
      </c>
      <c r="J59" s="9">
        <v>11.4</v>
      </c>
      <c r="K59" s="10">
        <v>9.84</v>
      </c>
      <c r="L59" s="9">
        <v>4.1100000000000003</v>
      </c>
      <c r="M59" s="9">
        <v>0</v>
      </c>
      <c r="N59" s="9">
        <v>2.6</v>
      </c>
      <c r="O59" s="15">
        <f t="shared" si="9"/>
        <v>33.189718888888891</v>
      </c>
    </row>
    <row r="60" spans="1:15" x14ac:dyDescent="0.25">
      <c r="A60" s="34" t="s">
        <v>68</v>
      </c>
      <c r="B60" s="9">
        <v>11.4</v>
      </c>
      <c r="C60" s="178">
        <v>7.89</v>
      </c>
      <c r="D60" s="9">
        <v>2.69</v>
      </c>
      <c r="E60" s="9">
        <v>5.7</v>
      </c>
      <c r="F60" s="9">
        <v>3.3</v>
      </c>
      <c r="G60" s="15">
        <f t="shared" si="8"/>
        <v>37.961581666666667</v>
      </c>
      <c r="I60" s="34" t="s">
        <v>68</v>
      </c>
      <c r="J60" s="9">
        <v>11.4</v>
      </c>
      <c r="K60" s="9">
        <v>11.48</v>
      </c>
      <c r="L60" s="9">
        <v>4.79</v>
      </c>
      <c r="M60" s="9">
        <v>5.7</v>
      </c>
      <c r="N60" s="9">
        <v>3.3</v>
      </c>
      <c r="O60" s="15">
        <f t="shared" si="9"/>
        <v>43.412248333333338</v>
      </c>
    </row>
    <row r="61" spans="1:15" x14ac:dyDescent="0.25">
      <c r="A61" s="34" t="s">
        <v>56</v>
      </c>
      <c r="B61" s="9">
        <v>11.4</v>
      </c>
      <c r="C61" s="178">
        <v>9.02</v>
      </c>
      <c r="D61" s="9">
        <v>3.07</v>
      </c>
      <c r="E61" s="9">
        <v>5.7</v>
      </c>
      <c r="F61" s="9">
        <v>4.5</v>
      </c>
      <c r="G61" s="15">
        <f t="shared" si="8"/>
        <v>43.268241666666668</v>
      </c>
      <c r="I61" s="34" t="s">
        <v>56</v>
      </c>
      <c r="J61" s="9">
        <v>11.4</v>
      </c>
      <c r="K61" s="9">
        <v>13.12</v>
      </c>
      <c r="L61" s="9">
        <v>5.48</v>
      </c>
      <c r="M61" s="9">
        <v>5.7</v>
      </c>
      <c r="N61" s="9">
        <v>4.5</v>
      </c>
      <c r="O61" s="15">
        <f t="shared" si="9"/>
        <v>49.504908333333326</v>
      </c>
    </row>
    <row r="62" spans="1:15" x14ac:dyDescent="0.25">
      <c r="A62" s="34" t="s">
        <v>89</v>
      </c>
      <c r="B62" s="9">
        <v>11.4</v>
      </c>
      <c r="C62" s="178">
        <v>11.28</v>
      </c>
      <c r="D62" s="9">
        <v>3.84</v>
      </c>
      <c r="E62" s="9">
        <v>5.7</v>
      </c>
      <c r="F62" s="9">
        <v>5.7</v>
      </c>
      <c r="G62" s="15">
        <f t="shared" si="8"/>
        <v>50.019568333333339</v>
      </c>
      <c r="I62" s="34" t="s">
        <v>89</v>
      </c>
      <c r="J62" s="9">
        <v>11.4</v>
      </c>
      <c r="K62" s="9">
        <v>16.399999999999999</v>
      </c>
      <c r="L62" s="9">
        <v>6.85</v>
      </c>
      <c r="M62" s="9">
        <v>5.7</v>
      </c>
      <c r="N62" s="9">
        <v>5.7</v>
      </c>
      <c r="O62" s="15">
        <f t="shared" si="9"/>
        <v>57.808234999999996</v>
      </c>
    </row>
    <row r="63" spans="1:15" ht="6" customHeight="1" x14ac:dyDescent="0.25">
      <c r="J63" s="1"/>
      <c r="K63" s="1"/>
      <c r="L63" s="1"/>
      <c r="M63" s="1"/>
      <c r="N63" s="1"/>
      <c r="O63" s="1"/>
    </row>
    <row r="64" spans="1:15" x14ac:dyDescent="0.25">
      <c r="A64" s="290" t="s">
        <v>67</v>
      </c>
      <c r="B64" s="290"/>
      <c r="C64" s="290"/>
      <c r="D64" s="290"/>
      <c r="E64" s="290"/>
      <c r="F64" s="290"/>
      <c r="G64" s="290"/>
      <c r="I64" s="290" t="s">
        <v>67</v>
      </c>
      <c r="J64" s="290"/>
      <c r="K64" s="290"/>
      <c r="L64" s="290"/>
      <c r="M64" s="290"/>
      <c r="N64" s="290"/>
      <c r="O64" s="290"/>
    </row>
    <row r="65" spans="1:15" x14ac:dyDescent="0.25">
      <c r="A65" s="304" t="s">
        <v>83</v>
      </c>
      <c r="B65" s="4" t="s">
        <v>305</v>
      </c>
      <c r="C65" s="4" t="s">
        <v>293</v>
      </c>
      <c r="D65" s="4" t="s">
        <v>294</v>
      </c>
      <c r="E65" s="4" t="s">
        <v>306</v>
      </c>
      <c r="F65" s="4" t="s">
        <v>296</v>
      </c>
      <c r="G65" s="4" t="s">
        <v>297</v>
      </c>
      <c r="I65" s="304" t="s">
        <v>83</v>
      </c>
      <c r="J65" s="4" t="s">
        <v>305</v>
      </c>
      <c r="K65" s="4" t="s">
        <v>298</v>
      </c>
      <c r="L65" s="4" t="s">
        <v>299</v>
      </c>
      <c r="M65" s="4" t="s">
        <v>306</v>
      </c>
      <c r="N65" s="4" t="s">
        <v>296</v>
      </c>
      <c r="O65" s="4" t="s">
        <v>297</v>
      </c>
    </row>
    <row r="66" spans="1:15" x14ac:dyDescent="0.25">
      <c r="A66" s="304"/>
      <c r="B66" s="5">
        <v>15.14</v>
      </c>
      <c r="C66" s="30">
        <v>14</v>
      </c>
      <c r="D66" s="30">
        <v>15</v>
      </c>
      <c r="E66" s="5">
        <v>15.14</v>
      </c>
      <c r="F66" s="7">
        <f>'Labour Rate'!$C$7</f>
        <v>48.39991666666667</v>
      </c>
      <c r="G66" s="4">
        <v>15</v>
      </c>
      <c r="I66" s="304"/>
      <c r="J66" s="5">
        <v>15.14</v>
      </c>
      <c r="K66" s="30">
        <v>14</v>
      </c>
      <c r="L66" s="30">
        <v>15</v>
      </c>
      <c r="M66" s="5">
        <v>15.14</v>
      </c>
      <c r="N66" s="7">
        <f>'Labour Rate'!$C$7</f>
        <v>48.39991666666667</v>
      </c>
      <c r="O66" s="4">
        <v>15</v>
      </c>
    </row>
    <row r="67" spans="1:15" x14ac:dyDescent="0.25">
      <c r="A67" s="34" t="s">
        <v>16</v>
      </c>
      <c r="B67" s="9">
        <v>11.4</v>
      </c>
      <c r="C67" s="9">
        <v>7.73</v>
      </c>
      <c r="D67" s="9">
        <v>1.97</v>
      </c>
      <c r="E67" s="9">
        <v>0</v>
      </c>
      <c r="F67" s="9">
        <v>2.6</v>
      </c>
      <c r="G67" s="15">
        <f>(($B$66*B67)+($C$66*C67)+($D$66*D67)+($E$66*E67)+($F$66*F67))/$G$66</f>
        <v>29.080385555555559</v>
      </c>
      <c r="I67" s="34" t="s">
        <v>16</v>
      </c>
      <c r="J67" s="9">
        <v>11.4</v>
      </c>
      <c r="K67" s="9">
        <v>11.24</v>
      </c>
      <c r="L67" s="9">
        <v>3.52</v>
      </c>
      <c r="M67" s="9">
        <v>0</v>
      </c>
      <c r="N67" s="9">
        <v>2.6</v>
      </c>
      <c r="O67" s="15">
        <f>(($J$66*J67)+($K$66*K67)+($L$66*L67)+($M$66*M67)+($N$66*N67))/$O$66</f>
        <v>33.906385555555559</v>
      </c>
    </row>
    <row r="68" spans="1:15" x14ac:dyDescent="0.25">
      <c r="A68" s="34" t="s">
        <v>70</v>
      </c>
      <c r="B68" s="9">
        <v>11.4</v>
      </c>
      <c r="C68" s="9">
        <v>7.73</v>
      </c>
      <c r="D68" s="9">
        <v>1.97</v>
      </c>
      <c r="E68" s="9">
        <v>0</v>
      </c>
      <c r="F68" s="9">
        <v>2.6</v>
      </c>
      <c r="G68" s="15">
        <f t="shared" ref="G68:G73" si="10">(($B$66*B68)+($C$66*C68)+($D$66*D68)+($E$66*E68)+($F$66*F68))/$G$66</f>
        <v>29.080385555555559</v>
      </c>
      <c r="I68" s="34" t="s">
        <v>70</v>
      </c>
      <c r="J68" s="9">
        <v>11.4</v>
      </c>
      <c r="K68" s="9">
        <v>11.24</v>
      </c>
      <c r="L68" s="9">
        <v>3.52</v>
      </c>
      <c r="M68" s="9">
        <v>0</v>
      </c>
      <c r="N68" s="9">
        <v>2.6</v>
      </c>
      <c r="O68" s="15">
        <f t="shared" ref="O68:O73" si="11">(($J$66*J68)+($K$66*K68)+($L$66*L68)+($M$66*M68)+($N$66*N68))/$O$66</f>
        <v>33.906385555555559</v>
      </c>
    </row>
    <row r="69" spans="1:15" x14ac:dyDescent="0.25">
      <c r="A69" s="34" t="s">
        <v>87</v>
      </c>
      <c r="B69" s="9">
        <v>11.4</v>
      </c>
      <c r="C69" s="9">
        <v>7.73</v>
      </c>
      <c r="D69" s="9">
        <v>2.2999999999999998</v>
      </c>
      <c r="E69" s="9">
        <v>0</v>
      </c>
      <c r="F69" s="9">
        <v>2.6</v>
      </c>
      <c r="G69" s="15">
        <f t="shared" si="10"/>
        <v>29.410385555555557</v>
      </c>
      <c r="I69" s="34" t="s">
        <v>87</v>
      </c>
      <c r="J69" s="9">
        <v>11.4</v>
      </c>
      <c r="K69" s="9">
        <v>11.24</v>
      </c>
      <c r="L69" s="9">
        <v>4.1100000000000003</v>
      </c>
      <c r="M69" s="9">
        <v>0</v>
      </c>
      <c r="N69" s="9">
        <v>2.6</v>
      </c>
      <c r="O69" s="15">
        <f t="shared" si="11"/>
        <v>34.496385555555555</v>
      </c>
    </row>
    <row r="70" spans="1:15" x14ac:dyDescent="0.25">
      <c r="A70" s="34" t="s">
        <v>88</v>
      </c>
      <c r="B70" s="9">
        <v>11.4</v>
      </c>
      <c r="C70" s="9">
        <v>7.73</v>
      </c>
      <c r="D70" s="9">
        <v>2.2999999999999998</v>
      </c>
      <c r="E70" s="9">
        <v>0</v>
      </c>
      <c r="F70" s="9">
        <v>2.6</v>
      </c>
      <c r="G70" s="15">
        <f t="shared" si="10"/>
        <v>29.410385555555557</v>
      </c>
      <c r="I70" s="34" t="s">
        <v>88</v>
      </c>
      <c r="J70" s="9">
        <v>11.4</v>
      </c>
      <c r="K70" s="9">
        <v>11.24</v>
      </c>
      <c r="L70" s="9">
        <v>4.1100000000000003</v>
      </c>
      <c r="M70" s="9">
        <v>0</v>
      </c>
      <c r="N70" s="9">
        <v>2.6</v>
      </c>
      <c r="O70" s="15">
        <f t="shared" si="11"/>
        <v>34.496385555555555</v>
      </c>
    </row>
    <row r="71" spans="1:15" x14ac:dyDescent="0.25">
      <c r="A71" s="34" t="s">
        <v>68</v>
      </c>
      <c r="B71" s="9">
        <v>11.4</v>
      </c>
      <c r="C71" s="9">
        <v>10.53</v>
      </c>
      <c r="D71" s="9">
        <v>2.69</v>
      </c>
      <c r="E71" s="9">
        <v>5.7</v>
      </c>
      <c r="F71" s="9">
        <v>3.3</v>
      </c>
      <c r="G71" s="15">
        <f t="shared" si="10"/>
        <v>40.425581666666666</v>
      </c>
      <c r="I71" s="34" t="s">
        <v>68</v>
      </c>
      <c r="J71" s="9">
        <v>11.4</v>
      </c>
      <c r="K71" s="9">
        <v>15.3</v>
      </c>
      <c r="L71" s="9">
        <v>4.79</v>
      </c>
      <c r="M71" s="9">
        <v>5.7</v>
      </c>
      <c r="N71" s="9">
        <v>3.3</v>
      </c>
      <c r="O71" s="15">
        <f t="shared" si="11"/>
        <v>46.977581666666673</v>
      </c>
    </row>
    <row r="72" spans="1:15" x14ac:dyDescent="0.25">
      <c r="A72" s="34" t="s">
        <v>56</v>
      </c>
      <c r="B72" s="9">
        <v>11.4</v>
      </c>
      <c r="C72" s="9">
        <v>12.03</v>
      </c>
      <c r="D72" s="9">
        <v>3.07</v>
      </c>
      <c r="E72" s="9">
        <v>5.7</v>
      </c>
      <c r="F72" s="9">
        <v>4.5</v>
      </c>
      <c r="G72" s="15">
        <f t="shared" si="10"/>
        <v>46.077575000000003</v>
      </c>
      <c r="I72" s="34" t="s">
        <v>56</v>
      </c>
      <c r="J72" s="9">
        <v>11.4</v>
      </c>
      <c r="K72" s="9">
        <v>17.489999999999998</v>
      </c>
      <c r="L72" s="9">
        <v>5.48</v>
      </c>
      <c r="M72" s="9">
        <v>5.7</v>
      </c>
      <c r="N72" s="9">
        <v>4.5</v>
      </c>
      <c r="O72" s="15">
        <f t="shared" si="11"/>
        <v>53.583574999999996</v>
      </c>
    </row>
    <row r="73" spans="1:15" x14ac:dyDescent="0.25">
      <c r="A73" s="34" t="s">
        <v>89</v>
      </c>
      <c r="B73" s="9">
        <v>11.4</v>
      </c>
      <c r="C73" s="9">
        <v>15.04</v>
      </c>
      <c r="D73" s="9">
        <v>3.84</v>
      </c>
      <c r="E73" s="9">
        <v>5.7</v>
      </c>
      <c r="F73" s="9">
        <v>5.7</v>
      </c>
      <c r="G73" s="15">
        <f t="shared" si="10"/>
        <v>53.528901666666663</v>
      </c>
      <c r="I73" s="34" t="s">
        <v>89</v>
      </c>
      <c r="J73" s="9">
        <v>11.4</v>
      </c>
      <c r="K73" s="9">
        <v>21.86</v>
      </c>
      <c r="L73" s="9">
        <v>6.85</v>
      </c>
      <c r="M73" s="9">
        <v>5.7</v>
      </c>
      <c r="N73" s="9">
        <v>5.7</v>
      </c>
      <c r="O73" s="15">
        <f t="shared" si="11"/>
        <v>62.904235</v>
      </c>
    </row>
    <row r="76" spans="1:15" ht="18.75" x14ac:dyDescent="0.3">
      <c r="A76" s="303" t="s">
        <v>307</v>
      </c>
      <c r="B76" s="303"/>
      <c r="C76" s="303"/>
      <c r="D76" s="303"/>
      <c r="E76" s="303"/>
      <c r="F76" s="303"/>
      <c r="G76" s="303"/>
      <c r="I76" s="303" t="s">
        <v>308</v>
      </c>
      <c r="J76" s="303"/>
      <c r="K76" s="303"/>
      <c r="L76" s="303"/>
      <c r="M76" s="303"/>
      <c r="N76" s="303"/>
      <c r="O76" s="303"/>
    </row>
    <row r="77" spans="1:15" ht="6" customHeight="1" x14ac:dyDescent="0.25">
      <c r="J77" s="1"/>
      <c r="K77" s="1"/>
      <c r="L77" s="1"/>
      <c r="M77" s="1"/>
      <c r="N77" s="1"/>
      <c r="O77" s="1"/>
    </row>
    <row r="78" spans="1:15" x14ac:dyDescent="0.25">
      <c r="A78" s="290" t="s">
        <v>69</v>
      </c>
      <c r="B78" s="290"/>
      <c r="C78" s="290"/>
      <c r="D78" s="290"/>
      <c r="E78" s="290"/>
      <c r="F78" s="290"/>
      <c r="G78" s="290"/>
      <c r="I78" s="290" t="s">
        <v>69</v>
      </c>
      <c r="J78" s="290"/>
      <c r="K78" s="290"/>
      <c r="L78" s="290"/>
      <c r="M78" s="290"/>
      <c r="N78" s="290"/>
      <c r="O78" s="290"/>
    </row>
    <row r="79" spans="1:15" x14ac:dyDescent="0.25">
      <c r="A79" s="304" t="s">
        <v>83</v>
      </c>
      <c r="B79" s="4" t="s">
        <v>302</v>
      </c>
      <c r="C79" s="4" t="s">
        <v>293</v>
      </c>
      <c r="D79" s="4" t="s">
        <v>294</v>
      </c>
      <c r="E79" s="4" t="s">
        <v>295</v>
      </c>
      <c r="F79" s="4" t="s">
        <v>296</v>
      </c>
      <c r="G79" s="4" t="s">
        <v>297</v>
      </c>
      <c r="I79" s="304" t="s">
        <v>83</v>
      </c>
      <c r="J79" s="4" t="s">
        <v>302</v>
      </c>
      <c r="K79" s="4" t="s">
        <v>298</v>
      </c>
      <c r="L79" s="4" t="s">
        <v>299</v>
      </c>
      <c r="M79" s="4" t="s">
        <v>295</v>
      </c>
      <c r="N79" s="4" t="s">
        <v>296</v>
      </c>
      <c r="O79" s="4" t="s">
        <v>297</v>
      </c>
    </row>
    <row r="80" spans="1:15" x14ac:dyDescent="0.25">
      <c r="A80" s="304"/>
      <c r="B80" s="5">
        <v>12.16</v>
      </c>
      <c r="C80" s="30">
        <v>14</v>
      </c>
      <c r="D80" s="30">
        <v>15</v>
      </c>
      <c r="E80" s="5">
        <v>12.16</v>
      </c>
      <c r="F80" s="7">
        <f>'Labour Rate'!$C$7</f>
        <v>48.39991666666667</v>
      </c>
      <c r="G80" s="4">
        <v>15</v>
      </c>
      <c r="I80" s="304"/>
      <c r="J80" s="5">
        <v>12.16</v>
      </c>
      <c r="K80" s="30">
        <v>14</v>
      </c>
      <c r="L80" s="30">
        <v>15</v>
      </c>
      <c r="M80" s="5">
        <v>12.16</v>
      </c>
      <c r="N80" s="7">
        <f>'Labour Rate'!$C$7</f>
        <v>48.39991666666667</v>
      </c>
      <c r="O80" s="4">
        <v>15</v>
      </c>
    </row>
    <row r="81" spans="1:15" x14ac:dyDescent="0.25">
      <c r="A81" s="34" t="s">
        <v>16</v>
      </c>
      <c r="B81" s="9">
        <v>11.4</v>
      </c>
      <c r="C81" s="178">
        <v>5.41</v>
      </c>
      <c r="D81" s="9">
        <v>1.97</v>
      </c>
      <c r="E81" s="9">
        <v>0</v>
      </c>
      <c r="F81" s="9">
        <v>3.1</v>
      </c>
      <c r="G81" s="15">
        <f>(($B$80*B81)+($C$80*C81)+($D$80*D81)+($E$80*E81)+($F$80*F81))/$G$80</f>
        <v>26.263582777777781</v>
      </c>
      <c r="I81" s="34" t="s">
        <v>16</v>
      </c>
      <c r="J81" s="9">
        <v>11.4</v>
      </c>
      <c r="K81" s="9">
        <v>7.87</v>
      </c>
      <c r="L81" s="9">
        <v>3.52</v>
      </c>
      <c r="M81" s="9">
        <v>0</v>
      </c>
      <c r="N81" s="9">
        <v>3.1</v>
      </c>
      <c r="O81" s="15">
        <f>(($J$80*J81)+($K$80*K81)+($L$80*L81)+($M$80*M81)+($N$80*N81))/$O$80</f>
        <v>30.109582777777778</v>
      </c>
    </row>
    <row r="82" spans="1:15" x14ac:dyDescent="0.25">
      <c r="A82" s="34" t="s">
        <v>70</v>
      </c>
      <c r="B82" s="9">
        <v>11.4</v>
      </c>
      <c r="C82" s="178">
        <v>6.77</v>
      </c>
      <c r="D82" s="9">
        <v>1.97</v>
      </c>
      <c r="E82" s="9">
        <v>0</v>
      </c>
      <c r="F82" s="9">
        <v>3.1</v>
      </c>
      <c r="G82" s="15">
        <f t="shared" ref="G82:G87" si="12">(($B$80*B82)+($C$80*C82)+($D$80*D82)+($E$80*E82)+($F$80*F82))/$G$80</f>
        <v>27.53291611111111</v>
      </c>
      <c r="I82" s="34" t="s">
        <v>70</v>
      </c>
      <c r="J82" s="9">
        <v>11.4</v>
      </c>
      <c r="K82" s="9">
        <v>9.84</v>
      </c>
      <c r="L82" s="9">
        <v>3.52</v>
      </c>
      <c r="M82" s="9">
        <v>0</v>
      </c>
      <c r="N82" s="9">
        <v>3.1</v>
      </c>
      <c r="O82" s="15">
        <f t="shared" ref="O82:O87" si="13">(($J$80*J82)+($K$80*K82)+($L$80*L82)+($M$80*M82)+($N$80*N82))/$O$80</f>
        <v>31.948249444444446</v>
      </c>
    </row>
    <row r="83" spans="1:15" x14ac:dyDescent="0.25">
      <c r="A83" s="34" t="s">
        <v>87</v>
      </c>
      <c r="B83" s="9">
        <v>11.4</v>
      </c>
      <c r="C83" s="178">
        <v>6.77</v>
      </c>
      <c r="D83" s="9">
        <v>2.2999999999999998</v>
      </c>
      <c r="E83" s="9">
        <v>0</v>
      </c>
      <c r="F83" s="9">
        <v>3.1</v>
      </c>
      <c r="G83" s="15">
        <f t="shared" si="12"/>
        <v>27.862916111111115</v>
      </c>
      <c r="I83" s="34" t="s">
        <v>87</v>
      </c>
      <c r="J83" s="9">
        <v>11.4</v>
      </c>
      <c r="K83" s="9">
        <v>9.84</v>
      </c>
      <c r="L83" s="9">
        <v>4.1100000000000003</v>
      </c>
      <c r="M83" s="9">
        <v>0</v>
      </c>
      <c r="N83" s="9">
        <v>3.1</v>
      </c>
      <c r="O83" s="15">
        <f t="shared" si="13"/>
        <v>32.538249444444446</v>
      </c>
    </row>
    <row r="84" spans="1:15" x14ac:dyDescent="0.25">
      <c r="A84" s="34" t="s">
        <v>88</v>
      </c>
      <c r="B84" s="9">
        <v>11.4</v>
      </c>
      <c r="C84" s="179">
        <v>6.77</v>
      </c>
      <c r="D84" s="9">
        <v>2.2999999999999998</v>
      </c>
      <c r="E84" s="9">
        <v>0</v>
      </c>
      <c r="F84" s="9">
        <v>3.1</v>
      </c>
      <c r="G84" s="15">
        <f t="shared" si="12"/>
        <v>27.862916111111115</v>
      </c>
      <c r="I84" s="34" t="s">
        <v>88</v>
      </c>
      <c r="J84" s="9">
        <v>11.4</v>
      </c>
      <c r="K84" s="10">
        <v>9.84</v>
      </c>
      <c r="L84" s="9">
        <v>4.1100000000000003</v>
      </c>
      <c r="M84" s="9">
        <v>0</v>
      </c>
      <c r="N84" s="9">
        <v>3.1</v>
      </c>
      <c r="O84" s="15">
        <f t="shared" si="13"/>
        <v>32.538249444444446</v>
      </c>
    </row>
    <row r="85" spans="1:15" x14ac:dyDescent="0.25">
      <c r="A85" s="34" t="s">
        <v>68</v>
      </c>
      <c r="B85" s="9">
        <v>11.4</v>
      </c>
      <c r="C85" s="178">
        <v>7.89</v>
      </c>
      <c r="D85" s="9">
        <v>2.69</v>
      </c>
      <c r="E85" s="9">
        <v>5.7</v>
      </c>
      <c r="F85" s="9">
        <v>3.8</v>
      </c>
      <c r="G85" s="15">
        <f t="shared" si="12"/>
        <v>36.177712222222226</v>
      </c>
      <c r="I85" s="34" t="s">
        <v>68</v>
      </c>
      <c r="J85" s="9">
        <v>11.4</v>
      </c>
      <c r="K85" s="9">
        <v>11.48</v>
      </c>
      <c r="L85" s="9">
        <v>4.79</v>
      </c>
      <c r="M85" s="9">
        <v>5.7</v>
      </c>
      <c r="N85" s="9">
        <v>3.8</v>
      </c>
      <c r="O85" s="15">
        <f t="shared" si="13"/>
        <v>41.628378888888882</v>
      </c>
    </row>
    <row r="86" spans="1:15" x14ac:dyDescent="0.25">
      <c r="A86" s="34" t="s">
        <v>56</v>
      </c>
      <c r="B86" s="9">
        <v>11.4</v>
      </c>
      <c r="C86" s="178">
        <v>9.02</v>
      </c>
      <c r="D86" s="9">
        <v>3.07</v>
      </c>
      <c r="E86" s="9">
        <v>5.7</v>
      </c>
      <c r="F86" s="9">
        <v>5</v>
      </c>
      <c r="G86" s="15">
        <f t="shared" si="12"/>
        <v>41.48437222222222</v>
      </c>
      <c r="I86" s="34" t="s">
        <v>56</v>
      </c>
      <c r="J86" s="9">
        <v>11.4</v>
      </c>
      <c r="K86" s="9">
        <v>13.12</v>
      </c>
      <c r="L86" s="9">
        <v>5.48</v>
      </c>
      <c r="M86" s="9">
        <v>5.7</v>
      </c>
      <c r="N86" s="9">
        <v>5</v>
      </c>
      <c r="O86" s="15">
        <f t="shared" si="13"/>
        <v>47.721038888888884</v>
      </c>
    </row>
    <row r="87" spans="1:15" x14ac:dyDescent="0.25">
      <c r="A87" s="34" t="s">
        <v>89</v>
      </c>
      <c r="B87" s="9">
        <v>11.4</v>
      </c>
      <c r="C87" s="178">
        <v>11.28</v>
      </c>
      <c r="D87" s="9">
        <v>3.84</v>
      </c>
      <c r="E87" s="9">
        <v>5.7</v>
      </c>
      <c r="F87" s="9">
        <v>6.2</v>
      </c>
      <c r="G87" s="15">
        <f t="shared" si="12"/>
        <v>48.235698888888891</v>
      </c>
      <c r="I87" s="34" t="s">
        <v>89</v>
      </c>
      <c r="J87" s="9">
        <v>11.4</v>
      </c>
      <c r="K87" s="9">
        <v>16.399999999999999</v>
      </c>
      <c r="L87" s="9">
        <v>6.85</v>
      </c>
      <c r="M87" s="9">
        <v>5.7</v>
      </c>
      <c r="N87" s="9">
        <v>6.2</v>
      </c>
      <c r="O87" s="15">
        <f t="shared" si="13"/>
        <v>56.024365555555548</v>
      </c>
    </row>
    <row r="88" spans="1:15" ht="6" customHeight="1" x14ac:dyDescent="0.25">
      <c r="J88" s="1"/>
      <c r="K88" s="1"/>
      <c r="L88" s="1"/>
      <c r="M88" s="1"/>
      <c r="N88" s="1"/>
      <c r="O88" s="1"/>
    </row>
    <row r="89" spans="1:15" x14ac:dyDescent="0.25">
      <c r="A89" s="290" t="s">
        <v>67</v>
      </c>
      <c r="B89" s="290"/>
      <c r="C89" s="290"/>
      <c r="D89" s="290"/>
      <c r="E89" s="290"/>
      <c r="F89" s="290"/>
      <c r="G89" s="290"/>
      <c r="I89" s="290" t="s">
        <v>67</v>
      </c>
      <c r="J89" s="290"/>
      <c r="K89" s="290"/>
      <c r="L89" s="290"/>
      <c r="M89" s="290"/>
      <c r="N89" s="290"/>
      <c r="O89" s="290"/>
    </row>
    <row r="90" spans="1:15" x14ac:dyDescent="0.25">
      <c r="A90" s="304" t="s">
        <v>83</v>
      </c>
      <c r="B90" s="4" t="s">
        <v>302</v>
      </c>
      <c r="C90" s="4" t="s">
        <v>293</v>
      </c>
      <c r="D90" s="4" t="s">
        <v>294</v>
      </c>
      <c r="E90" s="4" t="s">
        <v>295</v>
      </c>
      <c r="F90" s="4" t="s">
        <v>296</v>
      </c>
      <c r="G90" s="4" t="s">
        <v>297</v>
      </c>
      <c r="I90" s="304" t="s">
        <v>83</v>
      </c>
      <c r="J90" s="4" t="s">
        <v>302</v>
      </c>
      <c r="K90" s="4" t="s">
        <v>298</v>
      </c>
      <c r="L90" s="4" t="s">
        <v>299</v>
      </c>
      <c r="M90" s="4" t="s">
        <v>295</v>
      </c>
      <c r="N90" s="4" t="s">
        <v>296</v>
      </c>
      <c r="O90" s="4" t="s">
        <v>297</v>
      </c>
    </row>
    <row r="91" spans="1:15" x14ac:dyDescent="0.25">
      <c r="A91" s="304"/>
      <c r="B91" s="5">
        <v>12.16</v>
      </c>
      <c r="C91" s="30">
        <v>14</v>
      </c>
      <c r="D91" s="30">
        <v>15</v>
      </c>
      <c r="E91" s="5">
        <v>12.16</v>
      </c>
      <c r="F91" s="7">
        <f>'Labour Rate'!$C$7</f>
        <v>48.39991666666667</v>
      </c>
      <c r="G91" s="4">
        <v>15</v>
      </c>
      <c r="I91" s="304"/>
      <c r="J91" s="5">
        <v>12.16</v>
      </c>
      <c r="K91" s="30">
        <v>14</v>
      </c>
      <c r="L91" s="30">
        <v>15</v>
      </c>
      <c r="M91" s="5">
        <v>12.16</v>
      </c>
      <c r="N91" s="7">
        <f>'Labour Rate'!$C$7</f>
        <v>48.39991666666667</v>
      </c>
      <c r="O91" s="4">
        <v>15</v>
      </c>
    </row>
    <row r="92" spans="1:15" x14ac:dyDescent="0.25">
      <c r="A92" s="34" t="s">
        <v>16</v>
      </c>
      <c r="B92" s="9">
        <v>11.4</v>
      </c>
      <c r="C92" s="9">
        <v>7.73</v>
      </c>
      <c r="D92" s="9">
        <v>1.97</v>
      </c>
      <c r="E92" s="9">
        <v>0</v>
      </c>
      <c r="F92" s="9">
        <v>3.1</v>
      </c>
      <c r="G92" s="15">
        <f>(($B$91*B92)+($C$91*C92)+($D$91*D92)+($E$91*E92)+($F$91*F92))/$G$91</f>
        <v>28.428916111111114</v>
      </c>
      <c r="I92" s="34" t="s">
        <v>16</v>
      </c>
      <c r="J92" s="9">
        <v>11.4</v>
      </c>
      <c r="K92" s="9">
        <v>11.24</v>
      </c>
      <c r="L92" s="9">
        <v>3.52</v>
      </c>
      <c r="M92" s="9">
        <v>0</v>
      </c>
      <c r="N92" s="9">
        <v>3.1</v>
      </c>
      <c r="O92" s="15">
        <f>(($J$91*J92)+($K$91*K92)+($L$91*L92)+($M$91*M92)+($N$91*N92))/$O$91</f>
        <v>33.254916111111115</v>
      </c>
    </row>
    <row r="93" spans="1:15" x14ac:dyDescent="0.25">
      <c r="A93" s="34" t="s">
        <v>70</v>
      </c>
      <c r="B93" s="9">
        <v>11.4</v>
      </c>
      <c r="C93" s="9">
        <v>7.73</v>
      </c>
      <c r="D93" s="9">
        <v>1.97</v>
      </c>
      <c r="E93" s="9">
        <v>0</v>
      </c>
      <c r="F93" s="9">
        <v>3.1</v>
      </c>
      <c r="G93" s="15">
        <f t="shared" ref="G93:G98" si="14">(($B$91*B93)+($C$91*C93)+($D$91*D93)+($E$91*E93)+($F$91*F93))/$G$91</f>
        <v>28.428916111111114</v>
      </c>
      <c r="I93" s="34" t="s">
        <v>70</v>
      </c>
      <c r="J93" s="9">
        <v>11.4</v>
      </c>
      <c r="K93" s="9">
        <v>11.24</v>
      </c>
      <c r="L93" s="9">
        <v>3.52</v>
      </c>
      <c r="M93" s="9">
        <v>0</v>
      </c>
      <c r="N93" s="9">
        <v>3.1</v>
      </c>
      <c r="O93" s="15">
        <f t="shared" ref="O93:O98" si="15">(($J$91*J93)+($K$91*K93)+($L$91*L93)+($M$91*M93)+($N$91*N93))/$O$91</f>
        <v>33.254916111111115</v>
      </c>
    </row>
    <row r="94" spans="1:15" x14ac:dyDescent="0.25">
      <c r="A94" s="34" t="s">
        <v>87</v>
      </c>
      <c r="B94" s="9">
        <v>11.4</v>
      </c>
      <c r="C94" s="9">
        <v>7.73</v>
      </c>
      <c r="D94" s="9">
        <v>2.2999999999999998</v>
      </c>
      <c r="E94" s="9">
        <v>0</v>
      </c>
      <c r="F94" s="9">
        <v>3.1</v>
      </c>
      <c r="G94" s="15">
        <f t="shared" si="14"/>
        <v>28.758916111111109</v>
      </c>
      <c r="I94" s="34" t="s">
        <v>87</v>
      </c>
      <c r="J94" s="9">
        <v>11.4</v>
      </c>
      <c r="K94" s="9">
        <v>11.24</v>
      </c>
      <c r="L94" s="9">
        <v>4.1100000000000003</v>
      </c>
      <c r="M94" s="9">
        <v>0</v>
      </c>
      <c r="N94" s="9">
        <v>3.1</v>
      </c>
      <c r="O94" s="15">
        <f t="shared" si="15"/>
        <v>33.844916111111118</v>
      </c>
    </row>
    <row r="95" spans="1:15" x14ac:dyDescent="0.25">
      <c r="A95" s="34" t="s">
        <v>88</v>
      </c>
      <c r="B95" s="9">
        <v>11.4</v>
      </c>
      <c r="C95" s="9">
        <v>7.73</v>
      </c>
      <c r="D95" s="9">
        <v>2.2999999999999998</v>
      </c>
      <c r="E95" s="9">
        <v>0</v>
      </c>
      <c r="F95" s="9">
        <v>3.1</v>
      </c>
      <c r="G95" s="15">
        <f t="shared" si="14"/>
        <v>28.758916111111109</v>
      </c>
      <c r="I95" s="34" t="s">
        <v>88</v>
      </c>
      <c r="J95" s="9">
        <v>11.4</v>
      </c>
      <c r="K95" s="9">
        <v>11.24</v>
      </c>
      <c r="L95" s="9">
        <v>4.1100000000000003</v>
      </c>
      <c r="M95" s="9">
        <v>0</v>
      </c>
      <c r="N95" s="9">
        <v>3.1</v>
      </c>
      <c r="O95" s="15">
        <f t="shared" si="15"/>
        <v>33.844916111111118</v>
      </c>
    </row>
    <row r="96" spans="1:15" x14ac:dyDescent="0.25">
      <c r="A96" s="34" t="s">
        <v>68</v>
      </c>
      <c r="B96" s="9">
        <v>11.4</v>
      </c>
      <c r="C96" s="9">
        <v>10.53</v>
      </c>
      <c r="D96" s="9">
        <v>2.69</v>
      </c>
      <c r="E96" s="9">
        <v>5.7</v>
      </c>
      <c r="F96" s="9">
        <v>3.8</v>
      </c>
      <c r="G96" s="15">
        <f t="shared" si="14"/>
        <v>38.641712222222218</v>
      </c>
      <c r="I96" s="34" t="s">
        <v>68</v>
      </c>
      <c r="J96" s="9">
        <v>11.4</v>
      </c>
      <c r="K96" s="9">
        <v>15.3</v>
      </c>
      <c r="L96" s="9">
        <v>4.79</v>
      </c>
      <c r="M96" s="9">
        <v>5.7</v>
      </c>
      <c r="N96" s="9">
        <v>3.8</v>
      </c>
      <c r="O96" s="15">
        <f t="shared" si="15"/>
        <v>45.193712222222217</v>
      </c>
    </row>
    <row r="97" spans="1:15" x14ac:dyDescent="0.25">
      <c r="A97" s="34" t="s">
        <v>56</v>
      </c>
      <c r="B97" s="9">
        <v>11.4</v>
      </c>
      <c r="C97" s="9">
        <v>12.03</v>
      </c>
      <c r="D97" s="9">
        <v>3.07</v>
      </c>
      <c r="E97" s="9">
        <v>5.7</v>
      </c>
      <c r="F97" s="9">
        <v>5</v>
      </c>
      <c r="G97" s="15">
        <f t="shared" si="14"/>
        <v>44.293705555555562</v>
      </c>
      <c r="I97" s="34" t="s">
        <v>56</v>
      </c>
      <c r="J97" s="9">
        <v>11.4</v>
      </c>
      <c r="K97" s="9">
        <v>17.489999999999998</v>
      </c>
      <c r="L97" s="9">
        <v>5.48</v>
      </c>
      <c r="M97" s="9">
        <v>5.7</v>
      </c>
      <c r="N97" s="9">
        <v>5</v>
      </c>
      <c r="O97" s="15">
        <f t="shared" si="15"/>
        <v>51.799705555555555</v>
      </c>
    </row>
    <row r="98" spans="1:15" x14ac:dyDescent="0.25">
      <c r="A98" s="34" t="s">
        <v>89</v>
      </c>
      <c r="B98" s="9">
        <v>11.4</v>
      </c>
      <c r="C98" s="9">
        <v>15.04</v>
      </c>
      <c r="D98" s="9">
        <v>3.84</v>
      </c>
      <c r="E98" s="9">
        <v>5.7</v>
      </c>
      <c r="F98" s="9">
        <v>6.2</v>
      </c>
      <c r="G98" s="15">
        <f t="shared" si="14"/>
        <v>51.745032222222228</v>
      </c>
      <c r="I98" s="34" t="s">
        <v>89</v>
      </c>
      <c r="J98" s="9">
        <v>11.4</v>
      </c>
      <c r="K98" s="9">
        <v>21.86</v>
      </c>
      <c r="L98" s="9">
        <v>6.85</v>
      </c>
      <c r="M98" s="9">
        <v>5.7</v>
      </c>
      <c r="N98" s="9">
        <v>6.2</v>
      </c>
      <c r="O98" s="15">
        <f t="shared" si="15"/>
        <v>61.120365555555551</v>
      </c>
    </row>
    <row r="101" spans="1:15" ht="18.75" x14ac:dyDescent="0.3">
      <c r="A101" s="303" t="s">
        <v>309</v>
      </c>
      <c r="B101" s="303"/>
      <c r="C101" s="303"/>
      <c r="D101" s="303"/>
      <c r="E101" s="303"/>
      <c r="F101" s="303"/>
      <c r="G101" s="303"/>
      <c r="I101" s="303" t="s">
        <v>310</v>
      </c>
      <c r="J101" s="303"/>
      <c r="K101" s="303"/>
      <c r="L101" s="303"/>
      <c r="M101" s="303"/>
      <c r="N101" s="303"/>
      <c r="O101" s="303"/>
    </row>
    <row r="102" spans="1:15" ht="6" customHeight="1" x14ac:dyDescent="0.25">
      <c r="J102" s="1"/>
      <c r="K102" s="1"/>
      <c r="L102" s="1"/>
      <c r="M102" s="1"/>
      <c r="N102" s="1"/>
      <c r="O102" s="1"/>
    </row>
    <row r="103" spans="1:15" x14ac:dyDescent="0.25">
      <c r="A103" s="290" t="s">
        <v>69</v>
      </c>
      <c r="B103" s="290"/>
      <c r="C103" s="290"/>
      <c r="D103" s="290"/>
      <c r="E103" s="290"/>
      <c r="F103" s="290"/>
      <c r="G103" s="290"/>
      <c r="I103" s="290" t="s">
        <v>69</v>
      </c>
      <c r="J103" s="290"/>
      <c r="K103" s="290"/>
      <c r="L103" s="290"/>
      <c r="M103" s="290"/>
      <c r="N103" s="290"/>
      <c r="O103" s="290"/>
    </row>
    <row r="104" spans="1:15" x14ac:dyDescent="0.25">
      <c r="A104" s="304" t="s">
        <v>83</v>
      </c>
      <c r="B104" s="4" t="s">
        <v>305</v>
      </c>
      <c r="C104" s="4" t="s">
        <v>293</v>
      </c>
      <c r="D104" s="4" t="s">
        <v>294</v>
      </c>
      <c r="E104" s="4" t="s">
        <v>306</v>
      </c>
      <c r="F104" s="4" t="s">
        <v>296</v>
      </c>
      <c r="G104" s="4" t="s">
        <v>297</v>
      </c>
      <c r="I104" s="304" t="s">
        <v>83</v>
      </c>
      <c r="J104" s="4" t="s">
        <v>305</v>
      </c>
      <c r="K104" s="4" t="s">
        <v>298</v>
      </c>
      <c r="L104" s="4" t="s">
        <v>299</v>
      </c>
      <c r="M104" s="4" t="s">
        <v>306</v>
      </c>
      <c r="N104" s="4" t="s">
        <v>296</v>
      </c>
      <c r="O104" s="4" t="s">
        <v>297</v>
      </c>
    </row>
    <row r="105" spans="1:15" x14ac:dyDescent="0.25">
      <c r="A105" s="304"/>
      <c r="B105" s="5">
        <v>15.14</v>
      </c>
      <c r="C105" s="30">
        <v>14</v>
      </c>
      <c r="D105" s="30">
        <v>15</v>
      </c>
      <c r="E105" s="5">
        <v>15.14</v>
      </c>
      <c r="F105" s="7">
        <f>'Labour Rate'!$C$7</f>
        <v>48.39991666666667</v>
      </c>
      <c r="G105" s="4">
        <v>15</v>
      </c>
      <c r="I105" s="304"/>
      <c r="J105" s="5">
        <v>15.14</v>
      </c>
      <c r="K105" s="30">
        <v>14</v>
      </c>
      <c r="L105" s="30">
        <v>15</v>
      </c>
      <c r="M105" s="5">
        <v>15.14</v>
      </c>
      <c r="N105" s="7">
        <f>'Labour Rate'!$C$7</f>
        <v>48.39991666666667</v>
      </c>
      <c r="O105" s="4">
        <v>15</v>
      </c>
    </row>
    <row r="106" spans="1:15" x14ac:dyDescent="0.25">
      <c r="A106" s="34" t="s">
        <v>16</v>
      </c>
      <c r="B106" s="9">
        <v>11.4</v>
      </c>
      <c r="C106" s="178">
        <v>5.41</v>
      </c>
      <c r="D106" s="9">
        <v>1.97</v>
      </c>
      <c r="E106" s="9">
        <v>0</v>
      </c>
      <c r="F106" s="9">
        <v>3.1</v>
      </c>
      <c r="G106" s="15">
        <f>(($B$105*B106)+($C$105*C106)+($D$105*D106)+($E$105*E106)+($F$105*F106))/$G$105</f>
        <v>28.528382777777779</v>
      </c>
      <c r="I106" s="34" t="s">
        <v>16</v>
      </c>
      <c r="J106" s="9">
        <v>11.4</v>
      </c>
      <c r="K106" s="9">
        <v>7.87</v>
      </c>
      <c r="L106" s="9">
        <v>3.52</v>
      </c>
      <c r="M106" s="9">
        <v>0</v>
      </c>
      <c r="N106" s="9">
        <v>3.1</v>
      </c>
      <c r="O106" s="15">
        <f>(($J$105*J106)+($K$105*K106)+($L$105*L106)+($M$105*M106)+($N$105*N106))/$O$105</f>
        <v>32.374382777777782</v>
      </c>
    </row>
    <row r="107" spans="1:15" x14ac:dyDescent="0.25">
      <c r="A107" s="34" t="s">
        <v>70</v>
      </c>
      <c r="B107" s="9">
        <v>11.4</v>
      </c>
      <c r="C107" s="178">
        <v>6.77</v>
      </c>
      <c r="D107" s="9">
        <v>1.97</v>
      </c>
      <c r="E107" s="9">
        <v>0</v>
      </c>
      <c r="F107" s="9">
        <v>3.1</v>
      </c>
      <c r="G107" s="15">
        <f t="shared" ref="G107:G112" si="16">(($B$105*B107)+($C$105*C107)+($D$105*D107)+($E$105*E107)+($F$105*F107))/$G$105</f>
        <v>29.797716111111111</v>
      </c>
      <c r="I107" s="34" t="s">
        <v>70</v>
      </c>
      <c r="J107" s="9">
        <v>11.4</v>
      </c>
      <c r="K107" s="9">
        <v>9.84</v>
      </c>
      <c r="L107" s="9">
        <v>3.52</v>
      </c>
      <c r="M107" s="9">
        <v>0</v>
      </c>
      <c r="N107" s="9">
        <v>3.1</v>
      </c>
      <c r="O107" s="15">
        <f t="shared" ref="O107:O112" si="17">(($J$105*J107)+($K$105*K107)+($L$105*L107)+($M$105*M107)+($N$105*N107))/$O$105</f>
        <v>34.213049444444444</v>
      </c>
    </row>
    <row r="108" spans="1:15" x14ac:dyDescent="0.25">
      <c r="A108" s="34" t="s">
        <v>87</v>
      </c>
      <c r="B108" s="9">
        <v>11.4</v>
      </c>
      <c r="C108" s="178">
        <v>6.77</v>
      </c>
      <c r="D108" s="9">
        <v>2.2999999999999998</v>
      </c>
      <c r="E108" s="9">
        <v>0</v>
      </c>
      <c r="F108" s="9">
        <v>3.1</v>
      </c>
      <c r="G108" s="15">
        <f t="shared" si="16"/>
        <v>30.127716111111113</v>
      </c>
      <c r="I108" s="34" t="s">
        <v>87</v>
      </c>
      <c r="J108" s="9">
        <v>11.4</v>
      </c>
      <c r="K108" s="9">
        <v>9.84</v>
      </c>
      <c r="L108" s="9">
        <v>4.1100000000000003</v>
      </c>
      <c r="M108" s="9">
        <v>0</v>
      </c>
      <c r="N108" s="9">
        <v>3.1</v>
      </c>
      <c r="O108" s="15">
        <f t="shared" si="17"/>
        <v>34.803049444444447</v>
      </c>
    </row>
    <row r="109" spans="1:15" x14ac:dyDescent="0.25">
      <c r="A109" s="34" t="s">
        <v>88</v>
      </c>
      <c r="B109" s="9">
        <v>11.4</v>
      </c>
      <c r="C109" s="179">
        <v>6.77</v>
      </c>
      <c r="D109" s="9">
        <v>2.2999999999999998</v>
      </c>
      <c r="E109" s="9">
        <v>0</v>
      </c>
      <c r="F109" s="9">
        <v>3.1</v>
      </c>
      <c r="G109" s="15">
        <f t="shared" si="16"/>
        <v>30.127716111111113</v>
      </c>
      <c r="I109" s="34" t="s">
        <v>88</v>
      </c>
      <c r="J109" s="9">
        <v>11.4</v>
      </c>
      <c r="K109" s="10">
        <v>9.84</v>
      </c>
      <c r="L109" s="9">
        <v>4.1100000000000003</v>
      </c>
      <c r="M109" s="9">
        <v>0</v>
      </c>
      <c r="N109" s="9">
        <v>3.1</v>
      </c>
      <c r="O109" s="15">
        <f t="shared" si="17"/>
        <v>34.803049444444447</v>
      </c>
    </row>
    <row r="110" spans="1:15" x14ac:dyDescent="0.25">
      <c r="A110" s="34" t="s">
        <v>68</v>
      </c>
      <c r="B110" s="9">
        <v>11.4</v>
      </c>
      <c r="C110" s="178">
        <v>7.89</v>
      </c>
      <c r="D110" s="9">
        <v>2.69</v>
      </c>
      <c r="E110" s="9">
        <v>5.7</v>
      </c>
      <c r="F110" s="9">
        <v>3.8</v>
      </c>
      <c r="G110" s="15">
        <f t="shared" si="16"/>
        <v>39.574912222222224</v>
      </c>
      <c r="I110" s="34" t="s">
        <v>68</v>
      </c>
      <c r="J110" s="9">
        <v>11.4</v>
      </c>
      <c r="K110" s="9">
        <v>11.48</v>
      </c>
      <c r="L110" s="9">
        <v>4.79</v>
      </c>
      <c r="M110" s="9">
        <v>5.7</v>
      </c>
      <c r="N110" s="9">
        <v>3.8</v>
      </c>
      <c r="O110" s="15">
        <f t="shared" si="17"/>
        <v>45.025578888888887</v>
      </c>
    </row>
    <row r="111" spans="1:15" x14ac:dyDescent="0.25">
      <c r="A111" s="34" t="s">
        <v>56</v>
      </c>
      <c r="B111" s="9">
        <v>11.4</v>
      </c>
      <c r="C111" s="178">
        <v>9.02</v>
      </c>
      <c r="D111" s="9">
        <v>3.07</v>
      </c>
      <c r="E111" s="9">
        <v>5.7</v>
      </c>
      <c r="F111" s="9">
        <v>5</v>
      </c>
      <c r="G111" s="15">
        <f t="shared" si="16"/>
        <v>44.881572222222225</v>
      </c>
      <c r="I111" s="34" t="s">
        <v>56</v>
      </c>
      <c r="J111" s="9">
        <v>11.4</v>
      </c>
      <c r="K111" s="9">
        <v>13.12</v>
      </c>
      <c r="L111" s="9">
        <v>5.48</v>
      </c>
      <c r="M111" s="9">
        <v>5.7</v>
      </c>
      <c r="N111" s="9">
        <v>5</v>
      </c>
      <c r="O111" s="15">
        <f t="shared" si="17"/>
        <v>51.118238888888882</v>
      </c>
    </row>
    <row r="112" spans="1:15" x14ac:dyDescent="0.25">
      <c r="A112" s="34" t="s">
        <v>89</v>
      </c>
      <c r="B112" s="9">
        <v>11.4</v>
      </c>
      <c r="C112" s="178">
        <v>11.28</v>
      </c>
      <c r="D112" s="9">
        <v>3.84</v>
      </c>
      <c r="E112" s="9">
        <v>5.7</v>
      </c>
      <c r="F112" s="9">
        <v>6.2</v>
      </c>
      <c r="G112" s="15">
        <f t="shared" si="16"/>
        <v>51.632898888888896</v>
      </c>
      <c r="I112" s="34" t="s">
        <v>89</v>
      </c>
      <c r="J112" s="9">
        <v>11.4</v>
      </c>
      <c r="K112" s="9">
        <v>16.399999999999999</v>
      </c>
      <c r="L112" s="9">
        <v>6.85</v>
      </c>
      <c r="M112" s="9">
        <v>5.7</v>
      </c>
      <c r="N112" s="9">
        <v>6.2</v>
      </c>
      <c r="O112" s="15">
        <f t="shared" si="17"/>
        <v>59.421565555555553</v>
      </c>
    </row>
    <row r="113" spans="1:15" ht="6" customHeight="1" x14ac:dyDescent="0.25">
      <c r="J113" s="1"/>
      <c r="K113" s="1"/>
      <c r="L113" s="1"/>
      <c r="M113" s="1"/>
      <c r="N113" s="1"/>
      <c r="O113" s="1"/>
    </row>
    <row r="114" spans="1:15" x14ac:dyDescent="0.25">
      <c r="A114" s="290" t="s">
        <v>67</v>
      </c>
      <c r="B114" s="290"/>
      <c r="C114" s="290"/>
      <c r="D114" s="290"/>
      <c r="E114" s="290"/>
      <c r="F114" s="290"/>
      <c r="G114" s="290"/>
      <c r="I114" s="290" t="s">
        <v>67</v>
      </c>
      <c r="J114" s="290"/>
      <c r="K114" s="290"/>
      <c r="L114" s="290"/>
      <c r="M114" s="290"/>
      <c r="N114" s="290"/>
      <c r="O114" s="290"/>
    </row>
    <row r="115" spans="1:15" x14ac:dyDescent="0.25">
      <c r="A115" s="304" t="s">
        <v>83</v>
      </c>
      <c r="B115" s="4" t="s">
        <v>305</v>
      </c>
      <c r="C115" s="4" t="s">
        <v>293</v>
      </c>
      <c r="D115" s="4" t="s">
        <v>294</v>
      </c>
      <c r="E115" s="4" t="s">
        <v>306</v>
      </c>
      <c r="F115" s="4" t="s">
        <v>296</v>
      </c>
      <c r="G115" s="4" t="s">
        <v>297</v>
      </c>
      <c r="I115" s="304" t="s">
        <v>83</v>
      </c>
      <c r="J115" s="4" t="s">
        <v>305</v>
      </c>
      <c r="K115" s="4" t="s">
        <v>298</v>
      </c>
      <c r="L115" s="4" t="s">
        <v>299</v>
      </c>
      <c r="M115" s="4" t="s">
        <v>306</v>
      </c>
      <c r="N115" s="4" t="s">
        <v>296</v>
      </c>
      <c r="O115" s="4" t="s">
        <v>297</v>
      </c>
    </row>
    <row r="116" spans="1:15" x14ac:dyDescent="0.25">
      <c r="A116" s="304"/>
      <c r="B116" s="5">
        <v>15.14</v>
      </c>
      <c r="C116" s="30">
        <v>14</v>
      </c>
      <c r="D116" s="30">
        <v>15</v>
      </c>
      <c r="E116" s="5">
        <v>15.14</v>
      </c>
      <c r="F116" s="7">
        <f>'Labour Rate'!$C$7</f>
        <v>48.39991666666667</v>
      </c>
      <c r="G116" s="4">
        <v>15</v>
      </c>
      <c r="I116" s="304"/>
      <c r="J116" s="5">
        <v>15.14</v>
      </c>
      <c r="K116" s="30">
        <v>14</v>
      </c>
      <c r="L116" s="30">
        <v>15</v>
      </c>
      <c r="M116" s="5">
        <v>15.14</v>
      </c>
      <c r="N116" s="7">
        <f>'Labour Rate'!$C$7</f>
        <v>48.39991666666667</v>
      </c>
      <c r="O116" s="4">
        <v>15</v>
      </c>
    </row>
    <row r="117" spans="1:15" x14ac:dyDescent="0.25">
      <c r="A117" s="34" t="s">
        <v>16</v>
      </c>
      <c r="B117" s="9">
        <v>11.4</v>
      </c>
      <c r="C117" s="9">
        <v>7.73</v>
      </c>
      <c r="D117" s="9">
        <v>1.97</v>
      </c>
      <c r="E117" s="9">
        <v>0</v>
      </c>
      <c r="F117" s="9">
        <v>3.1</v>
      </c>
      <c r="G117" s="15">
        <f>(($B$116*B117)+($C$116*C117)+($D$116*D117)+($E$116*E117)+($F$116*F117))/$G$116</f>
        <v>30.693716111111112</v>
      </c>
      <c r="I117" s="34" t="s">
        <v>16</v>
      </c>
      <c r="J117" s="9">
        <v>11.4</v>
      </c>
      <c r="K117" s="9">
        <v>11.24</v>
      </c>
      <c r="L117" s="9">
        <v>3.52</v>
      </c>
      <c r="M117" s="9">
        <v>0</v>
      </c>
      <c r="N117" s="9">
        <v>3.1</v>
      </c>
      <c r="O117" s="15">
        <f>(($J$116*J117)+($K$116*K117)+($L$116*L117)+($M$116*M117)+($N$116*N117))/$O$116</f>
        <v>35.519716111111116</v>
      </c>
    </row>
    <row r="118" spans="1:15" x14ac:dyDescent="0.25">
      <c r="A118" s="34" t="s">
        <v>70</v>
      </c>
      <c r="B118" s="9">
        <v>11.4</v>
      </c>
      <c r="C118" s="9">
        <v>7.73</v>
      </c>
      <c r="D118" s="9">
        <v>1.97</v>
      </c>
      <c r="E118" s="9">
        <v>0</v>
      </c>
      <c r="F118" s="9">
        <v>3.1</v>
      </c>
      <c r="G118" s="15">
        <f t="shared" ref="G118:G123" si="18">(($B$116*B118)+($C$116*C118)+($D$116*D118)+($E$116*E118)+($F$116*F118))/$G$116</f>
        <v>30.693716111111112</v>
      </c>
      <c r="I118" s="34" t="s">
        <v>70</v>
      </c>
      <c r="J118" s="9">
        <v>11.4</v>
      </c>
      <c r="K118" s="9">
        <v>11.24</v>
      </c>
      <c r="L118" s="9">
        <v>3.52</v>
      </c>
      <c r="M118" s="9">
        <v>0</v>
      </c>
      <c r="N118" s="9">
        <v>3.1</v>
      </c>
      <c r="O118" s="15">
        <f t="shared" ref="O118:O123" si="19">(($J$116*J118)+($K$116*K118)+($L$116*L118)+($M$116*M118)+($N$116*N118))/$O$116</f>
        <v>35.519716111111116</v>
      </c>
    </row>
    <row r="119" spans="1:15" x14ac:dyDescent="0.25">
      <c r="A119" s="34" t="s">
        <v>87</v>
      </c>
      <c r="B119" s="9">
        <v>11.4</v>
      </c>
      <c r="C119" s="9">
        <v>7.73</v>
      </c>
      <c r="D119" s="9">
        <v>2.2999999999999998</v>
      </c>
      <c r="E119" s="9">
        <v>0</v>
      </c>
      <c r="F119" s="9">
        <v>3.1</v>
      </c>
      <c r="G119" s="15">
        <f t="shared" si="18"/>
        <v>31.023716111111117</v>
      </c>
      <c r="I119" s="34" t="s">
        <v>87</v>
      </c>
      <c r="J119" s="9">
        <v>11.4</v>
      </c>
      <c r="K119" s="9">
        <v>11.24</v>
      </c>
      <c r="L119" s="9">
        <v>4.1100000000000003</v>
      </c>
      <c r="M119" s="9">
        <v>0</v>
      </c>
      <c r="N119" s="9">
        <v>3.1</v>
      </c>
      <c r="O119" s="15">
        <f t="shared" si="19"/>
        <v>36.109716111111112</v>
      </c>
    </row>
    <row r="120" spans="1:15" x14ac:dyDescent="0.25">
      <c r="A120" s="34" t="s">
        <v>88</v>
      </c>
      <c r="B120" s="9">
        <v>11.4</v>
      </c>
      <c r="C120" s="9">
        <v>7.73</v>
      </c>
      <c r="D120" s="9">
        <v>2.2999999999999998</v>
      </c>
      <c r="E120" s="9">
        <v>0</v>
      </c>
      <c r="F120" s="9">
        <v>3.1</v>
      </c>
      <c r="G120" s="15">
        <f t="shared" si="18"/>
        <v>31.023716111111117</v>
      </c>
      <c r="I120" s="34" t="s">
        <v>88</v>
      </c>
      <c r="J120" s="9">
        <v>11.4</v>
      </c>
      <c r="K120" s="9">
        <v>11.24</v>
      </c>
      <c r="L120" s="9">
        <v>4.1100000000000003</v>
      </c>
      <c r="M120" s="9">
        <v>0</v>
      </c>
      <c r="N120" s="9">
        <v>3.1</v>
      </c>
      <c r="O120" s="15">
        <f t="shared" si="19"/>
        <v>36.109716111111112</v>
      </c>
    </row>
    <row r="121" spans="1:15" x14ac:dyDescent="0.25">
      <c r="A121" s="34" t="s">
        <v>68</v>
      </c>
      <c r="B121" s="9">
        <v>11.4</v>
      </c>
      <c r="C121" s="9">
        <v>10.53</v>
      </c>
      <c r="D121" s="9">
        <v>2.69</v>
      </c>
      <c r="E121" s="9">
        <v>5.7</v>
      </c>
      <c r="F121" s="9">
        <v>3.8</v>
      </c>
      <c r="G121" s="15">
        <f t="shared" si="18"/>
        <v>42.038912222222216</v>
      </c>
      <c r="I121" s="34" t="s">
        <v>68</v>
      </c>
      <c r="J121" s="9">
        <v>11.4</v>
      </c>
      <c r="K121" s="9">
        <v>15.3</v>
      </c>
      <c r="L121" s="9">
        <v>4.79</v>
      </c>
      <c r="M121" s="9">
        <v>5.7</v>
      </c>
      <c r="N121" s="9">
        <v>3.8</v>
      </c>
      <c r="O121" s="15">
        <f t="shared" si="19"/>
        <v>48.590912222222222</v>
      </c>
    </row>
    <row r="122" spans="1:15" x14ac:dyDescent="0.25">
      <c r="A122" s="34" t="s">
        <v>56</v>
      </c>
      <c r="B122" s="9">
        <v>11.4</v>
      </c>
      <c r="C122" s="9">
        <v>12.03</v>
      </c>
      <c r="D122" s="9">
        <v>3.07</v>
      </c>
      <c r="E122" s="9">
        <v>5.7</v>
      </c>
      <c r="F122" s="9">
        <v>5</v>
      </c>
      <c r="G122" s="15">
        <f t="shared" si="18"/>
        <v>47.690905555555553</v>
      </c>
      <c r="I122" s="34" t="s">
        <v>56</v>
      </c>
      <c r="J122" s="9">
        <v>11.4</v>
      </c>
      <c r="K122" s="9">
        <v>17.489999999999998</v>
      </c>
      <c r="L122" s="9">
        <v>5.48</v>
      </c>
      <c r="M122" s="9">
        <v>5.7</v>
      </c>
      <c r="N122" s="9">
        <v>5</v>
      </c>
      <c r="O122" s="15">
        <f t="shared" si="19"/>
        <v>55.196905555555553</v>
      </c>
    </row>
    <row r="123" spans="1:15" x14ac:dyDescent="0.25">
      <c r="A123" s="34" t="s">
        <v>89</v>
      </c>
      <c r="B123" s="9">
        <v>11.4</v>
      </c>
      <c r="C123" s="9">
        <v>15.04</v>
      </c>
      <c r="D123" s="9">
        <v>3.84</v>
      </c>
      <c r="E123" s="9">
        <v>5.7</v>
      </c>
      <c r="F123" s="9">
        <v>6.2</v>
      </c>
      <c r="G123" s="15">
        <f t="shared" si="18"/>
        <v>55.142232222222219</v>
      </c>
      <c r="I123" s="34" t="s">
        <v>89</v>
      </c>
      <c r="J123" s="9">
        <v>11.4</v>
      </c>
      <c r="K123" s="9">
        <v>21.86</v>
      </c>
      <c r="L123" s="9">
        <v>6.85</v>
      </c>
      <c r="M123" s="9">
        <v>5.7</v>
      </c>
      <c r="N123" s="9">
        <v>6.2</v>
      </c>
      <c r="O123" s="15">
        <f t="shared" si="19"/>
        <v>64.517565555555564</v>
      </c>
    </row>
  </sheetData>
  <mergeCells count="50">
    <mergeCell ref="A114:G114"/>
    <mergeCell ref="I114:O114"/>
    <mergeCell ref="A115:A116"/>
    <mergeCell ref="I115:I116"/>
    <mergeCell ref="A101:G101"/>
    <mergeCell ref="I101:O101"/>
    <mergeCell ref="A103:G103"/>
    <mergeCell ref="I103:O103"/>
    <mergeCell ref="A104:A105"/>
    <mergeCell ref="I104:I105"/>
    <mergeCell ref="A89:G89"/>
    <mergeCell ref="I89:O89"/>
    <mergeCell ref="A90:A91"/>
    <mergeCell ref="I90:I91"/>
    <mergeCell ref="A76:G76"/>
    <mergeCell ref="I76:O76"/>
    <mergeCell ref="A78:G78"/>
    <mergeCell ref="I78:O78"/>
    <mergeCell ref="A79:A80"/>
    <mergeCell ref="I79:I80"/>
    <mergeCell ref="A64:G64"/>
    <mergeCell ref="I64:O64"/>
    <mergeCell ref="A65:A66"/>
    <mergeCell ref="I65:I66"/>
    <mergeCell ref="A26:G26"/>
    <mergeCell ref="I26:O26"/>
    <mergeCell ref="A51:G51"/>
    <mergeCell ref="I51:O51"/>
    <mergeCell ref="A40:A41"/>
    <mergeCell ref="I40:I41"/>
    <mergeCell ref="A53:G53"/>
    <mergeCell ref="I53:O53"/>
    <mergeCell ref="A54:A55"/>
    <mergeCell ref="I54:I55"/>
    <mergeCell ref="A28:G28"/>
    <mergeCell ref="I28:O28"/>
    <mergeCell ref="A29:A30"/>
    <mergeCell ref="I29:I30"/>
    <mergeCell ref="A39:G39"/>
    <mergeCell ref="I39:O39"/>
    <mergeCell ref="A4:A5"/>
    <mergeCell ref="A1:G1"/>
    <mergeCell ref="A3:G3"/>
    <mergeCell ref="A14:G14"/>
    <mergeCell ref="A15:A16"/>
    <mergeCell ref="I1:O1"/>
    <mergeCell ref="I3:O3"/>
    <mergeCell ref="I4:I5"/>
    <mergeCell ref="I14:O14"/>
    <mergeCell ref="I15:I16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6EDC-8B97-4039-A601-F690D3FC4E8A}">
  <sheetPr codeName="Sheet18">
    <tabColor rgb="FFFF0000"/>
  </sheetPr>
  <dimension ref="A1:G47"/>
  <sheetViews>
    <sheetView zoomScaleNormal="100" workbookViewId="0">
      <selection activeCell="J43" sqref="J43"/>
    </sheetView>
  </sheetViews>
  <sheetFormatPr defaultRowHeight="15" x14ac:dyDescent="0.25"/>
  <cols>
    <col min="1" max="1" width="7.85546875" bestFit="1" customWidth="1"/>
    <col min="2" max="2" width="27.140625" style="1" bestFit="1" customWidth="1"/>
    <col min="3" max="3" width="26.140625" style="1" bestFit="1" customWidth="1"/>
    <col min="4" max="4" width="25.5703125" style="1" bestFit="1" customWidth="1"/>
    <col min="5" max="5" width="21.85546875" style="1" bestFit="1" customWidth="1"/>
    <col min="6" max="6" width="15.85546875" style="1" bestFit="1" customWidth="1"/>
    <col min="7" max="7" width="31.85546875" style="1" bestFit="1" customWidth="1"/>
  </cols>
  <sheetData>
    <row r="1" spans="1:7" ht="18.75" x14ac:dyDescent="0.3">
      <c r="A1" s="303" t="s">
        <v>311</v>
      </c>
      <c r="B1" s="303"/>
      <c r="C1" s="303"/>
      <c r="D1" s="303"/>
      <c r="E1" s="303"/>
      <c r="F1" s="303"/>
      <c r="G1" s="303"/>
    </row>
    <row r="2" spans="1:7" ht="6" customHeight="1" x14ac:dyDescent="0.25"/>
    <row r="3" spans="1:7" x14ac:dyDescent="0.25">
      <c r="A3" s="290" t="s">
        <v>69</v>
      </c>
      <c r="B3" s="290"/>
      <c r="C3" s="290"/>
      <c r="D3" s="290"/>
      <c r="E3" s="290"/>
      <c r="F3" s="290"/>
      <c r="G3" s="290"/>
    </row>
    <row r="4" spans="1:7" x14ac:dyDescent="0.25">
      <c r="A4" s="304" t="s">
        <v>253</v>
      </c>
      <c r="B4" s="4" t="s">
        <v>312</v>
      </c>
      <c r="C4" s="4" t="s">
        <v>313</v>
      </c>
      <c r="D4" s="4" t="s">
        <v>314</v>
      </c>
      <c r="E4" s="4" t="s">
        <v>315</v>
      </c>
      <c r="F4" s="4" t="s">
        <v>296</v>
      </c>
      <c r="G4" s="4" t="s">
        <v>297</v>
      </c>
    </row>
    <row r="5" spans="1:7" x14ac:dyDescent="0.25">
      <c r="A5" s="304"/>
      <c r="B5" s="5">
        <v>11</v>
      </c>
      <c r="C5" s="30">
        <v>14</v>
      </c>
      <c r="D5" s="30">
        <v>15</v>
      </c>
      <c r="E5" s="5">
        <v>16.87</v>
      </c>
      <c r="F5" s="7">
        <f>'Labour Rate'!$C$7</f>
        <v>48.39991666666667</v>
      </c>
      <c r="G5" s="4">
        <v>15</v>
      </c>
    </row>
    <row r="6" spans="1:7" x14ac:dyDescent="0.25">
      <c r="A6" s="34" t="s">
        <v>16</v>
      </c>
      <c r="B6" s="9">
        <v>11.4</v>
      </c>
      <c r="C6" s="9">
        <v>10.24</v>
      </c>
      <c r="D6" s="9">
        <v>4.09</v>
      </c>
      <c r="E6" s="9">
        <v>0</v>
      </c>
      <c r="F6" s="9">
        <v>2.6</v>
      </c>
      <c r="G6" s="15">
        <f>(($B$5*B6)+($C$5*C6)+($D$5*D6)+($E$5*E6)+($F$5*F6))/$G$5</f>
        <v>30.396652222222222</v>
      </c>
    </row>
    <row r="7" spans="1:7" x14ac:dyDescent="0.25">
      <c r="A7" s="34" t="s">
        <v>70</v>
      </c>
      <c r="B7" s="9">
        <v>11.4</v>
      </c>
      <c r="C7" s="9">
        <v>12.8</v>
      </c>
      <c r="D7" s="9">
        <v>4.09</v>
      </c>
      <c r="E7" s="9">
        <v>0</v>
      </c>
      <c r="F7" s="9">
        <v>2.6</v>
      </c>
      <c r="G7" s="15">
        <f t="shared" ref="G7:G12" si="0">(($B$5*B7)+($C$5*C7)+($D$5*D7)+($E$5*E7)+($F$5*F7))/$G$5</f>
        <v>32.785985555555563</v>
      </c>
    </row>
    <row r="8" spans="1:7" x14ac:dyDescent="0.25">
      <c r="A8" s="34" t="s">
        <v>87</v>
      </c>
      <c r="B8" s="9">
        <v>11.4</v>
      </c>
      <c r="C8" s="9">
        <v>12.8</v>
      </c>
      <c r="D8" s="9">
        <v>4.78</v>
      </c>
      <c r="E8" s="9">
        <v>0</v>
      </c>
      <c r="F8" s="9">
        <v>2.6</v>
      </c>
      <c r="G8" s="15">
        <f t="shared" si="0"/>
        <v>33.47598555555556</v>
      </c>
    </row>
    <row r="9" spans="1:7" x14ac:dyDescent="0.25">
      <c r="A9" s="34" t="s">
        <v>88</v>
      </c>
      <c r="B9" s="9">
        <v>11.4</v>
      </c>
      <c r="C9" s="10">
        <v>12.8</v>
      </c>
      <c r="D9" s="9">
        <v>4.78</v>
      </c>
      <c r="E9" s="9">
        <v>0</v>
      </c>
      <c r="F9" s="9">
        <v>2.6</v>
      </c>
      <c r="G9" s="15">
        <f t="shared" si="0"/>
        <v>33.47598555555556</v>
      </c>
    </row>
    <row r="10" spans="1:7" x14ac:dyDescent="0.25">
      <c r="A10" s="34" t="s">
        <v>68</v>
      </c>
      <c r="B10" s="9">
        <v>11.4</v>
      </c>
      <c r="C10" s="9">
        <v>14.93</v>
      </c>
      <c r="D10" s="9">
        <v>5.57</v>
      </c>
      <c r="E10" s="9">
        <v>5.7</v>
      </c>
      <c r="F10" s="9">
        <v>3.3</v>
      </c>
      <c r="G10" s="15">
        <f t="shared" si="0"/>
        <v>44.923248333333341</v>
      </c>
    </row>
    <row r="11" spans="1:7" x14ac:dyDescent="0.25">
      <c r="A11" s="34" t="s">
        <v>56</v>
      </c>
      <c r="B11" s="9">
        <v>11.4</v>
      </c>
      <c r="C11" s="9">
        <v>17.07</v>
      </c>
      <c r="D11" s="9">
        <v>6.37</v>
      </c>
      <c r="E11" s="9">
        <v>5.7</v>
      </c>
      <c r="F11" s="9">
        <v>4.5</v>
      </c>
      <c r="G11" s="15">
        <f t="shared" si="0"/>
        <v>51.592575000000004</v>
      </c>
    </row>
    <row r="12" spans="1:7" x14ac:dyDescent="0.25">
      <c r="A12" s="34" t="s">
        <v>89</v>
      </c>
      <c r="B12" s="9">
        <v>11.4</v>
      </c>
      <c r="C12" s="9">
        <v>21.33</v>
      </c>
      <c r="D12" s="9">
        <v>7.96</v>
      </c>
      <c r="E12" s="9">
        <v>5.7</v>
      </c>
      <c r="F12" s="9">
        <v>5.7</v>
      </c>
      <c r="G12" s="15">
        <f t="shared" si="0"/>
        <v>61.030568333333335</v>
      </c>
    </row>
    <row r="13" spans="1:7" ht="6" customHeight="1" x14ac:dyDescent="0.25"/>
    <row r="14" spans="1:7" x14ac:dyDescent="0.25">
      <c r="A14" s="290" t="s">
        <v>67</v>
      </c>
      <c r="B14" s="290"/>
      <c r="C14" s="290"/>
      <c r="D14" s="290"/>
      <c r="E14" s="290"/>
      <c r="F14" s="290"/>
      <c r="G14" s="290"/>
    </row>
    <row r="15" spans="1:7" x14ac:dyDescent="0.25">
      <c r="A15" s="304" t="s">
        <v>253</v>
      </c>
      <c r="B15" s="4" t="s">
        <v>312</v>
      </c>
      <c r="C15" s="4" t="s">
        <v>313</v>
      </c>
      <c r="D15" s="4" t="s">
        <v>314</v>
      </c>
      <c r="E15" s="4" t="s">
        <v>315</v>
      </c>
      <c r="F15" s="4" t="s">
        <v>296</v>
      </c>
      <c r="G15" s="4" t="s">
        <v>297</v>
      </c>
    </row>
    <row r="16" spans="1:7" x14ac:dyDescent="0.25">
      <c r="A16" s="304"/>
      <c r="B16" s="5">
        <v>11</v>
      </c>
      <c r="C16" s="30">
        <v>14</v>
      </c>
      <c r="D16" s="30">
        <v>15</v>
      </c>
      <c r="E16" s="5">
        <v>16.87</v>
      </c>
      <c r="F16" s="7">
        <f>'Labour Rate'!$C$7</f>
        <v>48.39991666666667</v>
      </c>
      <c r="G16" s="4">
        <v>15</v>
      </c>
    </row>
    <row r="17" spans="1:7" x14ac:dyDescent="0.25">
      <c r="A17" s="34" t="s">
        <v>16</v>
      </c>
      <c r="B17" s="9">
        <v>11.4</v>
      </c>
      <c r="C17" s="9">
        <v>14.63</v>
      </c>
      <c r="D17" s="9">
        <v>4.09</v>
      </c>
      <c r="E17" s="9">
        <v>0</v>
      </c>
      <c r="F17" s="9">
        <v>2.6</v>
      </c>
      <c r="G17" s="15">
        <f>(($B$16*B17)+($C$16*C17)+($D$16*D17)+($E$16*E17)+($F$16*F17))/$G$16</f>
        <v>34.493985555555561</v>
      </c>
    </row>
    <row r="18" spans="1:7" x14ac:dyDescent="0.25">
      <c r="A18" s="34" t="s">
        <v>70</v>
      </c>
      <c r="B18" s="9">
        <v>11.4</v>
      </c>
      <c r="C18" s="9">
        <v>14.63</v>
      </c>
      <c r="D18" s="9">
        <v>4.09</v>
      </c>
      <c r="E18" s="9">
        <v>0</v>
      </c>
      <c r="F18" s="9">
        <v>2.6</v>
      </c>
      <c r="G18" s="15">
        <f t="shared" ref="G18:G23" si="1">(($B$16*B18)+($C$16*C18)+($D$16*D18)+($E$16*E18)+($F$16*F18))/$G$16</f>
        <v>34.493985555555561</v>
      </c>
    </row>
    <row r="19" spans="1:7" x14ac:dyDescent="0.25">
      <c r="A19" s="34" t="s">
        <v>87</v>
      </c>
      <c r="B19" s="9">
        <v>11.4</v>
      </c>
      <c r="C19" s="9">
        <v>14.63</v>
      </c>
      <c r="D19" s="9">
        <v>4.78</v>
      </c>
      <c r="E19" s="9">
        <v>0</v>
      </c>
      <c r="F19" s="9">
        <v>2.6</v>
      </c>
      <c r="G19" s="15">
        <f t="shared" si="1"/>
        <v>35.183985555555559</v>
      </c>
    </row>
    <row r="20" spans="1:7" x14ac:dyDescent="0.25">
      <c r="A20" s="34" t="s">
        <v>88</v>
      </c>
      <c r="B20" s="9">
        <v>11.4</v>
      </c>
      <c r="C20" s="9">
        <v>14.63</v>
      </c>
      <c r="D20" s="9">
        <v>4.78</v>
      </c>
      <c r="E20" s="9">
        <v>0</v>
      </c>
      <c r="F20" s="9">
        <v>2.6</v>
      </c>
      <c r="G20" s="15">
        <f t="shared" si="1"/>
        <v>35.183985555555559</v>
      </c>
    </row>
    <row r="21" spans="1:7" x14ac:dyDescent="0.25">
      <c r="A21" s="34" t="s">
        <v>68</v>
      </c>
      <c r="B21" s="9">
        <v>11.4</v>
      </c>
      <c r="C21" s="9">
        <v>19.91</v>
      </c>
      <c r="D21" s="9">
        <v>5.57</v>
      </c>
      <c r="E21" s="9">
        <v>5.7</v>
      </c>
      <c r="F21" s="9">
        <v>3.3</v>
      </c>
      <c r="G21" s="15">
        <f t="shared" si="1"/>
        <v>49.571248333333337</v>
      </c>
    </row>
    <row r="22" spans="1:7" x14ac:dyDescent="0.25">
      <c r="A22" s="34" t="s">
        <v>56</v>
      </c>
      <c r="B22" s="9">
        <v>11.4</v>
      </c>
      <c r="C22" s="9">
        <v>22.76</v>
      </c>
      <c r="D22" s="9">
        <v>6.37</v>
      </c>
      <c r="E22" s="9">
        <v>5.7</v>
      </c>
      <c r="F22" s="9">
        <v>4.5</v>
      </c>
      <c r="G22" s="15">
        <f t="shared" si="1"/>
        <v>56.903241666666666</v>
      </c>
    </row>
    <row r="23" spans="1:7" x14ac:dyDescent="0.25">
      <c r="A23" s="34" t="s">
        <v>89</v>
      </c>
      <c r="B23" s="9">
        <v>11.4</v>
      </c>
      <c r="C23" s="9">
        <v>28.44</v>
      </c>
      <c r="D23" s="9">
        <v>7.96</v>
      </c>
      <c r="E23" s="9">
        <v>5.7</v>
      </c>
      <c r="F23" s="9">
        <v>5.7</v>
      </c>
      <c r="G23" s="15">
        <f t="shared" si="1"/>
        <v>67.666568333333331</v>
      </c>
    </row>
    <row r="24" spans="1:7" ht="14.45" customHeight="1" x14ac:dyDescent="0.25"/>
    <row r="25" spans="1:7" ht="18.75" x14ac:dyDescent="0.3">
      <c r="A25" s="303" t="s">
        <v>304</v>
      </c>
      <c r="B25" s="303"/>
      <c r="C25" s="303"/>
      <c r="D25" s="303"/>
      <c r="E25" s="303"/>
      <c r="F25" s="303"/>
      <c r="G25" s="303"/>
    </row>
    <row r="26" spans="1:7" ht="6" customHeight="1" x14ac:dyDescent="0.25"/>
    <row r="27" spans="1:7" x14ac:dyDescent="0.25">
      <c r="A27" s="290" t="s">
        <v>69</v>
      </c>
      <c r="B27" s="290"/>
      <c r="C27" s="290"/>
      <c r="D27" s="290"/>
      <c r="E27" s="290"/>
      <c r="F27" s="290"/>
      <c r="G27" s="290"/>
    </row>
    <row r="28" spans="1:7" x14ac:dyDescent="0.25">
      <c r="A28" s="304" t="s">
        <v>253</v>
      </c>
      <c r="B28" s="4" t="s">
        <v>316</v>
      </c>
      <c r="C28" s="4" t="s">
        <v>313</v>
      </c>
      <c r="D28" s="4" t="s">
        <v>314</v>
      </c>
      <c r="E28" s="4" t="s">
        <v>315</v>
      </c>
      <c r="F28" s="4" t="s">
        <v>296</v>
      </c>
      <c r="G28" s="4" t="s">
        <v>297</v>
      </c>
    </row>
    <row r="29" spans="1:7" x14ac:dyDescent="0.25">
      <c r="A29" s="304"/>
      <c r="B29" s="5">
        <v>16.87</v>
      </c>
      <c r="C29" s="30">
        <v>14</v>
      </c>
      <c r="D29" s="30">
        <v>15</v>
      </c>
      <c r="E29" s="5">
        <v>16.87</v>
      </c>
      <c r="F29" s="7">
        <f>'Labour Rate'!$C$7</f>
        <v>48.39991666666667</v>
      </c>
      <c r="G29" s="4">
        <v>15</v>
      </c>
    </row>
    <row r="30" spans="1:7" x14ac:dyDescent="0.25">
      <c r="A30" s="34" t="s">
        <v>16</v>
      </c>
      <c r="B30" s="9">
        <v>11.4</v>
      </c>
      <c r="C30" s="9">
        <v>10.24</v>
      </c>
      <c r="D30" s="9">
        <v>4.09</v>
      </c>
      <c r="E30" s="9">
        <v>0</v>
      </c>
      <c r="F30" s="9">
        <v>2.6</v>
      </c>
      <c r="G30" s="15">
        <f>(($B$29*B30)+($C$29*C30)+($D$29*D30)+($E$29*E30)+($F$29*F30))/$G$29</f>
        <v>34.857852222222228</v>
      </c>
    </row>
    <row r="31" spans="1:7" x14ac:dyDescent="0.25">
      <c r="A31" s="34" t="s">
        <v>70</v>
      </c>
      <c r="B31" s="9">
        <v>11.4</v>
      </c>
      <c r="C31" s="9">
        <v>12.8</v>
      </c>
      <c r="D31" s="9">
        <v>4.09</v>
      </c>
      <c r="E31" s="9">
        <v>0</v>
      </c>
      <c r="F31" s="9">
        <v>2.6</v>
      </c>
      <c r="G31" s="15">
        <f t="shared" ref="G31:G36" si="2">(($B$29*B31)+($C$29*C31)+($D$29*D31)+($E$29*E31)+($F$29*F31))/$G$29</f>
        <v>37.247185555555561</v>
      </c>
    </row>
    <row r="32" spans="1:7" x14ac:dyDescent="0.25">
      <c r="A32" s="34" t="s">
        <v>87</v>
      </c>
      <c r="B32" s="9">
        <v>11.4</v>
      </c>
      <c r="C32" s="9">
        <v>12.8</v>
      </c>
      <c r="D32" s="9">
        <v>4.78</v>
      </c>
      <c r="E32" s="9">
        <v>0</v>
      </c>
      <c r="F32" s="9">
        <v>2.6</v>
      </c>
      <c r="G32" s="15">
        <f t="shared" si="2"/>
        <v>37.937185555555558</v>
      </c>
    </row>
    <row r="33" spans="1:7" x14ac:dyDescent="0.25">
      <c r="A33" s="34" t="s">
        <v>88</v>
      </c>
      <c r="B33" s="9">
        <v>11.4</v>
      </c>
      <c r="C33" s="10">
        <v>12.8</v>
      </c>
      <c r="D33" s="9">
        <v>4.78</v>
      </c>
      <c r="E33" s="9">
        <v>0</v>
      </c>
      <c r="F33" s="9">
        <v>2.6</v>
      </c>
      <c r="G33" s="15">
        <f t="shared" si="2"/>
        <v>37.937185555555558</v>
      </c>
    </row>
    <row r="34" spans="1:7" x14ac:dyDescent="0.25">
      <c r="A34" s="34" t="s">
        <v>68</v>
      </c>
      <c r="B34" s="9">
        <v>11.4</v>
      </c>
      <c r="C34" s="9">
        <v>14.93</v>
      </c>
      <c r="D34" s="9">
        <v>5.57</v>
      </c>
      <c r="E34" s="9">
        <v>5.7</v>
      </c>
      <c r="F34" s="9">
        <v>3.3</v>
      </c>
      <c r="G34" s="15">
        <f t="shared" si="2"/>
        <v>49.384448333333339</v>
      </c>
    </row>
    <row r="35" spans="1:7" x14ac:dyDescent="0.25">
      <c r="A35" s="34" t="s">
        <v>56</v>
      </c>
      <c r="B35" s="9">
        <v>11.4</v>
      </c>
      <c r="C35" s="9">
        <v>17.07</v>
      </c>
      <c r="D35" s="9">
        <v>6.37</v>
      </c>
      <c r="E35" s="9">
        <v>5.7</v>
      </c>
      <c r="F35" s="9">
        <v>4.5</v>
      </c>
      <c r="G35" s="15">
        <f t="shared" si="2"/>
        <v>56.053774999999995</v>
      </c>
    </row>
    <row r="36" spans="1:7" x14ac:dyDescent="0.25">
      <c r="A36" s="34" t="s">
        <v>89</v>
      </c>
      <c r="B36" s="9">
        <v>11.4</v>
      </c>
      <c r="C36" s="9">
        <v>21.33</v>
      </c>
      <c r="D36" s="9">
        <v>7.96</v>
      </c>
      <c r="E36" s="9">
        <v>5.7</v>
      </c>
      <c r="F36" s="9">
        <v>5.7</v>
      </c>
      <c r="G36" s="15">
        <f t="shared" si="2"/>
        <v>65.491768333333326</v>
      </c>
    </row>
    <row r="37" spans="1:7" ht="6" customHeight="1" x14ac:dyDescent="0.25"/>
    <row r="38" spans="1:7" x14ac:dyDescent="0.25">
      <c r="A38" s="290" t="s">
        <v>67</v>
      </c>
      <c r="B38" s="290"/>
      <c r="C38" s="290"/>
      <c r="D38" s="290"/>
      <c r="E38" s="290"/>
      <c r="F38" s="290"/>
      <c r="G38" s="290"/>
    </row>
    <row r="39" spans="1:7" x14ac:dyDescent="0.25">
      <c r="A39" s="304" t="s">
        <v>253</v>
      </c>
      <c r="B39" s="4" t="s">
        <v>316</v>
      </c>
      <c r="C39" s="4" t="s">
        <v>313</v>
      </c>
      <c r="D39" s="4" t="s">
        <v>314</v>
      </c>
      <c r="E39" s="4" t="s">
        <v>315</v>
      </c>
      <c r="F39" s="4" t="s">
        <v>296</v>
      </c>
      <c r="G39" s="4" t="s">
        <v>297</v>
      </c>
    </row>
    <row r="40" spans="1:7" x14ac:dyDescent="0.25">
      <c r="A40" s="304"/>
      <c r="B40" s="5">
        <v>16.87</v>
      </c>
      <c r="C40" s="30">
        <v>14</v>
      </c>
      <c r="D40" s="30">
        <v>15</v>
      </c>
      <c r="E40" s="5">
        <v>16.87</v>
      </c>
      <c r="F40" s="7">
        <f>'Labour Rate'!$C$7</f>
        <v>48.39991666666667</v>
      </c>
      <c r="G40" s="4">
        <v>15</v>
      </c>
    </row>
    <row r="41" spans="1:7" x14ac:dyDescent="0.25">
      <c r="A41" s="34" t="s">
        <v>16</v>
      </c>
      <c r="B41" s="9">
        <v>11.4</v>
      </c>
      <c r="C41" s="9">
        <v>14.63</v>
      </c>
      <c r="D41" s="9">
        <v>4.09</v>
      </c>
      <c r="E41" s="9">
        <v>0</v>
      </c>
      <c r="F41" s="9">
        <v>2.6</v>
      </c>
      <c r="G41" s="15">
        <f>(($B$40*B41)+($C$40*C41)+($D$40*D41)+($E$40*E41)+($F$40*F41))/$G$40</f>
        <v>38.955185555555559</v>
      </c>
    </row>
    <row r="42" spans="1:7" x14ac:dyDescent="0.25">
      <c r="A42" s="34" t="s">
        <v>70</v>
      </c>
      <c r="B42" s="9">
        <v>11.4</v>
      </c>
      <c r="C42" s="9">
        <v>14.63</v>
      </c>
      <c r="D42" s="9">
        <v>4.09</v>
      </c>
      <c r="E42" s="9">
        <v>0</v>
      </c>
      <c r="F42" s="9">
        <v>2.6</v>
      </c>
      <c r="G42" s="15">
        <f t="shared" ref="G42:G47" si="3">(($B$40*B42)+($C$40*C42)+($D$40*D42)+($E$40*E42)+($F$40*F42))/$G$40</f>
        <v>38.955185555555559</v>
      </c>
    </row>
    <row r="43" spans="1:7" x14ac:dyDescent="0.25">
      <c r="A43" s="34" t="s">
        <v>87</v>
      </c>
      <c r="B43" s="9">
        <v>11.4</v>
      </c>
      <c r="C43" s="9">
        <v>14.63</v>
      </c>
      <c r="D43" s="9">
        <v>4.78</v>
      </c>
      <c r="E43" s="9">
        <v>0</v>
      </c>
      <c r="F43" s="9">
        <v>2.6</v>
      </c>
      <c r="G43" s="15">
        <f t="shared" si="3"/>
        <v>39.645185555555557</v>
      </c>
    </row>
    <row r="44" spans="1:7" x14ac:dyDescent="0.25">
      <c r="A44" s="34" t="s">
        <v>88</v>
      </c>
      <c r="B44" s="9">
        <v>11.4</v>
      </c>
      <c r="C44" s="9">
        <v>14.63</v>
      </c>
      <c r="D44" s="9">
        <v>4.78</v>
      </c>
      <c r="E44" s="9">
        <v>0</v>
      </c>
      <c r="F44" s="9">
        <v>2.6</v>
      </c>
      <c r="G44" s="15">
        <f t="shared" si="3"/>
        <v>39.645185555555557</v>
      </c>
    </row>
    <row r="45" spans="1:7" x14ac:dyDescent="0.25">
      <c r="A45" s="34" t="s">
        <v>68</v>
      </c>
      <c r="B45" s="9">
        <v>11.4</v>
      </c>
      <c r="C45" s="9">
        <v>19.91</v>
      </c>
      <c r="D45" s="9">
        <v>5.57</v>
      </c>
      <c r="E45" s="9">
        <v>5.7</v>
      </c>
      <c r="F45" s="9">
        <v>3.3</v>
      </c>
      <c r="G45" s="15">
        <f t="shared" si="3"/>
        <v>54.032448333333335</v>
      </c>
    </row>
    <row r="46" spans="1:7" x14ac:dyDescent="0.25">
      <c r="A46" s="34" t="s">
        <v>56</v>
      </c>
      <c r="B46" s="9">
        <v>11.4</v>
      </c>
      <c r="C46" s="9">
        <v>22.76</v>
      </c>
      <c r="D46" s="9">
        <v>6.37</v>
      </c>
      <c r="E46" s="9">
        <v>5.7</v>
      </c>
      <c r="F46" s="9">
        <v>4.5</v>
      </c>
      <c r="G46" s="15">
        <f t="shared" si="3"/>
        <v>61.364441666666671</v>
      </c>
    </row>
    <row r="47" spans="1:7" x14ac:dyDescent="0.25">
      <c r="A47" s="34" t="s">
        <v>89</v>
      </c>
      <c r="B47" s="9">
        <v>11.4</v>
      </c>
      <c r="C47" s="9">
        <v>28.44</v>
      </c>
      <c r="D47" s="9">
        <v>7.96</v>
      </c>
      <c r="E47" s="9">
        <v>5.7</v>
      </c>
      <c r="F47" s="9">
        <v>5.7</v>
      </c>
      <c r="G47" s="15">
        <f t="shared" si="3"/>
        <v>72.127768333333336</v>
      </c>
    </row>
  </sheetData>
  <mergeCells count="10">
    <mergeCell ref="A1:G1"/>
    <mergeCell ref="A3:G3"/>
    <mergeCell ref="A4:A5"/>
    <mergeCell ref="A14:G14"/>
    <mergeCell ref="A15:A16"/>
    <mergeCell ref="A27:G27"/>
    <mergeCell ref="A28:A29"/>
    <mergeCell ref="A38:G38"/>
    <mergeCell ref="A39:A40"/>
    <mergeCell ref="A25:G25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D5687-A7CC-4D3A-9923-D0164B0B2DB9}">
  <sheetPr codeName="Sheet19">
    <tabColor rgb="FFFF0000"/>
  </sheetPr>
  <dimension ref="A1:O45"/>
  <sheetViews>
    <sheetView topLeftCell="B1" zoomScaleNormal="100" workbookViewId="0">
      <selection activeCell="F28" sqref="F28"/>
    </sheetView>
  </sheetViews>
  <sheetFormatPr defaultRowHeight="15" x14ac:dyDescent="0.25"/>
  <cols>
    <col min="1" max="1" width="7.85546875" bestFit="1" customWidth="1"/>
    <col min="2" max="2" width="22.140625" style="1" bestFit="1" customWidth="1"/>
    <col min="3" max="3" width="19.140625" style="1" bestFit="1" customWidth="1"/>
    <col min="4" max="4" width="18.140625" style="1" bestFit="1" customWidth="1"/>
    <col min="5" max="5" width="18.140625" style="1" customWidth="1"/>
    <col min="6" max="6" width="15.85546875" style="1" bestFit="1" customWidth="1"/>
    <col min="7" max="7" width="31.85546875" style="1" bestFit="1" customWidth="1"/>
    <col min="9" max="9" width="7.85546875" bestFit="1" customWidth="1"/>
    <col min="10" max="10" width="22.140625" bestFit="1" customWidth="1"/>
    <col min="11" max="11" width="19.140625" bestFit="1" customWidth="1"/>
    <col min="12" max="12" width="18.140625" bestFit="1" customWidth="1"/>
    <col min="13" max="13" width="18.140625" customWidth="1"/>
    <col min="14" max="14" width="15.85546875" bestFit="1" customWidth="1"/>
    <col min="15" max="15" width="31.85546875" bestFit="1" customWidth="1"/>
  </cols>
  <sheetData>
    <row r="1" spans="1:15" ht="18.75" x14ac:dyDescent="0.3">
      <c r="A1" s="303" t="s">
        <v>317</v>
      </c>
      <c r="B1" s="303"/>
      <c r="C1" s="303"/>
      <c r="D1" s="303"/>
      <c r="E1" s="303"/>
      <c r="F1" s="303"/>
      <c r="G1" s="303"/>
      <c r="I1" s="303" t="s">
        <v>317</v>
      </c>
      <c r="J1" s="303"/>
      <c r="K1" s="303"/>
      <c r="L1" s="303"/>
      <c r="M1" s="303"/>
      <c r="N1" s="303"/>
      <c r="O1" s="303"/>
    </row>
    <row r="2" spans="1:15" ht="6" customHeight="1" x14ac:dyDescent="0.25">
      <c r="J2" s="1"/>
      <c r="K2" s="1"/>
      <c r="L2" s="1"/>
      <c r="M2" s="1"/>
      <c r="N2" s="1"/>
      <c r="O2" s="1"/>
    </row>
    <row r="3" spans="1:15" x14ac:dyDescent="0.25">
      <c r="A3" s="290" t="s">
        <v>69</v>
      </c>
      <c r="B3" s="290"/>
      <c r="C3" s="290"/>
      <c r="D3" s="290"/>
      <c r="E3" s="290"/>
      <c r="F3" s="290"/>
      <c r="G3" s="290"/>
      <c r="I3" s="290" t="s">
        <v>69</v>
      </c>
      <c r="J3" s="290"/>
      <c r="K3" s="290"/>
      <c r="L3" s="290"/>
      <c r="M3" s="290"/>
      <c r="N3" s="290"/>
      <c r="O3" s="290"/>
    </row>
    <row r="4" spans="1:15" x14ac:dyDescent="0.25">
      <c r="A4" s="304" t="s">
        <v>253</v>
      </c>
      <c r="B4" s="4" t="s">
        <v>292</v>
      </c>
      <c r="C4" s="4" t="s">
        <v>318</v>
      </c>
      <c r="D4" s="4" t="s">
        <v>319</v>
      </c>
      <c r="E4" s="4" t="s">
        <v>295</v>
      </c>
      <c r="F4" s="4" t="s">
        <v>296</v>
      </c>
      <c r="G4" s="4" t="s">
        <v>297</v>
      </c>
      <c r="I4" s="304" t="s">
        <v>253</v>
      </c>
      <c r="J4" s="4" t="s">
        <v>305</v>
      </c>
      <c r="K4" s="4" t="s">
        <v>318</v>
      </c>
      <c r="L4" s="4" t="s">
        <v>319</v>
      </c>
      <c r="M4" s="4" t="s">
        <v>306</v>
      </c>
      <c r="N4" s="4" t="s">
        <v>296</v>
      </c>
      <c r="O4" s="4" t="s">
        <v>297</v>
      </c>
    </row>
    <row r="5" spans="1:15" x14ac:dyDescent="0.25">
      <c r="A5" s="304"/>
      <c r="B5" s="5">
        <v>10.1</v>
      </c>
      <c r="C5" s="33">
        <v>12.17</v>
      </c>
      <c r="D5" s="33">
        <v>5.05</v>
      </c>
      <c r="E5" s="5">
        <v>12.16</v>
      </c>
      <c r="F5" s="7">
        <f>'Labour Rate'!$C$7</f>
        <v>48.39991666666667</v>
      </c>
      <c r="G5" s="4">
        <v>15</v>
      </c>
      <c r="I5" s="304"/>
      <c r="J5" s="5">
        <v>15.14</v>
      </c>
      <c r="K5" s="33">
        <v>12.17</v>
      </c>
      <c r="L5" s="33">
        <v>5.05</v>
      </c>
      <c r="M5" s="5">
        <v>15.14</v>
      </c>
      <c r="N5" s="7">
        <f>'Labour Rate'!$C$7</f>
        <v>48.39991666666667</v>
      </c>
      <c r="O5" s="4">
        <v>15</v>
      </c>
    </row>
    <row r="6" spans="1:15" x14ac:dyDescent="0.25">
      <c r="A6" s="34" t="s">
        <v>16</v>
      </c>
      <c r="B6" s="9">
        <v>11.4</v>
      </c>
      <c r="C6" s="9">
        <v>13.86</v>
      </c>
      <c r="D6" s="9">
        <v>14.85</v>
      </c>
      <c r="E6" s="9">
        <v>0</v>
      </c>
      <c r="F6" s="9">
        <v>5.3</v>
      </c>
      <c r="G6" s="15">
        <f>(($B$5*B6)+($C$5*C6)+($D$5*D6)+($E$5*E6)+($F$5*F6))/$G$5</f>
        <v>41.021883888888887</v>
      </c>
      <c r="I6" s="34" t="s">
        <v>16</v>
      </c>
      <c r="J6" s="9">
        <v>11.4</v>
      </c>
      <c r="K6" s="9">
        <v>13.86</v>
      </c>
      <c r="L6" s="9">
        <v>14.85</v>
      </c>
      <c r="M6" s="9">
        <v>0</v>
      </c>
      <c r="N6" s="9">
        <v>5.3</v>
      </c>
      <c r="O6" s="15">
        <f>(($J$5*J6)+($K$5*K6)+($L$5*L6)+($M$5*M6)+($N$5*N6))/$O$5</f>
        <v>44.852283888888891</v>
      </c>
    </row>
    <row r="7" spans="1:15" x14ac:dyDescent="0.25">
      <c r="A7" s="34" t="s">
        <v>70</v>
      </c>
      <c r="B7" s="9">
        <v>11.4</v>
      </c>
      <c r="C7" s="9">
        <v>15.400000000000002</v>
      </c>
      <c r="D7" s="9">
        <v>16.5</v>
      </c>
      <c r="E7" s="9">
        <v>0</v>
      </c>
      <c r="F7" s="9">
        <v>5.3</v>
      </c>
      <c r="G7" s="15">
        <f t="shared" ref="G7:G12" si="0">(($B$5*B7)+($C$5*C7)+($D$5*D7)+($E$5*E7)+($F$5*F7))/$G$5</f>
        <v>42.826837222222231</v>
      </c>
      <c r="I7" s="34" t="s">
        <v>70</v>
      </c>
      <c r="J7" s="9">
        <v>11.4</v>
      </c>
      <c r="K7" s="9">
        <v>15.400000000000002</v>
      </c>
      <c r="L7" s="9">
        <v>16.5</v>
      </c>
      <c r="M7" s="9">
        <v>0</v>
      </c>
      <c r="N7" s="9">
        <v>5.3</v>
      </c>
      <c r="O7" s="15">
        <f t="shared" ref="O7:O12" si="1">(($J$5*J7)+($K$5*K7)+($L$5*L7)+($M$5*M7)+($N$5*N7))/$O$5</f>
        <v>46.657237222222221</v>
      </c>
    </row>
    <row r="8" spans="1:15" x14ac:dyDescent="0.25">
      <c r="A8" s="34" t="s">
        <v>87</v>
      </c>
      <c r="B8" s="9">
        <v>11.4</v>
      </c>
      <c r="C8" s="9">
        <v>16.939999999999998</v>
      </c>
      <c r="D8" s="9">
        <v>18.149999999999999</v>
      </c>
      <c r="E8" s="9">
        <v>0</v>
      </c>
      <c r="F8" s="9">
        <v>5.3</v>
      </c>
      <c r="G8" s="15">
        <f t="shared" si="0"/>
        <v>44.631790555555547</v>
      </c>
      <c r="I8" s="34" t="s">
        <v>87</v>
      </c>
      <c r="J8" s="9">
        <v>11.4</v>
      </c>
      <c r="K8" s="9">
        <v>16.939999999999998</v>
      </c>
      <c r="L8" s="9">
        <v>18.149999999999999</v>
      </c>
      <c r="M8" s="9">
        <v>0</v>
      </c>
      <c r="N8" s="9">
        <v>5.3</v>
      </c>
      <c r="O8" s="15">
        <f t="shared" si="1"/>
        <v>48.462190555555559</v>
      </c>
    </row>
    <row r="9" spans="1:15" x14ac:dyDescent="0.25">
      <c r="A9" s="34" t="s">
        <v>88</v>
      </c>
      <c r="B9" s="9">
        <v>11.4</v>
      </c>
      <c r="C9" s="9">
        <v>18.48</v>
      </c>
      <c r="D9" s="9">
        <v>19.799999999999997</v>
      </c>
      <c r="E9" s="9">
        <v>0</v>
      </c>
      <c r="F9" s="9">
        <v>5.3</v>
      </c>
      <c r="G9" s="15">
        <f t="shared" si="0"/>
        <v>46.436743888888898</v>
      </c>
      <c r="I9" s="34" t="s">
        <v>88</v>
      </c>
      <c r="J9" s="9">
        <v>11.4</v>
      </c>
      <c r="K9" s="10">
        <v>18.48</v>
      </c>
      <c r="L9" s="9">
        <v>19.799999999999997</v>
      </c>
      <c r="M9" s="9">
        <v>0</v>
      </c>
      <c r="N9" s="9">
        <v>5.3</v>
      </c>
      <c r="O9" s="15">
        <f t="shared" si="1"/>
        <v>50.267143888888889</v>
      </c>
    </row>
    <row r="10" spans="1:15" x14ac:dyDescent="0.25">
      <c r="A10" s="34" t="s">
        <v>68</v>
      </c>
      <c r="B10" s="9">
        <v>11.4</v>
      </c>
      <c r="C10" s="9">
        <v>21.560000000000002</v>
      </c>
      <c r="D10" s="9">
        <v>23.1</v>
      </c>
      <c r="E10" s="9">
        <v>5.7</v>
      </c>
      <c r="F10" s="9">
        <v>6</v>
      </c>
      <c r="G10" s="15">
        <f t="shared" si="0"/>
        <v>56.926113333333333</v>
      </c>
      <c r="I10" s="34" t="s">
        <v>68</v>
      </c>
      <c r="J10" s="9">
        <v>11.4</v>
      </c>
      <c r="K10" s="9">
        <v>21.560000000000002</v>
      </c>
      <c r="L10" s="9">
        <v>23.1</v>
      </c>
      <c r="M10" s="9">
        <v>5.7</v>
      </c>
      <c r="N10" s="9">
        <v>6</v>
      </c>
      <c r="O10" s="15">
        <f t="shared" si="1"/>
        <v>61.888913333333335</v>
      </c>
    </row>
    <row r="11" spans="1:15" x14ac:dyDescent="0.25">
      <c r="A11" s="34" t="s">
        <v>56</v>
      </c>
      <c r="B11" s="9">
        <v>11.4</v>
      </c>
      <c r="C11" s="9">
        <v>24.64</v>
      </c>
      <c r="D11" s="9">
        <v>26.400000000000002</v>
      </c>
      <c r="E11" s="9">
        <v>5.7</v>
      </c>
      <c r="F11" s="9">
        <v>6.5</v>
      </c>
      <c r="G11" s="15">
        <f t="shared" si="0"/>
        <v>62.149350555555557</v>
      </c>
      <c r="I11" s="34" t="s">
        <v>56</v>
      </c>
      <c r="J11" s="9">
        <v>11.4</v>
      </c>
      <c r="K11" s="9">
        <v>24.64</v>
      </c>
      <c r="L11" s="9">
        <v>26.400000000000002</v>
      </c>
      <c r="M11" s="9">
        <v>5.7</v>
      </c>
      <c r="N11" s="9">
        <v>6.5</v>
      </c>
      <c r="O11" s="15">
        <f t="shared" si="1"/>
        <v>67.112150555555559</v>
      </c>
    </row>
    <row r="12" spans="1:15" x14ac:dyDescent="0.25">
      <c r="A12" s="34" t="s">
        <v>89</v>
      </c>
      <c r="B12" s="9">
        <v>11.4</v>
      </c>
      <c r="C12" s="9">
        <v>30.800000000000004</v>
      </c>
      <c r="D12" s="9">
        <v>33</v>
      </c>
      <c r="E12" s="9">
        <v>5.7</v>
      </c>
      <c r="F12" s="9">
        <v>7.1</v>
      </c>
      <c r="G12" s="15">
        <f t="shared" si="0"/>
        <v>71.305160555555574</v>
      </c>
      <c r="I12" s="34" t="s">
        <v>89</v>
      </c>
      <c r="J12" s="9">
        <v>11.4</v>
      </c>
      <c r="K12" s="9">
        <v>30.800000000000004</v>
      </c>
      <c r="L12" s="9">
        <v>33</v>
      </c>
      <c r="M12" s="9">
        <v>5.7</v>
      </c>
      <c r="N12" s="9">
        <v>7.1</v>
      </c>
      <c r="O12" s="15">
        <f t="shared" si="1"/>
        <v>76.267960555555561</v>
      </c>
    </row>
    <row r="13" spans="1:15" ht="6" customHeight="1" x14ac:dyDescent="0.25">
      <c r="J13" s="1"/>
      <c r="K13" s="1"/>
      <c r="L13" s="1"/>
      <c r="M13" s="1"/>
      <c r="N13" s="1"/>
      <c r="O13" s="1"/>
    </row>
    <row r="14" spans="1:15" x14ac:dyDescent="0.25">
      <c r="A14" s="157" t="s">
        <v>67</v>
      </c>
      <c r="B14" s="157"/>
      <c r="C14" s="157"/>
      <c r="D14" s="157"/>
      <c r="E14" s="157"/>
      <c r="F14" s="157"/>
      <c r="G14" s="157"/>
      <c r="I14" s="157" t="s">
        <v>67</v>
      </c>
      <c r="J14" s="157"/>
      <c r="K14" s="157"/>
      <c r="L14" s="157"/>
      <c r="M14" s="157"/>
      <c r="N14" s="157"/>
      <c r="O14" s="157"/>
    </row>
    <row r="15" spans="1:15" x14ac:dyDescent="0.25">
      <c r="A15" s="35" t="s">
        <v>253</v>
      </c>
      <c r="B15" s="4" t="s">
        <v>292</v>
      </c>
      <c r="C15" s="4" t="s">
        <v>318</v>
      </c>
      <c r="D15" s="4" t="s">
        <v>319</v>
      </c>
      <c r="E15" s="4" t="s">
        <v>295</v>
      </c>
      <c r="F15" s="4" t="s">
        <v>296</v>
      </c>
      <c r="G15" s="4" t="s">
        <v>297</v>
      </c>
      <c r="I15" s="35" t="s">
        <v>253</v>
      </c>
      <c r="J15" s="4" t="s">
        <v>305</v>
      </c>
      <c r="K15" s="4" t="s">
        <v>318</v>
      </c>
      <c r="L15" s="4" t="s">
        <v>319</v>
      </c>
      <c r="M15" s="4" t="s">
        <v>306</v>
      </c>
      <c r="N15" s="4" t="s">
        <v>296</v>
      </c>
      <c r="O15" s="4" t="s">
        <v>297</v>
      </c>
    </row>
    <row r="16" spans="1:15" x14ac:dyDescent="0.25">
      <c r="A16" s="35"/>
      <c r="B16" s="5">
        <v>10.1</v>
      </c>
      <c r="C16" s="33">
        <v>14.14</v>
      </c>
      <c r="D16" s="33">
        <v>5.05</v>
      </c>
      <c r="E16" s="5">
        <v>12.16</v>
      </c>
      <c r="F16" s="7">
        <f>'Labour Rate'!$C$7</f>
        <v>48.39991666666667</v>
      </c>
      <c r="G16" s="4">
        <v>15</v>
      </c>
      <c r="I16" s="35"/>
      <c r="J16" s="5">
        <v>15.14</v>
      </c>
      <c r="K16" s="33">
        <v>14.14</v>
      </c>
      <c r="L16" s="33">
        <v>5.05</v>
      </c>
      <c r="M16" s="5">
        <v>15.14</v>
      </c>
      <c r="N16" s="7">
        <f>'Labour Rate'!$C$7</f>
        <v>48.39991666666667</v>
      </c>
      <c r="O16" s="4">
        <v>15</v>
      </c>
    </row>
    <row r="17" spans="1:15" x14ac:dyDescent="0.25">
      <c r="A17" s="34" t="s">
        <v>16</v>
      </c>
      <c r="B17" s="9">
        <v>11.4</v>
      </c>
      <c r="C17" s="9">
        <v>13.86</v>
      </c>
      <c r="D17" s="9">
        <v>14.85</v>
      </c>
      <c r="E17" s="9">
        <v>0</v>
      </c>
      <c r="F17" s="9">
        <v>5.3</v>
      </c>
      <c r="G17" s="15">
        <f>(($B$16*B17)+($C$16*C17)+($D$16*D17)+($E$16*E17)+($F$16*F17))/$G$16</f>
        <v>42.842163888888891</v>
      </c>
      <c r="I17" s="34" t="s">
        <v>16</v>
      </c>
      <c r="J17" s="9">
        <v>11.4</v>
      </c>
      <c r="K17" s="9">
        <v>13.86</v>
      </c>
      <c r="L17" s="9">
        <v>14.85</v>
      </c>
      <c r="M17" s="9">
        <v>0</v>
      </c>
      <c r="N17" s="9">
        <v>5.3</v>
      </c>
      <c r="O17" s="15">
        <f>(($J$16*J17)+($K$16*K17)+($L$16*L17)+($M$16*M17)+($N$16*N17))/$O$16</f>
        <v>46.672563888888895</v>
      </c>
    </row>
    <row r="18" spans="1:15" x14ac:dyDescent="0.25">
      <c r="A18" s="34" t="s">
        <v>70</v>
      </c>
      <c r="B18" s="9">
        <v>11.4</v>
      </c>
      <c r="C18" s="9">
        <v>15.400000000000002</v>
      </c>
      <c r="D18" s="9">
        <v>16.5</v>
      </c>
      <c r="E18" s="9">
        <v>0</v>
      </c>
      <c r="F18" s="9">
        <v>5.3</v>
      </c>
      <c r="G18" s="15">
        <f t="shared" ref="G18:G23" si="2">(($B$16*B18)+($C$16*C18)+($D$16*D18)+($E$16*E18)+($F$16*F18))/$G$16</f>
        <v>44.849370555555559</v>
      </c>
      <c r="I18" s="34" t="s">
        <v>70</v>
      </c>
      <c r="J18" s="9">
        <v>11.4</v>
      </c>
      <c r="K18" s="9">
        <v>15.400000000000002</v>
      </c>
      <c r="L18" s="9">
        <v>16.5</v>
      </c>
      <c r="M18" s="9">
        <v>0</v>
      </c>
      <c r="N18" s="9">
        <v>5.3</v>
      </c>
      <c r="O18" s="15">
        <f t="shared" ref="O18:O23" si="3">(($J$16*J18)+($K$16*K18)+($L$16*L18)+($M$16*M18)+($N$16*N18))/$O$16</f>
        <v>48.679770555555557</v>
      </c>
    </row>
    <row r="19" spans="1:15" x14ac:dyDescent="0.25">
      <c r="A19" s="34" t="s">
        <v>87</v>
      </c>
      <c r="B19" s="9">
        <v>11.4</v>
      </c>
      <c r="C19" s="9">
        <v>16.939999999999998</v>
      </c>
      <c r="D19" s="9">
        <v>18.149999999999999</v>
      </c>
      <c r="E19" s="9">
        <v>0</v>
      </c>
      <c r="F19" s="9">
        <v>5.3</v>
      </c>
      <c r="G19" s="15">
        <f t="shared" si="2"/>
        <v>46.856577222222221</v>
      </c>
      <c r="I19" s="34" t="s">
        <v>87</v>
      </c>
      <c r="J19" s="9">
        <v>11.4</v>
      </c>
      <c r="K19" s="9">
        <v>16.939999999999998</v>
      </c>
      <c r="L19" s="9">
        <v>18.149999999999999</v>
      </c>
      <c r="M19" s="9">
        <v>0</v>
      </c>
      <c r="N19" s="9">
        <v>5.3</v>
      </c>
      <c r="O19" s="15">
        <f t="shared" si="3"/>
        <v>50.686977222222218</v>
      </c>
    </row>
    <row r="20" spans="1:15" x14ac:dyDescent="0.25">
      <c r="A20" s="34" t="s">
        <v>88</v>
      </c>
      <c r="B20" s="9">
        <v>11.4</v>
      </c>
      <c r="C20" s="9">
        <v>18.48</v>
      </c>
      <c r="D20" s="9">
        <v>19.799999999999997</v>
      </c>
      <c r="E20" s="9">
        <v>0</v>
      </c>
      <c r="F20" s="9">
        <v>5.3</v>
      </c>
      <c r="G20" s="15">
        <f t="shared" si="2"/>
        <v>48.863783888888882</v>
      </c>
      <c r="I20" s="34" t="s">
        <v>88</v>
      </c>
      <c r="J20" s="9">
        <v>11.4</v>
      </c>
      <c r="K20" s="9">
        <v>18.48</v>
      </c>
      <c r="L20" s="9">
        <v>19.799999999999997</v>
      </c>
      <c r="M20" s="9">
        <v>0</v>
      </c>
      <c r="N20" s="9">
        <v>5.3</v>
      </c>
      <c r="O20" s="15">
        <f t="shared" si="3"/>
        <v>52.694183888888894</v>
      </c>
    </row>
    <row r="21" spans="1:15" x14ac:dyDescent="0.25">
      <c r="A21" s="34" t="s">
        <v>68</v>
      </c>
      <c r="B21" s="9">
        <v>11.4</v>
      </c>
      <c r="C21" s="9">
        <v>21.560000000000002</v>
      </c>
      <c r="D21" s="9">
        <v>23.1</v>
      </c>
      <c r="E21" s="9">
        <v>5.7</v>
      </c>
      <c r="F21" s="9">
        <v>6</v>
      </c>
      <c r="G21" s="15">
        <f t="shared" si="2"/>
        <v>59.757660000000001</v>
      </c>
      <c r="I21" s="34" t="s">
        <v>68</v>
      </c>
      <c r="J21" s="9">
        <v>11.4</v>
      </c>
      <c r="K21" s="9">
        <v>21.560000000000002</v>
      </c>
      <c r="L21" s="9">
        <v>23.1</v>
      </c>
      <c r="M21" s="9">
        <v>5.7</v>
      </c>
      <c r="N21" s="9">
        <v>6</v>
      </c>
      <c r="O21" s="15">
        <f t="shared" si="3"/>
        <v>64.720460000000003</v>
      </c>
    </row>
    <row r="22" spans="1:15" x14ac:dyDescent="0.25">
      <c r="A22" s="34" t="s">
        <v>56</v>
      </c>
      <c r="B22" s="9">
        <v>11.4</v>
      </c>
      <c r="C22" s="9">
        <v>24.64</v>
      </c>
      <c r="D22" s="9">
        <v>26.400000000000002</v>
      </c>
      <c r="E22" s="9">
        <v>5.7</v>
      </c>
      <c r="F22" s="9">
        <v>6.5</v>
      </c>
      <c r="G22" s="15">
        <f t="shared" si="2"/>
        <v>65.385403888888888</v>
      </c>
      <c r="I22" s="34" t="s">
        <v>56</v>
      </c>
      <c r="J22" s="9">
        <v>11.4</v>
      </c>
      <c r="K22" s="9">
        <v>24.64</v>
      </c>
      <c r="L22" s="9">
        <v>26.400000000000002</v>
      </c>
      <c r="M22" s="9">
        <v>5.7</v>
      </c>
      <c r="N22" s="9">
        <v>6.5</v>
      </c>
      <c r="O22" s="15">
        <f t="shared" si="3"/>
        <v>70.348203888888889</v>
      </c>
    </row>
    <row r="23" spans="1:15" x14ac:dyDescent="0.25">
      <c r="A23" s="34" t="s">
        <v>89</v>
      </c>
      <c r="B23" s="9">
        <v>11.4</v>
      </c>
      <c r="C23" s="9">
        <v>30.800000000000004</v>
      </c>
      <c r="D23" s="9">
        <v>33</v>
      </c>
      <c r="E23" s="9">
        <v>5.7</v>
      </c>
      <c r="F23" s="9">
        <v>7.1</v>
      </c>
      <c r="G23" s="15">
        <f t="shared" si="2"/>
        <v>75.35022722222223</v>
      </c>
      <c r="I23" s="34" t="s">
        <v>89</v>
      </c>
      <c r="J23" s="9">
        <v>11.4</v>
      </c>
      <c r="K23" s="9">
        <v>30.800000000000004</v>
      </c>
      <c r="L23" s="9">
        <v>33</v>
      </c>
      <c r="M23" s="9">
        <v>5.7</v>
      </c>
      <c r="N23" s="9">
        <v>7.1</v>
      </c>
      <c r="O23" s="15">
        <f t="shared" si="3"/>
        <v>80.313027222222232</v>
      </c>
    </row>
    <row r="24" spans="1:15" ht="6" customHeight="1" x14ac:dyDescent="0.25"/>
    <row r="25" spans="1:15" x14ac:dyDescent="0.25">
      <c r="I25" s="157" t="s">
        <v>69</v>
      </c>
      <c r="J25" s="157"/>
      <c r="K25" s="157"/>
      <c r="L25" s="157"/>
      <c r="M25" s="157"/>
      <c r="N25" s="157"/>
      <c r="O25" s="157"/>
    </row>
    <row r="26" spans="1:15" x14ac:dyDescent="0.25">
      <c r="I26" s="35" t="s">
        <v>253</v>
      </c>
      <c r="J26" s="4" t="s">
        <v>305</v>
      </c>
      <c r="K26" s="4" t="s">
        <v>320</v>
      </c>
      <c r="L26" s="4" t="s">
        <v>319</v>
      </c>
      <c r="M26" s="4" t="s">
        <v>306</v>
      </c>
      <c r="N26" s="4" t="s">
        <v>296</v>
      </c>
      <c r="O26" s="4" t="s">
        <v>297</v>
      </c>
    </row>
    <row r="27" spans="1:15" x14ac:dyDescent="0.25">
      <c r="I27" s="35"/>
      <c r="J27" s="5">
        <v>15.14</v>
      </c>
      <c r="K27" s="33">
        <v>15.14</v>
      </c>
      <c r="L27" s="33">
        <v>5.05</v>
      </c>
      <c r="M27" s="5">
        <v>15.14</v>
      </c>
      <c r="N27" s="7">
        <f>'Labour Rate'!$C$7</f>
        <v>48.39991666666667</v>
      </c>
      <c r="O27" s="4">
        <v>15</v>
      </c>
    </row>
    <row r="28" spans="1:15" x14ac:dyDescent="0.25">
      <c r="I28" s="34" t="s">
        <v>16</v>
      </c>
      <c r="J28" s="9">
        <v>11.4</v>
      </c>
      <c r="K28" s="9">
        <v>13.86</v>
      </c>
      <c r="L28" s="9">
        <v>14.85</v>
      </c>
      <c r="M28" s="9">
        <v>0</v>
      </c>
      <c r="N28" s="9">
        <v>5.3</v>
      </c>
      <c r="O28" s="15">
        <f>(($J$27*J28)+($K$27*K28)+($L$27*L28)+($M$27*M28)+($N$27*N28))/$O$27</f>
        <v>47.596563888888888</v>
      </c>
    </row>
    <row r="29" spans="1:15" x14ac:dyDescent="0.25">
      <c r="I29" s="34" t="s">
        <v>70</v>
      </c>
      <c r="J29" s="9">
        <v>11.4</v>
      </c>
      <c r="K29" s="9">
        <v>15.400000000000002</v>
      </c>
      <c r="L29" s="9">
        <v>16.5</v>
      </c>
      <c r="M29" s="9">
        <v>0</v>
      </c>
      <c r="N29" s="9">
        <v>5.3</v>
      </c>
      <c r="O29" s="15">
        <f t="shared" ref="O29:O34" si="4">(($J$27*J29)+($K$27*K29)+($L$27*L29)+($M$27*M29)+($N$27*N29))/$O$27</f>
        <v>49.706437222222227</v>
      </c>
    </row>
    <row r="30" spans="1:15" x14ac:dyDescent="0.25">
      <c r="I30" s="34" t="s">
        <v>87</v>
      </c>
      <c r="J30" s="9">
        <v>11.4</v>
      </c>
      <c r="K30" s="9">
        <v>16.939999999999998</v>
      </c>
      <c r="L30" s="9">
        <v>18.149999999999999</v>
      </c>
      <c r="M30" s="9">
        <v>0</v>
      </c>
      <c r="N30" s="9">
        <v>5.3</v>
      </c>
      <c r="O30" s="15">
        <f t="shared" si="4"/>
        <v>51.816310555555553</v>
      </c>
    </row>
    <row r="31" spans="1:15" x14ac:dyDescent="0.25">
      <c r="I31" s="34" t="s">
        <v>88</v>
      </c>
      <c r="J31" s="9">
        <v>11.4</v>
      </c>
      <c r="K31" s="9">
        <v>18.48</v>
      </c>
      <c r="L31" s="9">
        <v>19.799999999999997</v>
      </c>
      <c r="M31" s="9">
        <v>0</v>
      </c>
      <c r="N31" s="9">
        <v>5.3</v>
      </c>
      <c r="O31" s="15">
        <f t="shared" si="4"/>
        <v>53.926183888888893</v>
      </c>
    </row>
    <row r="32" spans="1:15" x14ac:dyDescent="0.25">
      <c r="I32" s="34" t="s">
        <v>68</v>
      </c>
      <c r="J32" s="9">
        <v>11.4</v>
      </c>
      <c r="K32" s="9">
        <v>21.560000000000002</v>
      </c>
      <c r="L32" s="9">
        <v>23.1</v>
      </c>
      <c r="M32" s="9">
        <v>5.7</v>
      </c>
      <c r="N32" s="9">
        <v>6</v>
      </c>
      <c r="O32" s="15">
        <f t="shared" si="4"/>
        <v>66.157793333333331</v>
      </c>
    </row>
    <row r="33" spans="9:15" x14ac:dyDescent="0.25">
      <c r="I33" s="34" t="s">
        <v>56</v>
      </c>
      <c r="J33" s="9">
        <v>11.4</v>
      </c>
      <c r="K33" s="9">
        <v>24.64</v>
      </c>
      <c r="L33" s="9">
        <v>26.400000000000002</v>
      </c>
      <c r="M33" s="9">
        <v>5.7</v>
      </c>
      <c r="N33" s="9">
        <v>6.5</v>
      </c>
      <c r="O33" s="15">
        <f t="shared" si="4"/>
        <v>71.99087055555556</v>
      </c>
    </row>
    <row r="34" spans="9:15" x14ac:dyDescent="0.25">
      <c r="I34" s="34" t="s">
        <v>89</v>
      </c>
      <c r="J34" s="9">
        <v>11.4</v>
      </c>
      <c r="K34" s="9">
        <v>30.800000000000004</v>
      </c>
      <c r="L34" s="9">
        <v>33</v>
      </c>
      <c r="M34" s="9">
        <v>5.7</v>
      </c>
      <c r="N34" s="9">
        <v>7.1</v>
      </c>
      <c r="O34" s="15">
        <f t="shared" si="4"/>
        <v>82.366360555555559</v>
      </c>
    </row>
    <row r="35" spans="9:15" ht="6" customHeight="1" x14ac:dyDescent="0.25">
      <c r="J35" s="1"/>
      <c r="K35" s="1"/>
      <c r="L35" s="1"/>
      <c r="M35" s="1"/>
      <c r="N35" s="1"/>
      <c r="O35" s="1"/>
    </row>
    <row r="36" spans="9:15" x14ac:dyDescent="0.25">
      <c r="I36" s="157" t="s">
        <v>67</v>
      </c>
      <c r="J36" s="157"/>
      <c r="K36" s="157"/>
      <c r="L36" s="157"/>
      <c r="M36" s="157"/>
      <c r="N36" s="157"/>
      <c r="O36" s="157"/>
    </row>
    <row r="37" spans="9:15" x14ac:dyDescent="0.25">
      <c r="I37" s="35" t="s">
        <v>253</v>
      </c>
      <c r="J37" s="4" t="s">
        <v>305</v>
      </c>
      <c r="K37" s="4" t="s">
        <v>320</v>
      </c>
      <c r="L37" s="4" t="s">
        <v>319</v>
      </c>
      <c r="M37" s="4" t="s">
        <v>306</v>
      </c>
      <c r="N37" s="4" t="s">
        <v>296</v>
      </c>
      <c r="O37" s="4" t="s">
        <v>297</v>
      </c>
    </row>
    <row r="38" spans="9:15" x14ac:dyDescent="0.25">
      <c r="I38" s="35"/>
      <c r="J38" s="5">
        <v>15.14</v>
      </c>
      <c r="K38" s="33">
        <v>17.68</v>
      </c>
      <c r="L38" s="33">
        <v>5.05</v>
      </c>
      <c r="M38" s="5">
        <v>15.14</v>
      </c>
      <c r="N38" s="7">
        <f>'Labour Rate'!$C$7</f>
        <v>48.39991666666667</v>
      </c>
      <c r="O38" s="4">
        <v>15</v>
      </c>
    </row>
    <row r="39" spans="9:15" x14ac:dyDescent="0.25">
      <c r="I39" s="34" t="s">
        <v>16</v>
      </c>
      <c r="J39" s="9">
        <v>11.4</v>
      </c>
      <c r="K39" s="9">
        <v>13.86</v>
      </c>
      <c r="L39" s="9">
        <v>14.85</v>
      </c>
      <c r="M39" s="9">
        <v>0</v>
      </c>
      <c r="N39" s="9">
        <v>5.3</v>
      </c>
      <c r="O39" s="15">
        <f>(($J$38*J39)+($K$38*K39)+($L$38*L39)+($M$38*M39)+($N$38*N39))/$O$38</f>
        <v>49.94352388888889</v>
      </c>
    </row>
    <row r="40" spans="9:15" x14ac:dyDescent="0.25">
      <c r="I40" s="34" t="s">
        <v>70</v>
      </c>
      <c r="J40" s="9">
        <v>11.4</v>
      </c>
      <c r="K40" s="9">
        <v>15.400000000000002</v>
      </c>
      <c r="L40" s="9">
        <v>16.5</v>
      </c>
      <c r="M40" s="9">
        <v>0</v>
      </c>
      <c r="N40" s="9">
        <v>5.3</v>
      </c>
      <c r="O40" s="15">
        <f t="shared" ref="O40:O45" si="5">(($J$38*J40)+($K$38*K40)+($L$38*L40)+($M$38*M40)+($N$38*N40))/$O$38</f>
        <v>52.314170555555556</v>
      </c>
    </row>
    <row r="41" spans="9:15" x14ac:dyDescent="0.25">
      <c r="I41" s="34" t="s">
        <v>87</v>
      </c>
      <c r="J41" s="9">
        <v>11.4</v>
      </c>
      <c r="K41" s="9">
        <v>16.939999999999998</v>
      </c>
      <c r="L41" s="9">
        <v>18.149999999999999</v>
      </c>
      <c r="M41" s="9">
        <v>0</v>
      </c>
      <c r="N41" s="9">
        <v>5.3</v>
      </c>
      <c r="O41" s="15">
        <f t="shared" si="5"/>
        <v>54.684817222222229</v>
      </c>
    </row>
    <row r="42" spans="9:15" x14ac:dyDescent="0.25">
      <c r="I42" s="34" t="s">
        <v>88</v>
      </c>
      <c r="J42" s="9">
        <v>11.4</v>
      </c>
      <c r="K42" s="9">
        <v>18.48</v>
      </c>
      <c r="L42" s="9">
        <v>19.799999999999997</v>
      </c>
      <c r="M42" s="9">
        <v>0</v>
      </c>
      <c r="N42" s="9">
        <v>5.3</v>
      </c>
      <c r="O42" s="15">
        <f t="shared" si="5"/>
        <v>57.055463888888895</v>
      </c>
    </row>
    <row r="43" spans="9:15" x14ac:dyDescent="0.25">
      <c r="I43" s="34" t="s">
        <v>68</v>
      </c>
      <c r="J43" s="9">
        <v>11.4</v>
      </c>
      <c r="K43" s="9">
        <v>21.560000000000002</v>
      </c>
      <c r="L43" s="9">
        <v>23.1</v>
      </c>
      <c r="M43" s="9">
        <v>5.7</v>
      </c>
      <c r="N43" s="9">
        <v>6</v>
      </c>
      <c r="O43" s="15">
        <f t="shared" si="5"/>
        <v>69.808620000000005</v>
      </c>
    </row>
    <row r="44" spans="9:15" x14ac:dyDescent="0.25">
      <c r="I44" s="34" t="s">
        <v>56</v>
      </c>
      <c r="J44" s="9">
        <v>11.4</v>
      </c>
      <c r="K44" s="9">
        <v>24.64</v>
      </c>
      <c r="L44" s="9">
        <v>26.400000000000002</v>
      </c>
      <c r="M44" s="9">
        <v>5.7</v>
      </c>
      <c r="N44" s="9">
        <v>6.5</v>
      </c>
      <c r="O44" s="15">
        <f t="shared" si="5"/>
        <v>76.163243888888886</v>
      </c>
    </row>
    <row r="45" spans="9:15" x14ac:dyDescent="0.25">
      <c r="I45" s="34" t="s">
        <v>89</v>
      </c>
      <c r="J45" s="9">
        <v>11.4</v>
      </c>
      <c r="K45" s="9">
        <v>30.800000000000004</v>
      </c>
      <c r="L45" s="9">
        <v>33</v>
      </c>
      <c r="M45" s="9">
        <v>5.7</v>
      </c>
      <c r="N45" s="9">
        <v>7.1</v>
      </c>
      <c r="O45" s="15">
        <f t="shared" si="5"/>
        <v>87.58182722222223</v>
      </c>
    </row>
  </sheetData>
  <mergeCells count="6">
    <mergeCell ref="A1:G1"/>
    <mergeCell ref="A3:G3"/>
    <mergeCell ref="A4:A5"/>
    <mergeCell ref="I3:O3"/>
    <mergeCell ref="I4:I5"/>
    <mergeCell ref="I1:O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78C7-D852-43F9-9D24-5538BAAD4FA1}">
  <sheetPr codeName="Sheet20">
    <tabColor rgb="FFFF0000"/>
  </sheetPr>
  <dimension ref="A1:G34"/>
  <sheetViews>
    <sheetView workbookViewId="0">
      <selection activeCell="D19" sqref="D19"/>
    </sheetView>
  </sheetViews>
  <sheetFormatPr defaultRowHeight="15" x14ac:dyDescent="0.25"/>
  <cols>
    <col min="1" max="1" width="7.85546875" bestFit="1" customWidth="1"/>
    <col min="2" max="2" width="26" bestFit="1" customWidth="1"/>
    <col min="3" max="3" width="30.85546875" bestFit="1" customWidth="1"/>
    <col min="4" max="4" width="28.140625" bestFit="1" customWidth="1"/>
    <col min="5" max="5" width="25.85546875" customWidth="1"/>
    <col min="6" max="6" width="15.85546875" bestFit="1" customWidth="1"/>
    <col min="7" max="7" width="31.85546875" bestFit="1" customWidth="1"/>
  </cols>
  <sheetData>
    <row r="1" spans="1:7" ht="18.75" x14ac:dyDescent="0.3">
      <c r="A1" s="303" t="s">
        <v>321</v>
      </c>
      <c r="B1" s="303"/>
      <c r="C1" s="303"/>
      <c r="D1" s="303"/>
      <c r="E1" s="303"/>
      <c r="F1" s="303"/>
      <c r="G1" s="303"/>
    </row>
    <row r="2" spans="1:7" ht="6" customHeight="1" x14ac:dyDescent="0.25">
      <c r="B2" s="1"/>
      <c r="C2" s="1"/>
      <c r="D2" s="1"/>
      <c r="E2" s="1"/>
      <c r="F2" s="1"/>
      <c r="G2" s="1"/>
    </row>
    <row r="3" spans="1:7" x14ac:dyDescent="0.25">
      <c r="A3" s="290" t="s">
        <v>274</v>
      </c>
      <c r="B3" s="290"/>
      <c r="C3" s="290"/>
      <c r="D3" s="290"/>
      <c r="E3" s="290"/>
      <c r="F3" s="290"/>
      <c r="G3" s="290"/>
    </row>
    <row r="4" spans="1:7" x14ac:dyDescent="0.25">
      <c r="A4" s="304" t="s">
        <v>253</v>
      </c>
      <c r="B4" s="4" t="s">
        <v>322</v>
      </c>
      <c r="C4" s="4" t="s">
        <v>323</v>
      </c>
      <c r="D4" s="4" t="s">
        <v>324</v>
      </c>
      <c r="E4" s="4" t="s">
        <v>325</v>
      </c>
      <c r="F4" s="4" t="s">
        <v>296</v>
      </c>
      <c r="G4" s="4" t="s">
        <v>297</v>
      </c>
    </row>
    <row r="5" spans="1:7" x14ac:dyDescent="0.25">
      <c r="A5" s="304"/>
      <c r="B5" s="5">
        <v>16.87</v>
      </c>
      <c r="C5" s="7">
        <v>8.7200000000000006</v>
      </c>
      <c r="D5" s="7">
        <v>2.9</v>
      </c>
      <c r="E5" s="5">
        <v>16.87</v>
      </c>
      <c r="F5" s="7">
        <f>'Labour Rate'!$C$7</f>
        <v>48.39991666666667</v>
      </c>
      <c r="G5" s="4">
        <v>15</v>
      </c>
    </row>
    <row r="6" spans="1:7" x14ac:dyDescent="0.25">
      <c r="A6" s="34" t="s">
        <v>16</v>
      </c>
      <c r="B6" s="9">
        <v>11.4</v>
      </c>
      <c r="C6" s="180">
        <v>27.72</v>
      </c>
      <c r="D6" s="9">
        <v>14.85</v>
      </c>
      <c r="E6" s="9">
        <v>0</v>
      </c>
      <c r="F6" s="9">
        <v>3.3</v>
      </c>
      <c r="G6" s="15">
        <f>(($B$5*B6)+($C$5*C6)+($D$5*D6)+($E$5*E6)+($F$5*F6))/$G$5</f>
        <v>42.454741666666671</v>
      </c>
    </row>
    <row r="7" spans="1:7" x14ac:dyDescent="0.25">
      <c r="A7" s="34" t="s">
        <v>70</v>
      </c>
      <c r="B7" s="9">
        <v>11.4</v>
      </c>
      <c r="C7" s="180">
        <v>30.800000000000004</v>
      </c>
      <c r="D7" s="9">
        <v>16.5</v>
      </c>
      <c r="E7" s="9">
        <v>0</v>
      </c>
      <c r="F7" s="9">
        <v>3.3</v>
      </c>
      <c r="G7" s="15">
        <f>(($B$5*B7)+($C$5*C7)+($D$5*D7)+($E$5*E7)+($F$5*F7))/$G$5</f>
        <v>44.564248333333346</v>
      </c>
    </row>
    <row r="8" spans="1:7" x14ac:dyDescent="0.25">
      <c r="A8" s="34" t="s">
        <v>88</v>
      </c>
      <c r="B8" s="9">
        <v>11.4</v>
      </c>
      <c r="C8" s="180">
        <v>36.866666666666667</v>
      </c>
      <c r="D8" s="9">
        <v>19.950000000000003</v>
      </c>
      <c r="E8" s="9">
        <v>0</v>
      </c>
      <c r="F8" s="9">
        <v>3.3</v>
      </c>
      <c r="G8" s="15">
        <f t="shared" ref="G8:G12" si="0">(($B$5*B8)+($C$5*C8)+($D$5*D8)+($E$5*E8)+($F$5*F8))/$G$5</f>
        <v>48.758003888888894</v>
      </c>
    </row>
    <row r="9" spans="1:7" x14ac:dyDescent="0.25">
      <c r="A9" s="34" t="s">
        <v>276</v>
      </c>
      <c r="B9" s="9">
        <v>11.4</v>
      </c>
      <c r="C9" s="180">
        <v>46.199999999999996</v>
      </c>
      <c r="D9" s="9">
        <v>24.75</v>
      </c>
      <c r="E9" s="9">
        <v>5.7</v>
      </c>
      <c r="F9" s="9">
        <v>4</v>
      </c>
      <c r="G9" s="15">
        <f t="shared" si="0"/>
        <v>63.781044444444447</v>
      </c>
    </row>
    <row r="10" spans="1:7" x14ac:dyDescent="0.25">
      <c r="A10" s="34" t="s">
        <v>277</v>
      </c>
      <c r="B10" s="9">
        <v>11.4</v>
      </c>
      <c r="C10" s="180">
        <v>55.44</v>
      </c>
      <c r="D10" s="9">
        <v>29.7</v>
      </c>
      <c r="E10" s="9">
        <v>5.7</v>
      </c>
      <c r="F10" s="9">
        <v>5.2</v>
      </c>
      <c r="G10" s="15">
        <f t="shared" si="0"/>
        <v>73.98155777777778</v>
      </c>
    </row>
    <row r="11" spans="1:7" x14ac:dyDescent="0.25">
      <c r="A11" s="34" t="s">
        <v>278</v>
      </c>
      <c r="B11" s="9">
        <v>11.4</v>
      </c>
      <c r="C11" s="180">
        <v>64.680000000000007</v>
      </c>
      <c r="D11" s="9">
        <v>34.65</v>
      </c>
      <c r="E11" s="9">
        <v>5.7</v>
      </c>
      <c r="F11" s="9">
        <v>6.3</v>
      </c>
      <c r="G11" s="15">
        <f t="shared" si="0"/>
        <v>83.859404999999995</v>
      </c>
    </row>
    <row r="12" spans="1:7" x14ac:dyDescent="0.25">
      <c r="A12" s="34" t="s">
        <v>279</v>
      </c>
      <c r="B12" s="9">
        <v>11.4</v>
      </c>
      <c r="C12" s="180">
        <v>73.92</v>
      </c>
      <c r="D12" s="9">
        <v>39.599999999999994</v>
      </c>
      <c r="E12" s="9">
        <v>5.7</v>
      </c>
      <c r="F12" s="9">
        <v>6.3</v>
      </c>
      <c r="G12" s="15">
        <f t="shared" si="0"/>
        <v>90.187924999999993</v>
      </c>
    </row>
    <row r="13" spans="1:7" ht="6" customHeight="1" x14ac:dyDescent="0.25">
      <c r="B13" s="1"/>
      <c r="C13" s="1"/>
      <c r="D13" s="1"/>
      <c r="E13" s="1"/>
      <c r="F13" s="1"/>
      <c r="G13" s="1"/>
    </row>
    <row r="14" spans="1:7" x14ac:dyDescent="0.25">
      <c r="A14" s="290" t="s">
        <v>280</v>
      </c>
      <c r="B14" s="290"/>
      <c r="C14" s="290"/>
      <c r="D14" s="290"/>
      <c r="E14" s="290"/>
      <c r="F14" s="290"/>
      <c r="G14" s="290"/>
    </row>
    <row r="15" spans="1:7" x14ac:dyDescent="0.25">
      <c r="A15" s="304" t="s">
        <v>253</v>
      </c>
      <c r="B15" s="4" t="s">
        <v>322</v>
      </c>
      <c r="C15" s="4" t="s">
        <v>323</v>
      </c>
      <c r="D15" s="4" t="s">
        <v>326</v>
      </c>
      <c r="E15" s="4" t="s">
        <v>325</v>
      </c>
      <c r="F15" s="4" t="s">
        <v>296</v>
      </c>
      <c r="G15" s="4" t="s">
        <v>297</v>
      </c>
    </row>
    <row r="16" spans="1:7" x14ac:dyDescent="0.25">
      <c r="A16" s="304"/>
      <c r="B16" s="5">
        <v>16.87</v>
      </c>
      <c r="C16" s="7">
        <v>8.7200000000000006</v>
      </c>
      <c r="D16" s="7">
        <v>13.59</v>
      </c>
      <c r="E16" s="5">
        <v>16.87</v>
      </c>
      <c r="F16" s="7">
        <f>'Labour Rate'!$C$7</f>
        <v>48.39991666666667</v>
      </c>
      <c r="G16" s="4">
        <v>15</v>
      </c>
    </row>
    <row r="17" spans="1:7" x14ac:dyDescent="0.25">
      <c r="A17" s="34" t="s">
        <v>16</v>
      </c>
      <c r="B17" s="9">
        <v>11.4</v>
      </c>
      <c r="C17" s="180">
        <v>27.72</v>
      </c>
      <c r="D17" s="9">
        <v>14.85</v>
      </c>
      <c r="E17" s="9">
        <v>0</v>
      </c>
      <c r="F17" s="9">
        <v>3.3</v>
      </c>
      <c r="G17" s="15">
        <f>(($B$16*B17)+($C$16*C17)+($D$16*D17)+($E$16*E17)+($F$16*F17))/$G$16</f>
        <v>53.037841666666665</v>
      </c>
    </row>
    <row r="18" spans="1:7" x14ac:dyDescent="0.25">
      <c r="A18" s="34" t="s">
        <v>70</v>
      </c>
      <c r="B18" s="9">
        <v>11.4</v>
      </c>
      <c r="C18" s="180">
        <v>30.800000000000004</v>
      </c>
      <c r="D18" s="9">
        <v>16.5</v>
      </c>
      <c r="E18" s="9">
        <v>0</v>
      </c>
      <c r="F18" s="9">
        <v>3.3</v>
      </c>
      <c r="G18" s="15">
        <f>(($B$16*B18)+($C$16*C18)+($D$16*D18)+($E$16*E18)+($F$16*F18))/$G$16</f>
        <v>56.323248333333346</v>
      </c>
    </row>
    <row r="19" spans="1:7" x14ac:dyDescent="0.25">
      <c r="A19" s="34" t="s">
        <v>88</v>
      </c>
      <c r="B19" s="9">
        <v>11.4</v>
      </c>
      <c r="C19" s="180">
        <v>36.866666666666667</v>
      </c>
      <c r="D19" s="9">
        <v>19.950000000000003</v>
      </c>
      <c r="E19" s="9">
        <v>0</v>
      </c>
      <c r="F19" s="9">
        <v>3.3</v>
      </c>
      <c r="G19" s="15">
        <f t="shared" ref="G19:G23" si="1">(($B$16*B19)+($C$16*C19)+($D$16*D19)+($E$16*E19)+($F$16*F19))/$G$16</f>
        <v>62.975703888888901</v>
      </c>
    </row>
    <row r="20" spans="1:7" x14ac:dyDescent="0.25">
      <c r="A20" s="34" t="s">
        <v>276</v>
      </c>
      <c r="B20" s="9">
        <v>11.4</v>
      </c>
      <c r="C20" s="180">
        <v>46.199999999999996</v>
      </c>
      <c r="D20" s="9">
        <v>24.75</v>
      </c>
      <c r="E20" s="9">
        <v>5.7</v>
      </c>
      <c r="F20" s="9">
        <v>4</v>
      </c>
      <c r="G20" s="15">
        <f t="shared" si="1"/>
        <v>81.419544444444455</v>
      </c>
    </row>
    <row r="21" spans="1:7" x14ac:dyDescent="0.25">
      <c r="A21" s="34" t="s">
        <v>277</v>
      </c>
      <c r="B21" s="9">
        <v>11.4</v>
      </c>
      <c r="C21" s="180">
        <v>55.44</v>
      </c>
      <c r="D21" s="9">
        <v>29.7</v>
      </c>
      <c r="E21" s="9">
        <v>5.7</v>
      </c>
      <c r="F21" s="9">
        <v>5.2</v>
      </c>
      <c r="G21" s="15">
        <f t="shared" si="1"/>
        <v>95.147757777777784</v>
      </c>
    </row>
    <row r="22" spans="1:7" x14ac:dyDescent="0.25">
      <c r="A22" s="34" t="s">
        <v>278</v>
      </c>
      <c r="B22" s="9">
        <v>11.4</v>
      </c>
      <c r="C22" s="180">
        <v>64.680000000000007</v>
      </c>
      <c r="D22" s="9">
        <v>34.65</v>
      </c>
      <c r="E22" s="9">
        <v>5.7</v>
      </c>
      <c r="F22" s="9">
        <v>6.3</v>
      </c>
      <c r="G22" s="15">
        <f t="shared" si="1"/>
        <v>108.55330499999999</v>
      </c>
    </row>
    <row r="23" spans="1:7" x14ac:dyDescent="0.25">
      <c r="A23" s="34" t="s">
        <v>279</v>
      </c>
      <c r="B23" s="9">
        <v>11.4</v>
      </c>
      <c r="C23" s="180">
        <v>73.92</v>
      </c>
      <c r="D23" s="9">
        <v>39.599999999999994</v>
      </c>
      <c r="E23" s="9">
        <v>5.7</v>
      </c>
      <c r="F23" s="9">
        <v>6.3</v>
      </c>
      <c r="G23" s="15">
        <f t="shared" si="1"/>
        <v>118.409525</v>
      </c>
    </row>
    <row r="24" spans="1:7" ht="6" customHeight="1" x14ac:dyDescent="0.25">
      <c r="B24" s="1"/>
      <c r="C24" s="1"/>
      <c r="D24" s="1"/>
      <c r="E24" s="1"/>
      <c r="F24" s="1"/>
      <c r="G24" s="1"/>
    </row>
    <row r="25" spans="1:7" x14ac:dyDescent="0.25">
      <c r="A25" s="290" t="s">
        <v>281</v>
      </c>
      <c r="B25" s="290"/>
      <c r="C25" s="290"/>
      <c r="D25" s="290"/>
      <c r="E25" s="290"/>
      <c r="F25" s="290"/>
      <c r="G25" s="290"/>
    </row>
    <row r="26" spans="1:7" x14ac:dyDescent="0.25">
      <c r="A26" s="304" t="s">
        <v>253</v>
      </c>
      <c r="B26" s="4" t="s">
        <v>322</v>
      </c>
      <c r="C26" s="4" t="s">
        <v>323</v>
      </c>
      <c r="D26" s="4" t="s">
        <v>327</v>
      </c>
      <c r="E26" s="4" t="s">
        <v>325</v>
      </c>
      <c r="F26" s="4" t="s">
        <v>296</v>
      </c>
      <c r="G26" s="4" t="s">
        <v>297</v>
      </c>
    </row>
    <row r="27" spans="1:7" x14ac:dyDescent="0.25">
      <c r="A27" s="304"/>
      <c r="B27" s="5">
        <v>16.87</v>
      </c>
      <c r="C27" s="7">
        <v>8.7200000000000006</v>
      </c>
      <c r="D27" s="7">
        <v>12.36</v>
      </c>
      <c r="E27" s="5">
        <v>16.87</v>
      </c>
      <c r="F27" s="7">
        <f>'Labour Rate'!$C$7</f>
        <v>48.39991666666667</v>
      </c>
      <c r="G27" s="4">
        <v>15</v>
      </c>
    </row>
    <row r="28" spans="1:7" x14ac:dyDescent="0.25">
      <c r="A28" s="34" t="s">
        <v>16</v>
      </c>
      <c r="B28" s="9">
        <v>11.4</v>
      </c>
      <c r="C28" s="180">
        <v>27.72</v>
      </c>
      <c r="D28" s="9">
        <v>14.85</v>
      </c>
      <c r="E28" s="9">
        <v>0</v>
      </c>
      <c r="F28" s="9">
        <v>3.3</v>
      </c>
      <c r="G28" s="15">
        <f>(($B$27*B28)+($C$27*C28)+($D$27*D28)+($E$27*E28)+($F$27*F28))/$G$27</f>
        <v>51.820141666666672</v>
      </c>
    </row>
    <row r="29" spans="1:7" x14ac:dyDescent="0.25">
      <c r="A29" s="34" t="s">
        <v>70</v>
      </c>
      <c r="B29" s="9">
        <v>11.4</v>
      </c>
      <c r="C29" s="180">
        <v>30.800000000000004</v>
      </c>
      <c r="D29" s="9">
        <v>16.5</v>
      </c>
      <c r="E29" s="9">
        <v>0</v>
      </c>
      <c r="F29" s="9">
        <v>3.3</v>
      </c>
      <c r="G29" s="15">
        <f>(($B$27*B29)+($C$27*C29)+($D$27*D29)+($E$27*E29)+($F$27*F29))/$G$27</f>
        <v>54.970248333333338</v>
      </c>
    </row>
    <row r="30" spans="1:7" x14ac:dyDescent="0.25">
      <c r="A30" s="34" t="s">
        <v>88</v>
      </c>
      <c r="B30" s="9">
        <v>11.4</v>
      </c>
      <c r="C30" s="180">
        <v>36.866666666666667</v>
      </c>
      <c r="D30" s="9">
        <v>19.950000000000003</v>
      </c>
      <c r="E30" s="9">
        <v>0</v>
      </c>
      <c r="F30" s="9">
        <v>3.3</v>
      </c>
      <c r="G30" s="15">
        <f t="shared" ref="G30:G34" si="2">(($B$27*B30)+($C$27*C30)+($D$27*D30)+($E$27*E30)+($F$27*F30))/$G$27</f>
        <v>61.339803888888895</v>
      </c>
    </row>
    <row r="31" spans="1:7" x14ac:dyDescent="0.25">
      <c r="A31" s="34" t="s">
        <v>276</v>
      </c>
      <c r="B31" s="9">
        <v>11.4</v>
      </c>
      <c r="C31" s="180">
        <v>46.199999999999996</v>
      </c>
      <c r="D31" s="9">
        <v>24.75</v>
      </c>
      <c r="E31" s="9">
        <v>5.7</v>
      </c>
      <c r="F31" s="9">
        <v>4</v>
      </c>
      <c r="G31" s="15">
        <f t="shared" si="2"/>
        <v>79.390044444444442</v>
      </c>
    </row>
    <row r="32" spans="1:7" x14ac:dyDescent="0.25">
      <c r="A32" s="34" t="s">
        <v>277</v>
      </c>
      <c r="B32" s="9">
        <v>11.4</v>
      </c>
      <c r="C32" s="180">
        <v>55.44</v>
      </c>
      <c r="D32" s="9">
        <v>29.7</v>
      </c>
      <c r="E32" s="9">
        <v>5.7</v>
      </c>
      <c r="F32" s="9">
        <v>5.2</v>
      </c>
      <c r="G32" s="15">
        <f t="shared" si="2"/>
        <v>92.712357777777783</v>
      </c>
    </row>
    <row r="33" spans="1:7" x14ac:dyDescent="0.25">
      <c r="A33" s="34" t="s">
        <v>278</v>
      </c>
      <c r="B33" s="9">
        <v>11.4</v>
      </c>
      <c r="C33" s="180">
        <v>64.680000000000007</v>
      </c>
      <c r="D33" s="9">
        <v>34.65</v>
      </c>
      <c r="E33" s="9">
        <v>5.7</v>
      </c>
      <c r="F33" s="9">
        <v>6.3</v>
      </c>
      <c r="G33" s="15">
        <f t="shared" si="2"/>
        <v>105.71200500000002</v>
      </c>
    </row>
    <row r="34" spans="1:7" x14ac:dyDescent="0.25">
      <c r="A34" s="34" t="s">
        <v>279</v>
      </c>
      <c r="B34" s="9">
        <v>11.4</v>
      </c>
      <c r="C34" s="180">
        <v>73.92</v>
      </c>
      <c r="D34" s="9">
        <v>39.599999999999994</v>
      </c>
      <c r="E34" s="9">
        <v>5.7</v>
      </c>
      <c r="F34" s="9">
        <v>6.3</v>
      </c>
      <c r="G34" s="15">
        <f t="shared" si="2"/>
        <v>115.162325</v>
      </c>
    </row>
  </sheetData>
  <mergeCells count="7">
    <mergeCell ref="A26:A27"/>
    <mergeCell ref="A14:G14"/>
    <mergeCell ref="A15:A16"/>
    <mergeCell ref="A25:G25"/>
    <mergeCell ref="A1:G1"/>
    <mergeCell ref="A3:G3"/>
    <mergeCell ref="A4:A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513C-510D-49EA-887A-574FFFD9B547}">
  <sheetPr codeName="Sheet21">
    <tabColor rgb="FFFF0000"/>
  </sheetPr>
  <dimension ref="A1:W105"/>
  <sheetViews>
    <sheetView zoomScaleNormal="100" workbookViewId="0">
      <selection activeCell="K99" sqref="K99"/>
    </sheetView>
  </sheetViews>
  <sheetFormatPr defaultRowHeight="15" x14ac:dyDescent="0.25"/>
  <cols>
    <col min="1" max="1" width="21.140625" bestFit="1" customWidth="1"/>
    <col min="2" max="2" width="30.42578125" style="1" bestFit="1" customWidth="1"/>
    <col min="3" max="3" width="19" style="1" customWidth="1"/>
    <col min="4" max="5" width="19.5703125" style="1" bestFit="1" customWidth="1"/>
    <col min="6" max="6" width="18.140625" style="1" bestFit="1" customWidth="1"/>
    <col min="7" max="7" width="11.140625" bestFit="1" customWidth="1"/>
    <col min="8" max="8" width="2.85546875" customWidth="1"/>
    <col min="9" max="9" width="21.140625" bestFit="1" customWidth="1"/>
    <col min="10" max="10" width="30.42578125" bestFit="1" customWidth="1"/>
    <col min="11" max="11" width="22.42578125" customWidth="1"/>
    <col min="12" max="13" width="19.5703125" bestFit="1" customWidth="1"/>
    <col min="14" max="14" width="15.85546875" bestFit="1" customWidth="1"/>
    <col min="15" max="15" width="11.140625" bestFit="1" customWidth="1"/>
    <col min="16" max="16" width="2.85546875" customWidth="1"/>
    <col min="17" max="17" width="20.85546875" bestFit="1" customWidth="1"/>
    <col min="18" max="18" width="30.42578125" bestFit="1" customWidth="1"/>
    <col min="19" max="20" width="19.5703125" bestFit="1" customWidth="1"/>
    <col min="21" max="21" width="18.85546875" bestFit="1" customWidth="1"/>
    <col min="22" max="22" width="15.85546875" bestFit="1" customWidth="1"/>
    <col min="23" max="23" width="11.140625" bestFit="1" customWidth="1"/>
  </cols>
  <sheetData>
    <row r="1" spans="1:23" ht="17.850000000000001" customHeight="1" x14ac:dyDescent="0.3">
      <c r="A1" s="303" t="s">
        <v>328</v>
      </c>
      <c r="B1" s="303"/>
      <c r="C1" s="303"/>
      <c r="D1" s="303"/>
      <c r="E1" s="303"/>
      <c r="F1" s="303"/>
      <c r="G1" s="303"/>
      <c r="I1" s="303" t="s">
        <v>329</v>
      </c>
      <c r="J1" s="303"/>
      <c r="K1" s="303"/>
      <c r="L1" s="303"/>
      <c r="M1" s="303"/>
      <c r="N1" s="303"/>
      <c r="O1" s="303"/>
      <c r="Q1" s="303" t="s">
        <v>330</v>
      </c>
      <c r="R1" s="303"/>
      <c r="S1" s="303"/>
      <c r="T1" s="303"/>
      <c r="U1" s="303"/>
      <c r="V1" s="303"/>
      <c r="W1" s="303"/>
    </row>
    <row r="2" spans="1:23" ht="5.85" customHeight="1" x14ac:dyDescent="0.25">
      <c r="A2" s="1"/>
      <c r="J2" s="1"/>
      <c r="K2" s="1"/>
      <c r="L2" s="1"/>
      <c r="M2" s="1"/>
      <c r="N2" s="1"/>
      <c r="R2" s="1"/>
      <c r="S2" s="1"/>
      <c r="T2" s="1"/>
      <c r="U2" s="1"/>
      <c r="V2" s="1"/>
    </row>
    <row r="3" spans="1:23" ht="14.85" customHeight="1" x14ac:dyDescent="0.25">
      <c r="A3" s="290" t="s">
        <v>331</v>
      </c>
      <c r="B3" s="290"/>
      <c r="C3" s="290"/>
      <c r="D3" s="290"/>
      <c r="E3" s="290"/>
      <c r="F3" s="290"/>
      <c r="G3" s="290"/>
      <c r="I3" s="290" t="s">
        <v>332</v>
      </c>
      <c r="J3" s="290"/>
      <c r="K3" s="290"/>
      <c r="L3" s="290"/>
      <c r="M3" s="290"/>
      <c r="N3" s="290"/>
      <c r="O3" s="290"/>
      <c r="Q3" s="290" t="s">
        <v>332</v>
      </c>
      <c r="R3" s="290"/>
      <c r="S3" s="290"/>
      <c r="T3" s="290"/>
      <c r="U3" s="290"/>
      <c r="V3" s="290"/>
      <c r="W3" s="290"/>
    </row>
    <row r="4" spans="1:23" x14ac:dyDescent="0.25">
      <c r="A4" s="304" t="s">
        <v>198</v>
      </c>
      <c r="B4" s="4" t="s">
        <v>333</v>
      </c>
      <c r="C4" s="4" t="s">
        <v>334</v>
      </c>
      <c r="D4" s="4" t="s">
        <v>335</v>
      </c>
      <c r="E4" s="4" t="s">
        <v>336</v>
      </c>
      <c r="F4" s="4" t="s">
        <v>296</v>
      </c>
      <c r="G4" s="304" t="s">
        <v>35</v>
      </c>
      <c r="I4" s="304" t="s">
        <v>198</v>
      </c>
      <c r="J4" s="4" t="s">
        <v>337</v>
      </c>
      <c r="K4" s="4" t="s">
        <v>334</v>
      </c>
      <c r="L4" s="4" t="s">
        <v>335</v>
      </c>
      <c r="M4" s="4" t="s">
        <v>336</v>
      </c>
      <c r="N4" s="4" t="s">
        <v>296</v>
      </c>
      <c r="O4" s="304" t="s">
        <v>35</v>
      </c>
      <c r="Q4" s="304" t="s">
        <v>198</v>
      </c>
      <c r="R4" s="4" t="s">
        <v>337</v>
      </c>
      <c r="S4" s="4" t="s">
        <v>338</v>
      </c>
      <c r="T4" s="4" t="s">
        <v>335</v>
      </c>
      <c r="U4" s="4" t="s">
        <v>336</v>
      </c>
      <c r="V4" s="4" t="s">
        <v>296</v>
      </c>
      <c r="W4" s="304" t="s">
        <v>35</v>
      </c>
    </row>
    <row r="5" spans="1:23" x14ac:dyDescent="0.25">
      <c r="A5" s="304" t="s">
        <v>339</v>
      </c>
      <c r="B5" s="5">
        <v>12.16</v>
      </c>
      <c r="C5" s="5">
        <v>3.03</v>
      </c>
      <c r="D5" s="5">
        <v>18.79</v>
      </c>
      <c r="E5" s="5">
        <v>1.97</v>
      </c>
      <c r="F5" s="7">
        <f>'Labour Rate'!$C$7</f>
        <v>48.39991666666667</v>
      </c>
      <c r="G5" s="304"/>
      <c r="I5" s="304" t="s">
        <v>339</v>
      </c>
      <c r="J5" s="5">
        <v>2.02</v>
      </c>
      <c r="K5" s="5">
        <v>3.03</v>
      </c>
      <c r="L5" s="5">
        <v>18.79</v>
      </c>
      <c r="M5" s="5">
        <v>1.97</v>
      </c>
      <c r="N5" s="7">
        <f>'Labour Rate'!$C$7</f>
        <v>48.39991666666667</v>
      </c>
      <c r="O5" s="304"/>
      <c r="Q5" s="304" t="s">
        <v>339</v>
      </c>
      <c r="R5" s="5">
        <v>2.02</v>
      </c>
      <c r="S5" s="5">
        <v>4.04</v>
      </c>
      <c r="T5" s="5">
        <v>18.79</v>
      </c>
      <c r="U5" s="5">
        <v>1.97</v>
      </c>
      <c r="V5" s="7">
        <f>'Labour Rate'!$C$7</f>
        <v>48.39991666666667</v>
      </c>
      <c r="W5" s="304"/>
    </row>
    <row r="6" spans="1:23" x14ac:dyDescent="0.25">
      <c r="A6" s="34" t="s">
        <v>231</v>
      </c>
      <c r="B6" s="9">
        <v>1.55</v>
      </c>
      <c r="C6" s="9">
        <v>1.1499999999999999</v>
      </c>
      <c r="D6" s="9">
        <v>0.7</v>
      </c>
      <c r="E6" s="9">
        <v>0.57499999999999996</v>
      </c>
      <c r="F6" s="9">
        <v>1.8</v>
      </c>
      <c r="G6" s="11">
        <f>($B$5*B6)+($C$5*C6)+($D$5*D6)+($E$5*E6)+($F$5*F6)</f>
        <v>123.73810000000002</v>
      </c>
      <c r="I6" s="34" t="s">
        <v>340</v>
      </c>
      <c r="J6" s="9">
        <v>2.2999999999999998</v>
      </c>
      <c r="K6" s="9">
        <v>1.1499999999999999</v>
      </c>
      <c r="L6" s="9">
        <v>0.46</v>
      </c>
      <c r="M6" s="9">
        <v>0.57499999999999996</v>
      </c>
      <c r="N6" s="9">
        <v>2</v>
      </c>
      <c r="O6" s="11">
        <f>($J$5*J6)+($K$5*K6)+($L$5*L6)+($M$5*M6)+($N$5*N6)</f>
        <v>114.70648333333334</v>
      </c>
      <c r="Q6" s="34" t="s">
        <v>340</v>
      </c>
      <c r="R6" s="9">
        <v>2.2999999999999998</v>
      </c>
      <c r="S6" s="9">
        <v>1.1499999999999999</v>
      </c>
      <c r="T6" s="9">
        <v>0.46</v>
      </c>
      <c r="U6" s="9">
        <v>0.57499999999999996</v>
      </c>
      <c r="V6" s="9">
        <v>2.5</v>
      </c>
      <c r="W6" s="11">
        <f>($R$5*R6)+($S$5*S6)+($T$5*T6)+($U$5*U6)+($V$5*V6)</f>
        <v>140.06794166666668</v>
      </c>
    </row>
    <row r="7" spans="1:23" ht="14.85" customHeight="1" x14ac:dyDescent="0.25">
      <c r="I7" s="34" t="s">
        <v>341</v>
      </c>
      <c r="J7" s="9">
        <v>2.2999999999999998</v>
      </c>
      <c r="K7" s="9">
        <v>1.1499999999999999</v>
      </c>
      <c r="L7" s="9">
        <v>0.115</v>
      </c>
      <c r="M7" s="9">
        <v>0.57499999999999996</v>
      </c>
      <c r="N7" s="9">
        <v>2</v>
      </c>
      <c r="O7" s="11">
        <f t="shared" ref="O7:O9" si="0">($J$5*J7)+($K$5*K7)+($L$5*L7)+($M$5*M7)+($N$5*N7)</f>
        <v>108.22393333333333</v>
      </c>
      <c r="Q7" s="34" t="s">
        <v>341</v>
      </c>
      <c r="R7" s="9">
        <v>2.2999999999999998</v>
      </c>
      <c r="S7" s="9">
        <v>1.1499999999999999</v>
      </c>
      <c r="T7" s="9">
        <v>0.115</v>
      </c>
      <c r="U7" s="9">
        <v>0.57499999999999996</v>
      </c>
      <c r="V7" s="9">
        <v>2.5</v>
      </c>
      <c r="W7" s="11">
        <f t="shared" ref="W7:W9" si="1">($R$5*R7)+($S$5*S7)+($T$5*T7)+($U$5*U7)+($V$5*V7)</f>
        <v>133.58539166666668</v>
      </c>
    </row>
    <row r="8" spans="1:23" ht="14.85" customHeight="1" x14ac:dyDescent="0.25">
      <c r="A8" s="290" t="s">
        <v>342</v>
      </c>
      <c r="B8" s="290"/>
      <c r="C8" s="290"/>
      <c r="D8" s="290"/>
      <c r="E8" s="290"/>
      <c r="F8" s="290"/>
      <c r="G8" s="290"/>
      <c r="I8" s="34" t="s">
        <v>343</v>
      </c>
      <c r="J8" s="9">
        <v>4.5999999999999996</v>
      </c>
      <c r="K8" s="9">
        <v>2.2999999999999998</v>
      </c>
      <c r="L8" s="9">
        <v>0.92</v>
      </c>
      <c r="M8" s="9">
        <v>0.57499999999999996</v>
      </c>
      <c r="N8" s="9">
        <v>3</v>
      </c>
      <c r="O8" s="11">
        <f t="shared" si="0"/>
        <v>179.88029999999998</v>
      </c>
      <c r="Q8" s="34" t="s">
        <v>343</v>
      </c>
      <c r="R8" s="9">
        <v>4.5999999999999996</v>
      </c>
      <c r="S8" s="9">
        <v>2.2999999999999998</v>
      </c>
      <c r="T8" s="9">
        <v>0.92</v>
      </c>
      <c r="U8" s="9">
        <v>0.57499999999999996</v>
      </c>
      <c r="V8" s="9">
        <v>3.5</v>
      </c>
      <c r="W8" s="11">
        <f t="shared" si="1"/>
        <v>206.40325833333333</v>
      </c>
    </row>
    <row r="9" spans="1:23" ht="14.85" customHeight="1" x14ac:dyDescent="0.25">
      <c r="A9" s="304" t="s">
        <v>198</v>
      </c>
      <c r="B9" s="4" t="s">
        <v>333</v>
      </c>
      <c r="C9" s="4" t="s">
        <v>334</v>
      </c>
      <c r="D9" s="4" t="s">
        <v>344</v>
      </c>
      <c r="E9" s="4" t="s">
        <v>345</v>
      </c>
      <c r="F9" s="4" t="s">
        <v>296</v>
      </c>
      <c r="G9" s="304" t="s">
        <v>35</v>
      </c>
      <c r="I9" s="34" t="s">
        <v>346</v>
      </c>
      <c r="J9" s="9">
        <v>4.5999999999999996</v>
      </c>
      <c r="K9" s="9">
        <v>2.2999999999999998</v>
      </c>
      <c r="L9" s="9">
        <v>0.23</v>
      </c>
      <c r="M9" s="9">
        <v>0.57499999999999996</v>
      </c>
      <c r="N9" s="9">
        <v>3</v>
      </c>
      <c r="O9" s="11">
        <f t="shared" si="0"/>
        <v>166.9152</v>
      </c>
      <c r="Q9" s="34" t="s">
        <v>346</v>
      </c>
      <c r="R9" s="9">
        <v>4.5999999999999996</v>
      </c>
      <c r="S9" s="9">
        <v>2.2999999999999998</v>
      </c>
      <c r="T9" s="9">
        <v>0.23</v>
      </c>
      <c r="U9" s="9">
        <v>0.57499999999999996</v>
      </c>
      <c r="V9" s="9">
        <v>3.5</v>
      </c>
      <c r="W9" s="11">
        <f t="shared" si="1"/>
        <v>193.43815833333335</v>
      </c>
    </row>
    <row r="10" spans="1:23" ht="14.85" customHeight="1" x14ac:dyDescent="0.25">
      <c r="A10" s="304" t="s">
        <v>339</v>
      </c>
      <c r="B10" s="5">
        <v>12.16</v>
      </c>
      <c r="C10" s="5">
        <v>3.03</v>
      </c>
      <c r="D10" s="5">
        <v>27.33</v>
      </c>
      <c r="E10" s="5">
        <v>3.52</v>
      </c>
      <c r="F10" s="7">
        <f>'Labour Rate'!$C$7</f>
        <v>48.39991666666667</v>
      </c>
      <c r="G10" s="304"/>
      <c r="J10" s="1"/>
      <c r="K10" s="1"/>
      <c r="L10" s="1"/>
      <c r="M10" s="1"/>
      <c r="N10" s="1"/>
      <c r="R10" s="1"/>
      <c r="S10" s="1"/>
      <c r="T10" s="1"/>
      <c r="U10" s="1"/>
      <c r="V10" s="1"/>
    </row>
    <row r="11" spans="1:23" ht="14.85" customHeight="1" x14ac:dyDescent="0.25">
      <c r="A11" s="34" t="s">
        <v>231</v>
      </c>
      <c r="B11" s="9">
        <v>1.55</v>
      </c>
      <c r="C11" s="9">
        <v>1.1499999999999999</v>
      </c>
      <c r="D11" s="9">
        <v>0.7</v>
      </c>
      <c r="E11" s="9">
        <v>0.57499999999999996</v>
      </c>
      <c r="F11" s="9">
        <v>1.8</v>
      </c>
      <c r="G11" s="11">
        <f>($B$10*B11)+($C$10*C11)+($D$10*D11)+($E$10*E11)+($F$10*F11)</f>
        <v>130.60735</v>
      </c>
      <c r="I11" s="290" t="s">
        <v>347</v>
      </c>
      <c r="J11" s="290"/>
      <c r="K11" s="290"/>
      <c r="L11" s="290"/>
      <c r="M11" s="290"/>
      <c r="N11" s="290"/>
      <c r="O11" s="290"/>
      <c r="Q11" s="290" t="s">
        <v>347</v>
      </c>
      <c r="R11" s="290"/>
      <c r="S11" s="290"/>
      <c r="T11" s="290"/>
      <c r="U11" s="290"/>
      <c r="V11" s="290"/>
      <c r="W11" s="290"/>
    </row>
    <row r="12" spans="1:23" ht="14.85" customHeight="1" x14ac:dyDescent="0.25">
      <c r="I12" s="304" t="s">
        <v>198</v>
      </c>
      <c r="J12" s="4" t="s">
        <v>333</v>
      </c>
      <c r="K12" s="4" t="s">
        <v>348</v>
      </c>
      <c r="L12" s="4" t="s">
        <v>335</v>
      </c>
      <c r="M12" s="4" t="s">
        <v>336</v>
      </c>
      <c r="N12" s="4" t="s">
        <v>296</v>
      </c>
      <c r="O12" s="304" t="s">
        <v>35</v>
      </c>
      <c r="Q12" s="304" t="s">
        <v>198</v>
      </c>
      <c r="R12" s="4" t="s">
        <v>333</v>
      </c>
      <c r="S12" s="4" t="s">
        <v>348</v>
      </c>
      <c r="T12" s="4" t="s">
        <v>335</v>
      </c>
      <c r="U12" s="4" t="s">
        <v>336</v>
      </c>
      <c r="V12" s="4" t="s">
        <v>296</v>
      </c>
      <c r="W12" s="304" t="s">
        <v>35</v>
      </c>
    </row>
    <row r="13" spans="1:23" ht="14.85" customHeight="1" x14ac:dyDescent="0.25">
      <c r="A13" s="290" t="s">
        <v>349</v>
      </c>
      <c r="B13" s="290"/>
      <c r="C13" s="290"/>
      <c r="D13" s="290"/>
      <c r="E13" s="290"/>
      <c r="F13" s="290"/>
      <c r="G13" s="290"/>
      <c r="I13" s="304" t="s">
        <v>339</v>
      </c>
      <c r="J13" s="5">
        <v>12.16</v>
      </c>
      <c r="K13" s="5">
        <v>6.05</v>
      </c>
      <c r="L13" s="5">
        <v>18.79</v>
      </c>
      <c r="M13" s="5">
        <v>1.97</v>
      </c>
      <c r="N13" s="7">
        <f>'Labour Rate'!$C$7</f>
        <v>48.39991666666667</v>
      </c>
      <c r="O13" s="304"/>
      <c r="Q13" s="304" t="s">
        <v>339</v>
      </c>
      <c r="R13" s="5">
        <v>12.16</v>
      </c>
      <c r="S13" s="5">
        <v>6.05</v>
      </c>
      <c r="T13" s="5">
        <v>18.79</v>
      </c>
      <c r="U13" s="5">
        <v>1.97</v>
      </c>
      <c r="V13" s="7">
        <f>'Labour Rate'!$C$7</f>
        <v>48.39991666666667</v>
      </c>
      <c r="W13" s="304"/>
    </row>
    <row r="14" spans="1:23" ht="14.85" customHeight="1" x14ac:dyDescent="0.25">
      <c r="A14" s="304" t="s">
        <v>198</v>
      </c>
      <c r="B14" s="4" t="s">
        <v>350</v>
      </c>
      <c r="C14" s="4" t="s">
        <v>351</v>
      </c>
      <c r="D14" s="4" t="s">
        <v>352</v>
      </c>
      <c r="E14" s="4" t="s">
        <v>353</v>
      </c>
      <c r="F14" s="4" t="s">
        <v>296</v>
      </c>
      <c r="G14" s="304" t="s">
        <v>35</v>
      </c>
      <c r="I14" s="34" t="s">
        <v>341</v>
      </c>
      <c r="J14" s="9">
        <v>2.2999999999999998</v>
      </c>
      <c r="K14" s="9">
        <v>1.1499999999999999</v>
      </c>
      <c r="L14" s="9">
        <v>1.2649999999999999</v>
      </c>
      <c r="M14" s="9">
        <v>0.57499999999999996</v>
      </c>
      <c r="N14" s="9">
        <v>3.5</v>
      </c>
      <c r="O14" s="11">
        <f>($J$13*J14)+($K$13*K14)+($L$13*L14)+($M$13*M14)+($N$13*N14)</f>
        <v>229.22730833333333</v>
      </c>
      <c r="Q14" s="34" t="s">
        <v>341</v>
      </c>
      <c r="R14" s="9">
        <v>2.2999999999999998</v>
      </c>
      <c r="S14" s="9">
        <v>1.1499999999999999</v>
      </c>
      <c r="T14" s="9">
        <v>1.2649999999999999</v>
      </c>
      <c r="U14" s="9">
        <v>0.57499999999999996</v>
      </c>
      <c r="V14" s="9">
        <v>4</v>
      </c>
      <c r="W14" s="11">
        <f>($R$13*R14)+($S$13*S14)+($T$13*T14)+($U$13*U14)+($V$13*V14)</f>
        <v>253.42726666666667</v>
      </c>
    </row>
    <row r="15" spans="1:23" ht="14.85" customHeight="1" x14ac:dyDescent="0.25">
      <c r="A15" s="304" t="s">
        <v>339</v>
      </c>
      <c r="B15" s="5">
        <v>14.39</v>
      </c>
      <c r="C15" s="5">
        <v>3.6</v>
      </c>
      <c r="D15" s="5">
        <v>35.56</v>
      </c>
      <c r="E15" s="5">
        <v>4.09</v>
      </c>
      <c r="F15" s="7">
        <f>'Labour Rate'!$C$7</f>
        <v>48.39991666666667</v>
      </c>
      <c r="G15" s="304"/>
      <c r="I15" s="34" t="s">
        <v>354</v>
      </c>
      <c r="J15" s="9">
        <v>2.2999999999999998</v>
      </c>
      <c r="K15" s="9">
        <v>1.1499999999999999</v>
      </c>
      <c r="L15" s="9">
        <v>0.57499999999999996</v>
      </c>
      <c r="M15" s="9">
        <v>0.57499999999999996</v>
      </c>
      <c r="N15" s="9">
        <v>3.5</v>
      </c>
      <c r="O15" s="11">
        <f>($J$13*J15)+($K$13*K15)+($L$13*L15)+($M$13*M15)+($N$13*N15)</f>
        <v>216.26220833333332</v>
      </c>
      <c r="Q15" s="34" t="s">
        <v>354</v>
      </c>
      <c r="R15" s="9">
        <v>2.2999999999999998</v>
      </c>
      <c r="S15" s="9">
        <v>1.1499999999999999</v>
      </c>
      <c r="T15" s="9">
        <v>0.57499999999999996</v>
      </c>
      <c r="U15" s="9">
        <v>0.57499999999999996</v>
      </c>
      <c r="V15" s="9">
        <v>4</v>
      </c>
      <c r="W15" s="11">
        <f>($R$13*R15)+($S$13*S15)+($T$13*T15)+($U$13*U15)+($V$13*V15)</f>
        <v>240.46216666666669</v>
      </c>
    </row>
    <row r="16" spans="1:23" ht="14.85" customHeight="1" x14ac:dyDescent="0.25">
      <c r="A16" s="34" t="s">
        <v>231</v>
      </c>
      <c r="B16" s="9">
        <v>1.55</v>
      </c>
      <c r="C16" s="9">
        <v>1.1499999999999999</v>
      </c>
      <c r="D16" s="9">
        <v>0.7</v>
      </c>
      <c r="E16" s="9">
        <v>0.57499999999999996</v>
      </c>
      <c r="F16" s="9">
        <v>1.8</v>
      </c>
      <c r="G16" s="11">
        <f>($B$15*B16)+($C$15*C16)+($D$15*D16)+($E$15*E16)+($F$15*F16)</f>
        <v>140.80810000000002</v>
      </c>
    </row>
    <row r="17" spans="1:23" ht="14.85" customHeight="1" x14ac:dyDescent="0.25"/>
    <row r="18" spans="1:23" ht="14.85" customHeight="1" x14ac:dyDescent="0.25">
      <c r="A18" s="290" t="s">
        <v>355</v>
      </c>
      <c r="B18" s="290"/>
      <c r="C18" s="290"/>
      <c r="D18" s="290"/>
      <c r="E18" s="290"/>
      <c r="F18" s="290"/>
      <c r="G18" s="290"/>
      <c r="I18" s="290" t="s">
        <v>356</v>
      </c>
      <c r="J18" s="290"/>
      <c r="K18" s="290"/>
      <c r="L18" s="290"/>
      <c r="M18" s="290"/>
      <c r="N18" s="290"/>
      <c r="O18" s="290"/>
      <c r="Q18" s="290" t="s">
        <v>356</v>
      </c>
      <c r="R18" s="290"/>
      <c r="S18" s="290"/>
      <c r="T18" s="290"/>
      <c r="U18" s="290"/>
      <c r="V18" s="290"/>
      <c r="W18" s="290"/>
    </row>
    <row r="19" spans="1:23" ht="14.85" customHeight="1" x14ac:dyDescent="0.25">
      <c r="A19" s="304" t="s">
        <v>198</v>
      </c>
      <c r="B19" s="4" t="s">
        <v>333</v>
      </c>
      <c r="C19" s="4" t="s">
        <v>334</v>
      </c>
      <c r="D19" s="4" t="s">
        <v>333</v>
      </c>
      <c r="E19" s="4" t="s">
        <v>357</v>
      </c>
      <c r="F19" s="4" t="s">
        <v>296</v>
      </c>
      <c r="G19" s="304" t="s">
        <v>35</v>
      </c>
      <c r="I19" s="304" t="s">
        <v>198</v>
      </c>
      <c r="J19" s="4" t="s">
        <v>337</v>
      </c>
      <c r="K19" s="4" t="s">
        <v>334</v>
      </c>
      <c r="L19" s="4" t="s">
        <v>344</v>
      </c>
      <c r="M19" s="4" t="s">
        <v>345</v>
      </c>
      <c r="N19" s="4" t="s">
        <v>296</v>
      </c>
      <c r="O19" s="304" t="s">
        <v>35</v>
      </c>
      <c r="Q19" s="304" t="s">
        <v>198</v>
      </c>
      <c r="R19" s="4" t="s">
        <v>337</v>
      </c>
      <c r="S19" s="4" t="s">
        <v>338</v>
      </c>
      <c r="T19" s="4" t="s">
        <v>344</v>
      </c>
      <c r="U19" s="4" t="s">
        <v>345</v>
      </c>
      <c r="V19" s="4" t="s">
        <v>296</v>
      </c>
      <c r="W19" s="304" t="s">
        <v>35</v>
      </c>
    </row>
    <row r="20" spans="1:23" ht="14.85" customHeight="1" x14ac:dyDescent="0.25">
      <c r="A20" s="304" t="s">
        <v>339</v>
      </c>
      <c r="B20" s="5">
        <v>12.16</v>
      </c>
      <c r="C20" s="5">
        <v>3.03</v>
      </c>
      <c r="D20" s="5">
        <v>48.64</v>
      </c>
      <c r="E20" s="5">
        <v>10.1</v>
      </c>
      <c r="F20" s="7">
        <f>'Labour Rate'!$C$7</f>
        <v>48.39991666666667</v>
      </c>
      <c r="G20" s="304"/>
      <c r="I20" s="304" t="s">
        <v>339</v>
      </c>
      <c r="J20" s="5">
        <v>2.02</v>
      </c>
      <c r="K20" s="5">
        <v>3.03</v>
      </c>
      <c r="L20" s="5">
        <v>27.33</v>
      </c>
      <c r="M20" s="5">
        <v>3.52</v>
      </c>
      <c r="N20" s="7">
        <f>'Labour Rate'!$C$7</f>
        <v>48.39991666666667</v>
      </c>
      <c r="O20" s="304"/>
      <c r="Q20" s="304" t="s">
        <v>339</v>
      </c>
      <c r="R20" s="5">
        <v>2.02</v>
      </c>
      <c r="S20" s="5">
        <v>4.04</v>
      </c>
      <c r="T20" s="5">
        <v>27.33</v>
      </c>
      <c r="U20" s="5">
        <v>3.52</v>
      </c>
      <c r="V20" s="7">
        <f>'Labour Rate'!$C$7</f>
        <v>48.39991666666667</v>
      </c>
      <c r="W20" s="304"/>
    </row>
    <row r="21" spans="1:23" ht="14.85" customHeight="1" x14ac:dyDescent="0.25">
      <c r="A21" s="34" t="s">
        <v>231</v>
      </c>
      <c r="B21" s="9">
        <v>1.55</v>
      </c>
      <c r="C21" s="9">
        <v>1.1499999999999999</v>
      </c>
      <c r="D21" s="9">
        <v>0.7</v>
      </c>
      <c r="E21" s="9">
        <v>0.57499999999999996</v>
      </c>
      <c r="F21" s="9">
        <v>2.5</v>
      </c>
      <c r="G21" s="11">
        <f>($B$20*B21)+($C$20*C21)+($D$20*D21)+($E$20*E21)+($F$20*F21)</f>
        <v>183.18779166666667</v>
      </c>
      <c r="I21" s="34" t="s">
        <v>340</v>
      </c>
      <c r="J21" s="9">
        <v>2.2999999999999998</v>
      </c>
      <c r="K21" s="9">
        <v>1.1499999999999999</v>
      </c>
      <c r="L21" s="9">
        <v>0.46</v>
      </c>
      <c r="M21" s="9">
        <v>0.57499999999999996</v>
      </c>
      <c r="N21" s="9">
        <v>2</v>
      </c>
      <c r="O21" s="11">
        <f>($J$20*J21)+($K$20*K21)+($L$20*L21)+($M$20*M21)+($N$20*N21)</f>
        <v>119.52613333333335</v>
      </c>
      <c r="Q21" s="34" t="s">
        <v>340</v>
      </c>
      <c r="R21" s="9">
        <v>2.2999999999999998</v>
      </c>
      <c r="S21" s="9">
        <v>1.1499999999999999</v>
      </c>
      <c r="T21" s="9">
        <v>0.46</v>
      </c>
      <c r="U21" s="9">
        <v>0.57499999999999996</v>
      </c>
      <c r="V21" s="9">
        <v>2.5</v>
      </c>
      <c r="W21" s="11">
        <f>($R$20*R21)+($S$20*S21)+($T$20*T21)+($U$20*U21)+($V$20*V21)</f>
        <v>144.88759166666668</v>
      </c>
    </row>
    <row r="22" spans="1:23" ht="14.85" customHeight="1" x14ac:dyDescent="0.25">
      <c r="I22" s="34" t="s">
        <v>341</v>
      </c>
      <c r="J22" s="9">
        <v>2.2999999999999998</v>
      </c>
      <c r="K22" s="9">
        <v>1.1499999999999999</v>
      </c>
      <c r="L22" s="9">
        <v>0.115</v>
      </c>
      <c r="M22" s="9">
        <v>0.57499999999999996</v>
      </c>
      <c r="N22" s="9">
        <v>2</v>
      </c>
      <c r="O22" s="11">
        <f t="shared" ref="O22:O24" si="2">($J$20*J22)+($K$20*K22)+($L$20*L22)+($M$20*M22)+($N$20*N22)</f>
        <v>110.09728333333334</v>
      </c>
      <c r="Q22" s="34" t="s">
        <v>341</v>
      </c>
      <c r="R22" s="9">
        <v>2.2999999999999998</v>
      </c>
      <c r="S22" s="9">
        <v>1.1499999999999999</v>
      </c>
      <c r="T22" s="9">
        <v>0.115</v>
      </c>
      <c r="U22" s="9">
        <v>0.57499999999999996</v>
      </c>
      <c r="V22" s="9">
        <v>2.5</v>
      </c>
      <c r="W22" s="11">
        <f t="shared" ref="W22:W24" si="3">($R$20*R22)+($S$20*S22)+($T$20*T22)+($U$20*U22)+($V$20*V22)</f>
        <v>135.4587416666667</v>
      </c>
    </row>
    <row r="23" spans="1:23" x14ac:dyDescent="0.25">
      <c r="A23" s="290" t="s">
        <v>243</v>
      </c>
      <c r="B23" s="290"/>
      <c r="C23" s="290"/>
      <c r="D23" s="290"/>
      <c r="E23" s="290"/>
      <c r="F23" s="290"/>
      <c r="G23" s="290"/>
      <c r="I23" s="34" t="s">
        <v>343</v>
      </c>
      <c r="J23" s="9">
        <v>4.5999999999999996</v>
      </c>
      <c r="K23" s="9">
        <v>2.2999999999999998</v>
      </c>
      <c r="L23" s="9">
        <v>0.92</v>
      </c>
      <c r="M23" s="9">
        <v>0.57499999999999996</v>
      </c>
      <c r="N23" s="9">
        <v>3</v>
      </c>
      <c r="O23" s="11">
        <f t="shared" si="2"/>
        <v>188.62835000000001</v>
      </c>
      <c r="Q23" s="34" t="s">
        <v>343</v>
      </c>
      <c r="R23" s="9">
        <v>4.5999999999999996</v>
      </c>
      <c r="S23" s="9">
        <v>2.2999999999999998</v>
      </c>
      <c r="T23" s="9">
        <v>0.92</v>
      </c>
      <c r="U23" s="9">
        <v>0.57499999999999996</v>
      </c>
      <c r="V23" s="9">
        <v>3.5</v>
      </c>
      <c r="W23" s="11">
        <f t="shared" si="3"/>
        <v>215.15130833333333</v>
      </c>
    </row>
    <row r="24" spans="1:23" x14ac:dyDescent="0.25">
      <c r="A24" s="304" t="s">
        <v>198</v>
      </c>
      <c r="B24" s="4" t="s">
        <v>350</v>
      </c>
      <c r="C24" s="4" t="s">
        <v>351</v>
      </c>
      <c r="D24" s="4" t="s">
        <v>358</v>
      </c>
      <c r="E24" s="4" t="s">
        <v>359</v>
      </c>
      <c r="F24" s="4" t="s">
        <v>296</v>
      </c>
      <c r="G24" s="304" t="s">
        <v>35</v>
      </c>
      <c r="I24" s="34" t="s">
        <v>346</v>
      </c>
      <c r="J24" s="9">
        <v>4.5999999999999996</v>
      </c>
      <c r="K24" s="9">
        <v>2.2999999999999998</v>
      </c>
      <c r="L24" s="9">
        <v>0.23</v>
      </c>
      <c r="M24" s="9">
        <v>0.57499999999999996</v>
      </c>
      <c r="N24" s="9">
        <v>3</v>
      </c>
      <c r="O24" s="11">
        <f t="shared" si="2"/>
        <v>169.77064999999999</v>
      </c>
      <c r="Q24" s="34" t="s">
        <v>346</v>
      </c>
      <c r="R24" s="9">
        <v>4.5999999999999996</v>
      </c>
      <c r="S24" s="9">
        <v>2.2999999999999998</v>
      </c>
      <c r="T24" s="9">
        <v>0.23</v>
      </c>
      <c r="U24" s="9">
        <v>0.57499999999999996</v>
      </c>
      <c r="V24" s="9">
        <v>3.5</v>
      </c>
      <c r="W24" s="11">
        <f t="shared" si="3"/>
        <v>196.29360833333334</v>
      </c>
    </row>
    <row r="25" spans="1:23" x14ac:dyDescent="0.25">
      <c r="A25" s="304" t="s">
        <v>339</v>
      </c>
      <c r="B25" s="5">
        <v>16.88</v>
      </c>
      <c r="C25" s="5">
        <v>4.63</v>
      </c>
      <c r="D25" s="5">
        <v>61.04</v>
      </c>
      <c r="E25" s="5">
        <v>13.59</v>
      </c>
      <c r="F25" s="7">
        <f>'Labour Rate'!$C$7</f>
        <v>48.39991666666667</v>
      </c>
      <c r="G25" s="304"/>
      <c r="J25" s="1"/>
      <c r="K25" s="1"/>
      <c r="L25" s="1"/>
      <c r="M25" s="1"/>
      <c r="N25" s="1"/>
      <c r="R25" s="1"/>
      <c r="S25" s="1"/>
      <c r="T25" s="1"/>
      <c r="U25" s="1"/>
      <c r="V25" s="1"/>
    </row>
    <row r="26" spans="1:23" ht="18.75" x14ac:dyDescent="0.3">
      <c r="A26" s="34" t="s">
        <v>231</v>
      </c>
      <c r="B26" s="9">
        <v>1.55</v>
      </c>
      <c r="C26" s="9">
        <v>1.1499999999999999</v>
      </c>
      <c r="D26" s="9">
        <v>0.7</v>
      </c>
      <c r="E26" s="9">
        <v>0.57499999999999996</v>
      </c>
      <c r="F26" s="9">
        <v>2.5</v>
      </c>
      <c r="G26" s="11">
        <f>($B$25*B26)+($C$25*C26)+($D$25*D26)+($E$25*E26)+($F$25*F26)</f>
        <v>203.03054166666669</v>
      </c>
      <c r="I26" s="290" t="s">
        <v>360</v>
      </c>
      <c r="J26" s="290"/>
      <c r="K26" s="290"/>
      <c r="L26" s="290"/>
      <c r="M26" s="290"/>
      <c r="N26" s="290"/>
      <c r="O26" s="290"/>
      <c r="Q26" s="290" t="s">
        <v>360</v>
      </c>
      <c r="R26" s="290"/>
      <c r="S26" s="290"/>
      <c r="T26" s="290"/>
      <c r="U26" s="290"/>
      <c r="V26" s="290"/>
      <c r="W26" s="290"/>
    </row>
    <row r="27" spans="1:23" ht="14.85" customHeight="1" x14ac:dyDescent="0.25">
      <c r="I27" s="304" t="s">
        <v>198</v>
      </c>
      <c r="J27" s="4" t="s">
        <v>333</v>
      </c>
      <c r="K27" s="4" t="s">
        <v>348</v>
      </c>
      <c r="L27" s="4" t="s">
        <v>344</v>
      </c>
      <c r="M27" s="4" t="s">
        <v>345</v>
      </c>
      <c r="N27" s="4" t="s">
        <v>296</v>
      </c>
      <c r="O27" s="304" t="s">
        <v>35</v>
      </c>
      <c r="Q27" s="304" t="s">
        <v>198</v>
      </c>
      <c r="R27" s="4" t="s">
        <v>333</v>
      </c>
      <c r="S27" s="4" t="s">
        <v>348</v>
      </c>
      <c r="T27" s="4" t="s">
        <v>344</v>
      </c>
      <c r="U27" s="4" t="s">
        <v>345</v>
      </c>
      <c r="V27" s="4" t="s">
        <v>296</v>
      </c>
      <c r="W27" s="304" t="s">
        <v>35</v>
      </c>
    </row>
    <row r="28" spans="1:23" ht="14.85" customHeight="1" x14ac:dyDescent="0.25">
      <c r="I28" s="304" t="s">
        <v>339</v>
      </c>
      <c r="J28" s="5">
        <v>12.16</v>
      </c>
      <c r="K28" s="5">
        <v>6.05</v>
      </c>
      <c r="L28" s="5">
        <v>27.33</v>
      </c>
      <c r="M28" s="5">
        <v>3.52</v>
      </c>
      <c r="N28" s="7">
        <f>'Labour Rate'!$C$7</f>
        <v>48.39991666666667</v>
      </c>
      <c r="O28" s="304"/>
      <c r="Q28" s="304" t="s">
        <v>339</v>
      </c>
      <c r="R28" s="5">
        <v>12.16</v>
      </c>
      <c r="S28" s="5">
        <v>6.05</v>
      </c>
      <c r="T28" s="5">
        <v>27.33</v>
      </c>
      <c r="U28" s="5">
        <v>3.52</v>
      </c>
      <c r="V28" s="7">
        <f>'Labour Rate'!$C$7</f>
        <v>48.39991666666667</v>
      </c>
      <c r="W28" s="304"/>
    </row>
    <row r="29" spans="1:23" ht="14.85" customHeight="1" x14ac:dyDescent="0.25">
      <c r="I29" s="34" t="s">
        <v>341</v>
      </c>
      <c r="J29" s="9">
        <v>2.2999999999999998</v>
      </c>
      <c r="K29" s="9">
        <v>1.1499999999999999</v>
      </c>
      <c r="L29" s="9">
        <v>1.2649999999999999</v>
      </c>
      <c r="M29" s="9">
        <v>0.57499999999999996</v>
      </c>
      <c r="N29" s="9">
        <v>3.5</v>
      </c>
      <c r="O29" s="11">
        <f>($J$28*J29)+($K$28*K29)+($L$28*L29)+($M$28*M29)+($N$28*N29)</f>
        <v>240.92165833333334</v>
      </c>
      <c r="Q29" s="34" t="s">
        <v>341</v>
      </c>
      <c r="R29" s="9">
        <v>2.2999999999999998</v>
      </c>
      <c r="S29" s="9">
        <v>1.1499999999999999</v>
      </c>
      <c r="T29" s="9">
        <v>1.2649999999999999</v>
      </c>
      <c r="U29" s="9">
        <v>0.57499999999999996</v>
      </c>
      <c r="V29" s="9">
        <v>4</v>
      </c>
      <c r="W29" s="11">
        <f>($R$28*R29)+($S$28*S29)+($T$28*T29)+($U$28*U29)+($V$28*V29)</f>
        <v>265.12161666666668</v>
      </c>
    </row>
    <row r="30" spans="1:23" ht="14.85" customHeight="1" x14ac:dyDescent="0.25">
      <c r="I30" s="34" t="s">
        <v>354</v>
      </c>
      <c r="J30" s="9">
        <v>2.2999999999999998</v>
      </c>
      <c r="K30" s="9">
        <v>1.1499999999999999</v>
      </c>
      <c r="L30" s="9">
        <v>0.57499999999999996</v>
      </c>
      <c r="M30" s="9">
        <v>0.57499999999999996</v>
      </c>
      <c r="N30" s="9">
        <v>3.5</v>
      </c>
      <c r="O30" s="11">
        <f>($J$28*J30)+($L$28*L30)+($M$28*M30)+($N$28*N30)</f>
        <v>215.10645833333334</v>
      </c>
      <c r="Q30" s="34" t="s">
        <v>354</v>
      </c>
      <c r="R30" s="9">
        <v>2.2999999999999998</v>
      </c>
      <c r="S30" s="9">
        <v>1.1499999999999999</v>
      </c>
      <c r="T30" s="9">
        <v>0.57499999999999996</v>
      </c>
      <c r="U30" s="9">
        <v>0.57499999999999996</v>
      </c>
      <c r="V30" s="9">
        <v>4</v>
      </c>
      <c r="W30" s="11">
        <f>($R$28*R30)+($S$28*S30)+($T$28*T30)+($U$28*U30)+($V$28*V30)</f>
        <v>246.26391666666666</v>
      </c>
    </row>
    <row r="31" spans="1:23" ht="14.85" customHeight="1" x14ac:dyDescent="0.25"/>
    <row r="32" spans="1:23" ht="14.85" customHeight="1" x14ac:dyDescent="0.25"/>
    <row r="33" spans="9:23" ht="14.85" customHeight="1" x14ac:dyDescent="0.25">
      <c r="I33" s="290" t="s">
        <v>361</v>
      </c>
      <c r="J33" s="290"/>
      <c r="K33" s="290"/>
      <c r="L33" s="290"/>
      <c r="M33" s="290"/>
      <c r="N33" s="290"/>
      <c r="O33" s="290"/>
      <c r="Q33" s="290" t="s">
        <v>361</v>
      </c>
      <c r="R33" s="290"/>
      <c r="S33" s="290"/>
      <c r="T33" s="290"/>
      <c r="U33" s="290"/>
      <c r="V33" s="290"/>
      <c r="W33" s="290"/>
    </row>
    <row r="34" spans="9:23" ht="14.85" customHeight="1" x14ac:dyDescent="0.25">
      <c r="I34" s="304" t="s">
        <v>198</v>
      </c>
      <c r="J34" s="4" t="s">
        <v>362</v>
      </c>
      <c r="K34" s="4" t="s">
        <v>351</v>
      </c>
      <c r="L34" s="4" t="s">
        <v>352</v>
      </c>
      <c r="M34" s="4" t="s">
        <v>353</v>
      </c>
      <c r="N34" s="4" t="s">
        <v>296</v>
      </c>
      <c r="O34" s="304" t="s">
        <v>35</v>
      </c>
      <c r="Q34" s="304" t="s">
        <v>198</v>
      </c>
      <c r="R34" s="4" t="s">
        <v>362</v>
      </c>
      <c r="S34" s="4" t="s">
        <v>363</v>
      </c>
      <c r="T34" s="4" t="s">
        <v>352</v>
      </c>
      <c r="U34" s="4" t="s">
        <v>353</v>
      </c>
      <c r="V34" s="4" t="s">
        <v>296</v>
      </c>
      <c r="W34" s="304" t="s">
        <v>35</v>
      </c>
    </row>
    <row r="35" spans="9:23" ht="14.85" customHeight="1" x14ac:dyDescent="0.25">
      <c r="I35" s="304" t="s">
        <v>339</v>
      </c>
      <c r="J35" s="5">
        <v>2.4</v>
      </c>
      <c r="K35" s="5">
        <v>3.6</v>
      </c>
      <c r="L35" s="5">
        <v>35.56</v>
      </c>
      <c r="M35" s="5">
        <v>4.09</v>
      </c>
      <c r="N35" s="7">
        <f>'Labour Rate'!$C$7</f>
        <v>48.39991666666667</v>
      </c>
      <c r="O35" s="304"/>
      <c r="Q35" s="304" t="s">
        <v>339</v>
      </c>
      <c r="R35" s="5">
        <v>2.4</v>
      </c>
      <c r="S35" s="5">
        <v>4.8</v>
      </c>
      <c r="T35" s="5">
        <v>35.56</v>
      </c>
      <c r="U35" s="5">
        <v>4.09</v>
      </c>
      <c r="V35" s="7">
        <f>'Labour Rate'!$C$7</f>
        <v>48.39991666666667</v>
      </c>
      <c r="W35" s="304"/>
    </row>
    <row r="36" spans="9:23" ht="14.85" customHeight="1" x14ac:dyDescent="0.25">
      <c r="I36" s="34" t="s">
        <v>340</v>
      </c>
      <c r="J36" s="9">
        <v>2.2999999999999998</v>
      </c>
      <c r="K36" s="9">
        <v>1.1499999999999999</v>
      </c>
      <c r="L36" s="9">
        <v>0.46</v>
      </c>
      <c r="M36" s="9">
        <v>0.57499999999999996</v>
      </c>
      <c r="N36" s="9">
        <v>2</v>
      </c>
      <c r="O36" s="11">
        <f>($J$35*J36)+($K$35*K36)+($L$35*L36)+($M$35*M36)+($N$35*N36)</f>
        <v>125.16918333333334</v>
      </c>
      <c r="Q36" s="34" t="s">
        <v>340</v>
      </c>
      <c r="R36" s="9">
        <v>2.2999999999999998</v>
      </c>
      <c r="S36" s="9">
        <v>1.1499999999999999</v>
      </c>
      <c r="T36" s="9">
        <v>0.46</v>
      </c>
      <c r="U36" s="9">
        <v>0.57499999999999996</v>
      </c>
      <c r="V36" s="9">
        <v>2.5</v>
      </c>
      <c r="W36" s="11">
        <f>($R$35*R36)+($S$35*S36)+($T$35*T36)+($U$35*U36)+($V$35*V36)</f>
        <v>150.74914166666667</v>
      </c>
    </row>
    <row r="37" spans="9:23" ht="14.85" customHeight="1" x14ac:dyDescent="0.25">
      <c r="I37" s="34" t="s">
        <v>341</v>
      </c>
      <c r="J37" s="9">
        <v>2.2999999999999998</v>
      </c>
      <c r="K37" s="9">
        <v>1.1499999999999999</v>
      </c>
      <c r="L37" s="9">
        <v>0.115</v>
      </c>
      <c r="M37" s="9">
        <v>0.57499999999999996</v>
      </c>
      <c r="N37" s="9">
        <v>2</v>
      </c>
      <c r="O37" s="11">
        <f t="shared" ref="O37:O39" si="4">($J$35*J37)+($K$35*K37)+($L$35*L37)+($M$35*M37)+($N$35*N37)</f>
        <v>112.90098333333334</v>
      </c>
      <c r="Q37" s="34" t="s">
        <v>341</v>
      </c>
      <c r="R37" s="9">
        <v>2.2999999999999998</v>
      </c>
      <c r="S37" s="9">
        <v>1.1499999999999999</v>
      </c>
      <c r="T37" s="9">
        <v>0.115</v>
      </c>
      <c r="U37" s="9">
        <v>0.57499999999999996</v>
      </c>
      <c r="V37" s="9">
        <v>2.5</v>
      </c>
      <c r="W37" s="11">
        <f t="shared" ref="W37:W39" si="5">($R$35*R37)+($S$35*S37)+($T$35*T37)+($U$35*U37)+($V$35*V37)</f>
        <v>138.48094166666669</v>
      </c>
    </row>
    <row r="38" spans="9:23" ht="14.85" customHeight="1" x14ac:dyDescent="0.25">
      <c r="I38" s="34" t="s">
        <v>343</v>
      </c>
      <c r="J38" s="9">
        <v>4.5999999999999996</v>
      </c>
      <c r="K38" s="9">
        <v>2.2999999999999998</v>
      </c>
      <c r="L38" s="9">
        <v>0.92</v>
      </c>
      <c r="M38" s="9">
        <v>0.57499999999999996</v>
      </c>
      <c r="N38" s="9">
        <v>3</v>
      </c>
      <c r="O38" s="11">
        <f t="shared" si="4"/>
        <v>199.58670000000001</v>
      </c>
      <c r="Q38" s="34" t="s">
        <v>343</v>
      </c>
      <c r="R38" s="9">
        <v>4.5999999999999996</v>
      </c>
      <c r="S38" s="9">
        <v>2.2999999999999998</v>
      </c>
      <c r="T38" s="9">
        <v>0.92</v>
      </c>
      <c r="U38" s="9">
        <v>0.57499999999999996</v>
      </c>
      <c r="V38" s="9">
        <v>3.5</v>
      </c>
      <c r="W38" s="11">
        <f t="shared" si="5"/>
        <v>226.54665833333334</v>
      </c>
    </row>
    <row r="39" spans="9:23" ht="14.85" customHeight="1" x14ac:dyDescent="0.25">
      <c r="I39" s="34" t="s">
        <v>346</v>
      </c>
      <c r="J39" s="9">
        <v>4.5999999999999996</v>
      </c>
      <c r="K39" s="9">
        <v>2.2999999999999998</v>
      </c>
      <c r="L39" s="9">
        <v>0.23</v>
      </c>
      <c r="M39" s="9">
        <v>0.57499999999999996</v>
      </c>
      <c r="N39" s="9">
        <v>3</v>
      </c>
      <c r="O39" s="11">
        <f t="shared" si="4"/>
        <v>175.05029999999999</v>
      </c>
      <c r="Q39" s="34" t="s">
        <v>346</v>
      </c>
      <c r="R39" s="9">
        <v>4.5999999999999996</v>
      </c>
      <c r="S39" s="9">
        <v>2.2999999999999998</v>
      </c>
      <c r="T39" s="9">
        <v>0.23</v>
      </c>
      <c r="U39" s="9">
        <v>0.57499999999999996</v>
      </c>
      <c r="V39" s="9">
        <v>3.5</v>
      </c>
      <c r="W39" s="11">
        <f t="shared" si="5"/>
        <v>202.01025833333335</v>
      </c>
    </row>
    <row r="40" spans="9:23" ht="14.85" customHeight="1" x14ac:dyDescent="0.25">
      <c r="J40" s="1"/>
      <c r="K40" s="1"/>
      <c r="L40" s="1"/>
      <c r="M40" s="1"/>
      <c r="N40" s="1"/>
      <c r="R40" s="1"/>
      <c r="S40" s="1"/>
      <c r="T40" s="1"/>
      <c r="U40" s="1"/>
      <c r="V40" s="1"/>
    </row>
    <row r="41" spans="9:23" ht="14.85" customHeight="1" x14ac:dyDescent="0.25">
      <c r="I41" s="290" t="s">
        <v>364</v>
      </c>
      <c r="J41" s="290"/>
      <c r="K41" s="290"/>
      <c r="L41" s="290"/>
      <c r="M41" s="290"/>
      <c r="N41" s="290"/>
      <c r="O41" s="290"/>
      <c r="Q41" s="290" t="s">
        <v>364</v>
      </c>
      <c r="R41" s="290"/>
      <c r="S41" s="290"/>
      <c r="T41" s="290"/>
      <c r="U41" s="290"/>
      <c r="V41" s="290"/>
      <c r="W41" s="290"/>
    </row>
    <row r="42" spans="9:23" ht="14.85" customHeight="1" x14ac:dyDescent="0.25">
      <c r="I42" s="304" t="s">
        <v>198</v>
      </c>
      <c r="J42" s="4" t="s">
        <v>350</v>
      </c>
      <c r="K42" s="4" t="s">
        <v>358</v>
      </c>
      <c r="L42" s="4" t="s">
        <v>352</v>
      </c>
      <c r="M42" s="4" t="s">
        <v>353</v>
      </c>
      <c r="N42" s="4" t="s">
        <v>296</v>
      </c>
      <c r="O42" s="304" t="s">
        <v>35</v>
      </c>
      <c r="Q42" s="304" t="s">
        <v>198</v>
      </c>
      <c r="R42" s="4" t="s">
        <v>350</v>
      </c>
      <c r="S42" s="4" t="s">
        <v>358</v>
      </c>
      <c r="T42" s="4" t="s">
        <v>352</v>
      </c>
      <c r="U42" s="4" t="s">
        <v>353</v>
      </c>
      <c r="V42" s="4" t="s">
        <v>296</v>
      </c>
      <c r="W42" s="304" t="s">
        <v>35</v>
      </c>
    </row>
    <row r="43" spans="9:23" ht="14.85" customHeight="1" x14ac:dyDescent="0.25">
      <c r="I43" s="304" t="s">
        <v>339</v>
      </c>
      <c r="J43" s="5">
        <v>14.39</v>
      </c>
      <c r="K43" s="5">
        <v>7.22</v>
      </c>
      <c r="L43" s="5">
        <v>35.56</v>
      </c>
      <c r="M43" s="5">
        <v>4.09</v>
      </c>
      <c r="N43" s="7">
        <f>'Labour Rate'!$C$7</f>
        <v>48.39991666666667</v>
      </c>
      <c r="O43" s="304"/>
      <c r="Q43" s="304" t="s">
        <v>339</v>
      </c>
      <c r="R43" s="5">
        <v>14.39</v>
      </c>
      <c r="S43" s="5">
        <v>7.22</v>
      </c>
      <c r="T43" s="5">
        <v>35.56</v>
      </c>
      <c r="U43" s="5">
        <v>4.09</v>
      </c>
      <c r="V43" s="7">
        <f>'Labour Rate'!$C$7</f>
        <v>48.39991666666667</v>
      </c>
      <c r="W43" s="304"/>
    </row>
    <row r="44" spans="9:23" ht="14.85" customHeight="1" x14ac:dyDescent="0.25">
      <c r="I44" s="34" t="s">
        <v>341</v>
      </c>
      <c r="J44" s="9">
        <v>2.2999999999999998</v>
      </c>
      <c r="K44" s="9">
        <v>1.1499999999999999</v>
      </c>
      <c r="L44" s="9">
        <v>1.2649999999999999</v>
      </c>
      <c r="M44" s="9">
        <v>0.57499999999999996</v>
      </c>
      <c r="N44" s="9">
        <v>3.5</v>
      </c>
      <c r="O44" s="11">
        <f>($J$43*J44)+($K$43*K44)+($L$43*L44)+($M$43*M44)+($N$43*N44)</f>
        <v>258.13485833333334</v>
      </c>
      <c r="Q44" s="34" t="s">
        <v>341</v>
      </c>
      <c r="R44" s="9">
        <v>2.2999999999999998</v>
      </c>
      <c r="S44" s="9">
        <v>1.1499999999999999</v>
      </c>
      <c r="T44" s="9">
        <v>1.2649999999999999</v>
      </c>
      <c r="U44" s="9">
        <v>0.57499999999999996</v>
      </c>
      <c r="V44" s="9">
        <v>4</v>
      </c>
      <c r="W44" s="11">
        <f>($R$43*R44)+($S$43*S44)+($T$43*T44)+($U$43*U44)+($V$43*V44)</f>
        <v>282.33481666666665</v>
      </c>
    </row>
    <row r="45" spans="9:23" ht="14.85" customHeight="1" x14ac:dyDescent="0.25">
      <c r="I45" s="34" t="s">
        <v>354</v>
      </c>
      <c r="J45" s="9">
        <v>2.2999999999999998</v>
      </c>
      <c r="K45" s="9">
        <v>1.1499999999999999</v>
      </c>
      <c r="L45" s="9">
        <v>0.57499999999999996</v>
      </c>
      <c r="M45" s="9">
        <v>0.57499999999999996</v>
      </c>
      <c r="N45" s="9">
        <v>3.5</v>
      </c>
      <c r="O45" s="11">
        <f>($J$43*J45)+($K$43*K45)+($L$43*L45)+($M$43*M45)+($N$43*N45)</f>
        <v>233.59845833333333</v>
      </c>
      <c r="Q45" s="34" t="s">
        <v>354</v>
      </c>
      <c r="R45" s="9">
        <v>2.2999999999999998</v>
      </c>
      <c r="S45" s="9">
        <v>1.1499999999999999</v>
      </c>
      <c r="T45" s="9">
        <v>0.57499999999999996</v>
      </c>
      <c r="U45" s="9">
        <v>0.57499999999999996</v>
      </c>
      <c r="V45" s="9">
        <v>4</v>
      </c>
      <c r="W45" s="11">
        <f>($R$43*R45)+($S$43*S45)+($T$43*T45)+($U$43*U45)+($V$43*V45)</f>
        <v>257.79841666666664</v>
      </c>
    </row>
    <row r="46" spans="9:23" ht="14.85" customHeight="1" x14ac:dyDescent="0.25"/>
    <row r="47" spans="9:23" ht="14.85" customHeight="1" x14ac:dyDescent="0.25"/>
    <row r="48" spans="9:23" ht="14.85" customHeight="1" x14ac:dyDescent="0.25">
      <c r="I48" s="290" t="s">
        <v>365</v>
      </c>
      <c r="J48" s="290"/>
      <c r="K48" s="290"/>
      <c r="L48" s="290"/>
      <c r="M48" s="290"/>
      <c r="N48" s="290"/>
      <c r="O48" s="290"/>
      <c r="Q48" s="290" t="s">
        <v>365</v>
      </c>
      <c r="R48" s="290"/>
      <c r="S48" s="290"/>
      <c r="T48" s="290"/>
      <c r="U48" s="290"/>
      <c r="V48" s="290"/>
      <c r="W48" s="290"/>
    </row>
    <row r="49" spans="9:23" ht="14.85" customHeight="1" x14ac:dyDescent="0.25">
      <c r="I49" s="304" t="s">
        <v>198</v>
      </c>
      <c r="J49" s="4" t="s">
        <v>337</v>
      </c>
      <c r="K49" s="4" t="s">
        <v>334</v>
      </c>
      <c r="L49" s="4" t="s">
        <v>333</v>
      </c>
      <c r="M49" s="4" t="s">
        <v>357</v>
      </c>
      <c r="N49" s="4" t="s">
        <v>296</v>
      </c>
      <c r="O49" s="304" t="s">
        <v>35</v>
      </c>
      <c r="Q49" s="304" t="s">
        <v>198</v>
      </c>
      <c r="R49" s="4" t="s">
        <v>337</v>
      </c>
      <c r="S49" s="4" t="s">
        <v>338</v>
      </c>
      <c r="T49" s="4" t="s">
        <v>333</v>
      </c>
      <c r="U49" s="4" t="s">
        <v>357</v>
      </c>
      <c r="V49" s="4" t="s">
        <v>296</v>
      </c>
      <c r="W49" s="304" t="s">
        <v>35</v>
      </c>
    </row>
    <row r="50" spans="9:23" ht="14.85" customHeight="1" x14ac:dyDescent="0.25">
      <c r="I50" s="304" t="s">
        <v>339</v>
      </c>
      <c r="J50" s="5">
        <v>2.02</v>
      </c>
      <c r="K50" s="5">
        <v>3.03</v>
      </c>
      <c r="L50" s="5">
        <v>48.64</v>
      </c>
      <c r="M50" s="5">
        <v>10.1</v>
      </c>
      <c r="N50" s="7">
        <f>'Labour Rate'!$C$7</f>
        <v>48.39991666666667</v>
      </c>
      <c r="O50" s="304"/>
      <c r="Q50" s="304" t="s">
        <v>339</v>
      </c>
      <c r="R50" s="5">
        <v>2.02</v>
      </c>
      <c r="S50" s="5">
        <v>4.04</v>
      </c>
      <c r="T50" s="5">
        <v>48.64</v>
      </c>
      <c r="U50" s="5">
        <v>10.1</v>
      </c>
      <c r="V50" s="7">
        <f>'Labour Rate'!$C$7</f>
        <v>48.39991666666667</v>
      </c>
      <c r="W50" s="304"/>
    </row>
    <row r="51" spans="9:23" ht="14.85" customHeight="1" x14ac:dyDescent="0.25">
      <c r="I51" s="34" t="s">
        <v>340</v>
      </c>
      <c r="J51" s="9">
        <v>2.2999999999999998</v>
      </c>
      <c r="K51" s="9">
        <v>1.1499999999999999</v>
      </c>
      <c r="L51" s="9">
        <v>0.46</v>
      </c>
      <c r="M51" s="9">
        <v>0.57499999999999996</v>
      </c>
      <c r="N51" s="9">
        <v>3.5</v>
      </c>
      <c r="O51" s="11">
        <f>($J$50*J51)+($K$50*K51)+($L$50*L51)+($M$50*M51)+($N$50*N51)</f>
        <v>205.71210833333333</v>
      </c>
      <c r="Q51" s="34" t="s">
        <v>340</v>
      </c>
      <c r="R51" s="9">
        <v>2.2999999999999998</v>
      </c>
      <c r="S51" s="9">
        <v>1.1499999999999999</v>
      </c>
      <c r="T51" s="9">
        <v>0.46</v>
      </c>
      <c r="U51" s="9">
        <v>0.57499999999999996</v>
      </c>
      <c r="V51" s="9">
        <v>4</v>
      </c>
      <c r="W51" s="11">
        <f>($R$50*R51)+($S$50*S51)+($T$50*T51)+($U$50*U51)+($V$50*V51)</f>
        <v>231.07356666666669</v>
      </c>
    </row>
    <row r="52" spans="9:23" x14ac:dyDescent="0.25">
      <c r="I52" s="34" t="s">
        <v>341</v>
      </c>
      <c r="J52" s="9">
        <v>2.2999999999999998</v>
      </c>
      <c r="K52" s="9">
        <v>1.1499999999999999</v>
      </c>
      <c r="L52" s="9">
        <v>0.115</v>
      </c>
      <c r="M52" s="9">
        <v>0.57499999999999996</v>
      </c>
      <c r="N52" s="9">
        <v>3.5</v>
      </c>
      <c r="O52" s="11">
        <f t="shared" ref="O52:O54" si="6">($J$50*J52)+($K$50*K52)+($L$50*L52)+($M$50*M52)+($N$50*N52)</f>
        <v>188.93130833333333</v>
      </c>
      <c r="Q52" s="34" t="s">
        <v>341</v>
      </c>
      <c r="R52" s="9">
        <v>2.2999999999999998</v>
      </c>
      <c r="S52" s="9">
        <v>1.1499999999999999</v>
      </c>
      <c r="T52" s="9">
        <v>0.115</v>
      </c>
      <c r="U52" s="9">
        <v>0.57499999999999996</v>
      </c>
      <c r="V52" s="9">
        <v>4</v>
      </c>
      <c r="W52" s="11">
        <f t="shared" ref="W52:W54" si="7">($R$50*R52)+($S$50*S52)+($T$50*T52)+($U$50*U52)+($V$50*V52)</f>
        <v>214.29276666666669</v>
      </c>
    </row>
    <row r="53" spans="9:23" x14ac:dyDescent="0.25">
      <c r="I53" s="34" t="s">
        <v>343</v>
      </c>
      <c r="J53" s="9">
        <v>4.5999999999999996</v>
      </c>
      <c r="K53" s="9">
        <v>2.2999999999999998</v>
      </c>
      <c r="L53" s="9">
        <v>0.92</v>
      </c>
      <c r="M53" s="9">
        <v>0.57499999999999996</v>
      </c>
      <c r="N53" s="9">
        <v>4.5</v>
      </c>
      <c r="O53" s="11">
        <f t="shared" si="6"/>
        <v>284.61692500000004</v>
      </c>
      <c r="Q53" s="34" t="s">
        <v>343</v>
      </c>
      <c r="R53" s="9">
        <v>4.5999999999999996</v>
      </c>
      <c r="S53" s="9">
        <v>2.2999999999999998</v>
      </c>
      <c r="T53" s="9">
        <v>0.92</v>
      </c>
      <c r="U53" s="9">
        <v>0.57499999999999996</v>
      </c>
      <c r="V53" s="9">
        <v>5</v>
      </c>
      <c r="W53" s="11">
        <f t="shared" si="7"/>
        <v>311.13988333333339</v>
      </c>
    </row>
    <row r="54" spans="9:23" x14ac:dyDescent="0.25">
      <c r="I54" s="34" t="s">
        <v>346</v>
      </c>
      <c r="J54" s="9">
        <v>4.5999999999999996</v>
      </c>
      <c r="K54" s="9">
        <v>2.2999999999999998</v>
      </c>
      <c r="L54" s="9">
        <v>0.23</v>
      </c>
      <c r="M54" s="9">
        <v>0.57499999999999996</v>
      </c>
      <c r="N54" s="9">
        <v>4.5</v>
      </c>
      <c r="O54" s="11">
        <f t="shared" si="6"/>
        <v>251.05532500000001</v>
      </c>
      <c r="Q54" s="34" t="s">
        <v>346</v>
      </c>
      <c r="R54" s="9">
        <v>4.5999999999999996</v>
      </c>
      <c r="S54" s="9">
        <v>2.2999999999999998</v>
      </c>
      <c r="T54" s="9">
        <v>0.23</v>
      </c>
      <c r="U54" s="9">
        <v>0.57499999999999996</v>
      </c>
      <c r="V54" s="9">
        <v>5</v>
      </c>
      <c r="W54" s="11">
        <f t="shared" si="7"/>
        <v>277.57828333333339</v>
      </c>
    </row>
    <row r="55" spans="9:23" x14ac:dyDescent="0.25">
      <c r="J55" s="1"/>
      <c r="K55" s="1"/>
      <c r="L55" s="1"/>
      <c r="M55" s="1"/>
      <c r="N55" s="1"/>
      <c r="R55" s="1"/>
      <c r="S55" s="1"/>
      <c r="T55" s="1"/>
      <c r="U55" s="1"/>
      <c r="V55" s="1"/>
    </row>
    <row r="56" spans="9:23" x14ac:dyDescent="0.25">
      <c r="I56" s="290" t="s">
        <v>366</v>
      </c>
      <c r="J56" s="290"/>
      <c r="K56" s="290"/>
      <c r="L56" s="290"/>
      <c r="M56" s="290"/>
      <c r="N56" s="290"/>
      <c r="O56" s="290"/>
      <c r="Q56" s="290" t="s">
        <v>366</v>
      </c>
      <c r="R56" s="290"/>
      <c r="S56" s="290"/>
      <c r="T56" s="290"/>
      <c r="U56" s="290"/>
      <c r="V56" s="290"/>
      <c r="W56" s="290"/>
    </row>
    <row r="57" spans="9:23" x14ac:dyDescent="0.25">
      <c r="I57" s="304" t="s">
        <v>198</v>
      </c>
      <c r="J57" s="4" t="s">
        <v>333</v>
      </c>
      <c r="K57" s="4" t="s">
        <v>348</v>
      </c>
      <c r="L57" s="4" t="s">
        <v>333</v>
      </c>
      <c r="M57" s="4" t="s">
        <v>357</v>
      </c>
      <c r="N57" s="4" t="s">
        <v>296</v>
      </c>
      <c r="O57" s="304" t="s">
        <v>35</v>
      </c>
      <c r="Q57" s="304" t="s">
        <v>198</v>
      </c>
      <c r="R57" s="4" t="s">
        <v>333</v>
      </c>
      <c r="S57" s="4" t="s">
        <v>348</v>
      </c>
      <c r="T57" s="4" t="s">
        <v>333</v>
      </c>
      <c r="U57" s="4" t="s">
        <v>357</v>
      </c>
      <c r="V57" s="4" t="s">
        <v>296</v>
      </c>
      <c r="W57" s="304" t="s">
        <v>35</v>
      </c>
    </row>
    <row r="58" spans="9:23" x14ac:dyDescent="0.25">
      <c r="I58" s="304" t="s">
        <v>339</v>
      </c>
      <c r="J58" s="5">
        <v>12.16</v>
      </c>
      <c r="K58" s="5">
        <v>6.05</v>
      </c>
      <c r="L58" s="5">
        <v>48.64</v>
      </c>
      <c r="M58" s="5">
        <v>10.1</v>
      </c>
      <c r="N58" s="7">
        <f>'Labour Rate'!$C$7</f>
        <v>48.39991666666667</v>
      </c>
      <c r="O58" s="304"/>
      <c r="Q58" s="304" t="s">
        <v>339</v>
      </c>
      <c r="R58" s="5">
        <v>12.16</v>
      </c>
      <c r="S58" s="5">
        <v>6.05</v>
      </c>
      <c r="T58" s="5">
        <v>48.64</v>
      </c>
      <c r="U58" s="5">
        <v>10.1</v>
      </c>
      <c r="V58" s="7">
        <f>'Labour Rate'!$C$7</f>
        <v>48.39991666666667</v>
      </c>
      <c r="W58" s="304"/>
    </row>
    <row r="59" spans="9:23" x14ac:dyDescent="0.25">
      <c r="I59" s="34" t="s">
        <v>341</v>
      </c>
      <c r="J59" s="9">
        <v>2.2999999999999998</v>
      </c>
      <c r="K59" s="9">
        <v>1.1499999999999999</v>
      </c>
      <c r="L59" s="9">
        <v>1.2649999999999999</v>
      </c>
      <c r="M59" s="9">
        <v>0.57499999999999996</v>
      </c>
      <c r="N59" s="9">
        <v>5</v>
      </c>
      <c r="O59" s="11">
        <f>($J$58*J59)+($K$58*K59)+($L$58*L59)+($M$58*M59)+($N$58*N59)</f>
        <v>344.26218333333338</v>
      </c>
      <c r="Q59" s="34" t="s">
        <v>341</v>
      </c>
      <c r="R59" s="9">
        <v>2.2999999999999998</v>
      </c>
      <c r="S59" s="9">
        <v>1.1499999999999999</v>
      </c>
      <c r="T59" s="9">
        <v>1.2649999999999999</v>
      </c>
      <c r="U59" s="9">
        <v>0.57499999999999996</v>
      </c>
      <c r="V59" s="9">
        <v>5.5</v>
      </c>
      <c r="W59" s="11">
        <f>($R$58*R59)+($S$58*S59)+($T$58*T59)+($U$58*U59)+($V$58*V59)</f>
        <v>368.46214166666664</v>
      </c>
    </row>
    <row r="60" spans="9:23" x14ac:dyDescent="0.25">
      <c r="I60" s="34" t="s">
        <v>354</v>
      </c>
      <c r="J60" s="9">
        <v>2.2999999999999998</v>
      </c>
      <c r="K60" s="9">
        <v>1.1499999999999999</v>
      </c>
      <c r="L60" s="9">
        <v>0.57499999999999996</v>
      </c>
      <c r="M60" s="9">
        <v>0.57499999999999996</v>
      </c>
      <c r="N60" s="9">
        <v>5</v>
      </c>
      <c r="O60" s="11">
        <f>($J$58*J60)+($L$58*L60)+($M$58*M60)+($N$58*N60)</f>
        <v>303.74308333333335</v>
      </c>
      <c r="Q60" s="34" t="s">
        <v>354</v>
      </c>
      <c r="R60" s="9">
        <v>2.2999999999999998</v>
      </c>
      <c r="S60" s="9">
        <v>1.1499999999999999</v>
      </c>
      <c r="T60" s="9">
        <v>0.57499999999999996</v>
      </c>
      <c r="U60" s="9">
        <v>0.57499999999999996</v>
      </c>
      <c r="V60" s="9">
        <v>5.5</v>
      </c>
      <c r="W60" s="11">
        <f>($R$58*R60)+($S$58*S60)+($T$58*T60)+($U$58*U60)+($V$58*V60)</f>
        <v>334.90054166666664</v>
      </c>
    </row>
    <row r="63" spans="9:23" x14ac:dyDescent="0.25">
      <c r="I63" s="290" t="s">
        <v>367</v>
      </c>
      <c r="J63" s="290"/>
      <c r="K63" s="290"/>
      <c r="L63" s="290"/>
      <c r="M63" s="290"/>
      <c r="N63" s="290"/>
      <c r="O63" s="290"/>
      <c r="Q63" s="290" t="s">
        <v>367</v>
      </c>
      <c r="R63" s="290"/>
      <c r="S63" s="290"/>
      <c r="T63" s="290"/>
      <c r="U63" s="290"/>
      <c r="V63" s="290"/>
      <c r="W63" s="290"/>
    </row>
    <row r="64" spans="9:23" x14ac:dyDescent="0.25">
      <c r="I64" s="304" t="s">
        <v>198</v>
      </c>
      <c r="J64" s="4" t="s">
        <v>362</v>
      </c>
      <c r="K64" s="4" t="s">
        <v>351</v>
      </c>
      <c r="L64" s="4" t="s">
        <v>358</v>
      </c>
      <c r="M64" s="4" t="s">
        <v>359</v>
      </c>
      <c r="N64" s="4" t="s">
        <v>296</v>
      </c>
      <c r="O64" s="304" t="s">
        <v>35</v>
      </c>
      <c r="Q64" s="304" t="s">
        <v>198</v>
      </c>
      <c r="R64" s="4" t="s">
        <v>362</v>
      </c>
      <c r="S64" s="4" t="s">
        <v>363</v>
      </c>
      <c r="T64" s="4" t="s">
        <v>358</v>
      </c>
      <c r="U64" s="4" t="s">
        <v>359</v>
      </c>
      <c r="V64" s="4" t="s">
        <v>296</v>
      </c>
      <c r="W64" s="304" t="s">
        <v>35</v>
      </c>
    </row>
    <row r="65" spans="9:23" x14ac:dyDescent="0.25">
      <c r="I65" s="304" t="s">
        <v>339</v>
      </c>
      <c r="J65" s="5">
        <v>2.4700000000000002</v>
      </c>
      <c r="K65" s="5">
        <v>4.63</v>
      </c>
      <c r="L65" s="5">
        <v>61.04</v>
      </c>
      <c r="M65" s="5">
        <v>13.59</v>
      </c>
      <c r="N65" s="7">
        <f>'Labour Rate'!$C$7</f>
        <v>48.39991666666667</v>
      </c>
      <c r="O65" s="304"/>
      <c r="Q65" s="304" t="s">
        <v>339</v>
      </c>
      <c r="R65" s="5">
        <v>3.09</v>
      </c>
      <c r="S65" s="5">
        <v>6.18</v>
      </c>
      <c r="T65" s="5">
        <v>61.04</v>
      </c>
      <c r="U65" s="5">
        <v>13.59</v>
      </c>
      <c r="V65" s="7">
        <f>'Labour Rate'!$C$7</f>
        <v>48.39991666666667</v>
      </c>
      <c r="W65" s="304"/>
    </row>
    <row r="66" spans="9:23" x14ac:dyDescent="0.25">
      <c r="I66" s="34" t="s">
        <v>340</v>
      </c>
      <c r="J66" s="9">
        <v>2.2999999999999998</v>
      </c>
      <c r="K66" s="9">
        <v>1.1499999999999999</v>
      </c>
      <c r="L66" s="9">
        <v>0.46</v>
      </c>
      <c r="M66" s="9">
        <v>0.57499999999999996</v>
      </c>
      <c r="N66" s="9">
        <v>3.5</v>
      </c>
      <c r="O66" s="11">
        <f>($J$65*J66)+($K$65*K66)+($L$65*L66)+($M$65*M66)+($N$65*N66)</f>
        <v>216.29785833333335</v>
      </c>
      <c r="Q66" s="34" t="s">
        <v>340</v>
      </c>
      <c r="R66" s="9">
        <v>2.2999999999999998</v>
      </c>
      <c r="S66" s="9">
        <v>1.1499999999999999</v>
      </c>
      <c r="T66" s="9">
        <v>0.46</v>
      </c>
      <c r="U66" s="9">
        <v>0.57499999999999996</v>
      </c>
      <c r="V66" s="9">
        <v>4</v>
      </c>
      <c r="W66" s="11">
        <f>($R$65*R66)+($S$65*S66)+($T$65*T66)+($U$65*U66)+($V$65*V66)</f>
        <v>243.70631666666668</v>
      </c>
    </row>
    <row r="67" spans="9:23" x14ac:dyDescent="0.25">
      <c r="I67" s="34" t="s">
        <v>341</v>
      </c>
      <c r="J67" s="9">
        <v>2.2999999999999998</v>
      </c>
      <c r="K67" s="9">
        <v>1.1499999999999999</v>
      </c>
      <c r="L67" s="9">
        <v>0.115</v>
      </c>
      <c r="M67" s="9">
        <v>0.57499999999999996</v>
      </c>
      <c r="N67" s="9">
        <v>3.5</v>
      </c>
      <c r="O67" s="11">
        <f t="shared" ref="O67:O69" si="8">($J$65*J67)+($K$65*K67)+($L$65*L67)+($M$65*M67)+($N$65*N67)</f>
        <v>195.23905833333333</v>
      </c>
      <c r="Q67" s="34" t="s">
        <v>341</v>
      </c>
      <c r="R67" s="9">
        <v>2.2999999999999998</v>
      </c>
      <c r="S67" s="9">
        <v>1.1499999999999999</v>
      </c>
      <c r="T67" s="9">
        <v>0.115</v>
      </c>
      <c r="U67" s="9">
        <v>0.57499999999999996</v>
      </c>
      <c r="V67" s="9">
        <v>4</v>
      </c>
      <c r="W67" s="11">
        <f t="shared" ref="W67:W69" si="9">($R$65*R67)+($S$65*S67)+($T$65*T67)+($U$65*U67)+($V$65*V67)</f>
        <v>222.64751666666666</v>
      </c>
    </row>
    <row r="68" spans="9:23" x14ac:dyDescent="0.25">
      <c r="I68" s="34" t="s">
        <v>343</v>
      </c>
      <c r="J68" s="9">
        <v>4.5999999999999996</v>
      </c>
      <c r="K68" s="9">
        <v>2.2999999999999998</v>
      </c>
      <c r="L68" s="9">
        <v>0.92</v>
      </c>
      <c r="M68" s="9">
        <v>0.57499999999999996</v>
      </c>
      <c r="N68" s="9">
        <v>5.5</v>
      </c>
      <c r="O68" s="11">
        <f t="shared" si="8"/>
        <v>352.18159166666669</v>
      </c>
      <c r="Q68" s="34" t="s">
        <v>343</v>
      </c>
      <c r="R68" s="9">
        <v>4.5999999999999996</v>
      </c>
      <c r="S68" s="9">
        <v>2.2999999999999998</v>
      </c>
      <c r="T68" s="9">
        <v>0.92</v>
      </c>
      <c r="U68" s="9">
        <v>0.57499999999999996</v>
      </c>
      <c r="V68" s="9">
        <v>6</v>
      </c>
      <c r="W68" s="11">
        <f t="shared" si="9"/>
        <v>382.79854999999998</v>
      </c>
    </row>
    <row r="69" spans="9:23" x14ac:dyDescent="0.25">
      <c r="I69" s="34" t="s">
        <v>346</v>
      </c>
      <c r="J69" s="9">
        <v>4.5999999999999996</v>
      </c>
      <c r="K69" s="9">
        <v>2.2999999999999998</v>
      </c>
      <c r="L69" s="9">
        <v>0.23</v>
      </c>
      <c r="M69" s="9">
        <v>0.57499999999999996</v>
      </c>
      <c r="N69" s="9">
        <v>5.5</v>
      </c>
      <c r="O69" s="11">
        <f t="shared" si="8"/>
        <v>310.06399166666665</v>
      </c>
      <c r="Q69" s="34" t="s">
        <v>346</v>
      </c>
      <c r="R69" s="9">
        <v>4.5999999999999996</v>
      </c>
      <c r="S69" s="9">
        <v>2.2999999999999998</v>
      </c>
      <c r="T69" s="9">
        <v>0.23</v>
      </c>
      <c r="U69" s="9">
        <v>0.57499999999999996</v>
      </c>
      <c r="V69" s="9">
        <v>6</v>
      </c>
      <c r="W69" s="11">
        <f t="shared" si="9"/>
        <v>340.68095</v>
      </c>
    </row>
    <row r="70" spans="9:23" x14ac:dyDescent="0.25">
      <c r="J70" s="1"/>
      <c r="K70" s="1"/>
      <c r="L70" s="1"/>
      <c r="M70" s="1"/>
      <c r="N70" s="1"/>
      <c r="R70" s="1"/>
      <c r="S70" s="1"/>
      <c r="T70" s="1"/>
      <c r="U70" s="1"/>
      <c r="V70" s="1"/>
    </row>
    <row r="71" spans="9:23" x14ac:dyDescent="0.25">
      <c r="I71" s="290" t="s">
        <v>368</v>
      </c>
      <c r="J71" s="290"/>
      <c r="K71" s="290"/>
      <c r="L71" s="290"/>
      <c r="M71" s="290"/>
      <c r="N71" s="290"/>
      <c r="O71" s="290"/>
      <c r="Q71" s="290" t="s">
        <v>368</v>
      </c>
      <c r="R71" s="290"/>
      <c r="S71" s="290"/>
      <c r="T71" s="290"/>
      <c r="U71" s="290"/>
      <c r="V71" s="290"/>
      <c r="W71" s="290"/>
    </row>
    <row r="72" spans="9:23" x14ac:dyDescent="0.25">
      <c r="I72" s="304" t="s">
        <v>198</v>
      </c>
      <c r="J72" s="4" t="s">
        <v>350</v>
      </c>
      <c r="K72" s="4" t="s">
        <v>358</v>
      </c>
      <c r="L72" s="4" t="s">
        <v>358</v>
      </c>
      <c r="M72" s="4" t="s">
        <v>359</v>
      </c>
      <c r="N72" s="4" t="s">
        <v>296</v>
      </c>
      <c r="O72" s="304" t="s">
        <v>35</v>
      </c>
      <c r="Q72" s="304" t="s">
        <v>198</v>
      </c>
      <c r="R72" s="4" t="s">
        <v>350</v>
      </c>
      <c r="S72" s="4" t="s">
        <v>358</v>
      </c>
      <c r="T72" s="4" t="s">
        <v>358</v>
      </c>
      <c r="U72" s="4" t="s">
        <v>359</v>
      </c>
      <c r="V72" s="4" t="s">
        <v>296</v>
      </c>
      <c r="W72" s="304" t="s">
        <v>35</v>
      </c>
    </row>
    <row r="73" spans="9:23" x14ac:dyDescent="0.25">
      <c r="I73" s="304" t="s">
        <v>339</v>
      </c>
      <c r="J73" s="5">
        <v>16.88</v>
      </c>
      <c r="K73" s="5">
        <v>9.2899999999999991</v>
      </c>
      <c r="L73" s="5">
        <v>61.04</v>
      </c>
      <c r="M73" s="5">
        <v>13.59</v>
      </c>
      <c r="N73" s="7">
        <f>'Labour Rate'!$C$7</f>
        <v>48.39991666666667</v>
      </c>
      <c r="O73" s="304"/>
      <c r="Q73" s="304" t="s">
        <v>339</v>
      </c>
      <c r="R73" s="5">
        <v>16.88</v>
      </c>
      <c r="S73" s="5">
        <v>9.2899999999999991</v>
      </c>
      <c r="T73" s="5">
        <v>61.04</v>
      </c>
      <c r="U73" s="5">
        <v>13.59</v>
      </c>
      <c r="V73" s="7">
        <f>'Labour Rate'!$C$7</f>
        <v>48.39991666666667</v>
      </c>
      <c r="W73" s="304"/>
    </row>
    <row r="74" spans="9:23" x14ac:dyDescent="0.25">
      <c r="I74" s="34" t="s">
        <v>341</v>
      </c>
      <c r="J74" s="9">
        <v>2.2999999999999998</v>
      </c>
      <c r="K74" s="9">
        <v>1.1499999999999999</v>
      </c>
      <c r="L74" s="9">
        <v>1.2649999999999999</v>
      </c>
      <c r="M74" s="9">
        <v>0.57499999999999996</v>
      </c>
      <c r="N74" s="9">
        <v>6</v>
      </c>
      <c r="O74" s="11">
        <f>($J$73*J74)+($K$73*K74)+($L$73*L74)+($M$73*M74)+($N$73*N74)</f>
        <v>424.93684999999994</v>
      </c>
      <c r="Q74" s="34" t="s">
        <v>341</v>
      </c>
      <c r="R74" s="9">
        <v>2.2999999999999998</v>
      </c>
      <c r="S74" s="9">
        <v>1.1499999999999999</v>
      </c>
      <c r="T74" s="9">
        <v>1.2649999999999999</v>
      </c>
      <c r="U74" s="9">
        <v>0.57499999999999996</v>
      </c>
      <c r="V74" s="9">
        <v>6.5</v>
      </c>
      <c r="W74" s="11">
        <f>($R$73*R74)+($S$73*S74)+($T$73*T74)+($U$73*U74)+($V$73*V74)</f>
        <v>449.13680833333331</v>
      </c>
    </row>
    <row r="75" spans="9:23" x14ac:dyDescent="0.25">
      <c r="I75" s="34" t="s">
        <v>354</v>
      </c>
      <c r="J75" s="9">
        <v>2.2999999999999998</v>
      </c>
      <c r="K75" s="9">
        <v>1.1499999999999999</v>
      </c>
      <c r="L75" s="9">
        <v>0.57499999999999996</v>
      </c>
      <c r="M75" s="9">
        <v>0.57499999999999996</v>
      </c>
      <c r="N75" s="9">
        <v>6</v>
      </c>
      <c r="O75" s="11">
        <f>($J$73*J75)+($K$73*K75)+($L$73*L75)+($M$73*M75)+($N$73*N75)</f>
        <v>382.81925000000001</v>
      </c>
      <c r="Q75" s="34" t="s">
        <v>354</v>
      </c>
      <c r="R75" s="9">
        <v>2.2999999999999998</v>
      </c>
      <c r="S75" s="9">
        <v>1.1499999999999999</v>
      </c>
      <c r="T75" s="9">
        <v>0.57499999999999996</v>
      </c>
      <c r="U75" s="9">
        <v>0.57499999999999996</v>
      </c>
      <c r="V75" s="9">
        <v>6.5</v>
      </c>
      <c r="W75" s="11">
        <f>($R$73*R75)+($S$73*S75)+($T$73*T75)+($U$73*U75)+($V$73*V75)</f>
        <v>407.01920833333338</v>
      </c>
    </row>
    <row r="78" spans="9:23" ht="14.85" customHeight="1" x14ac:dyDescent="0.25">
      <c r="I78" s="290" t="s">
        <v>369</v>
      </c>
      <c r="J78" s="290"/>
      <c r="K78" s="290"/>
      <c r="L78" s="290"/>
      <c r="M78" s="290"/>
      <c r="N78" s="290"/>
      <c r="O78" s="290"/>
      <c r="Q78" s="290" t="s">
        <v>369</v>
      </c>
      <c r="R78" s="290"/>
      <c r="S78" s="290"/>
      <c r="T78" s="290"/>
      <c r="U78" s="290"/>
      <c r="V78" s="290"/>
      <c r="W78" s="290"/>
    </row>
    <row r="79" spans="9:23" ht="14.85" customHeight="1" x14ac:dyDescent="0.25">
      <c r="I79" s="304" t="s">
        <v>198</v>
      </c>
      <c r="J79" s="4" t="s">
        <v>370</v>
      </c>
      <c r="K79" s="4" t="s">
        <v>371</v>
      </c>
      <c r="L79" s="4" t="s">
        <v>372</v>
      </c>
      <c r="M79" s="4" t="s">
        <v>373</v>
      </c>
      <c r="N79" s="4" t="s">
        <v>296</v>
      </c>
      <c r="O79" s="304" t="s">
        <v>35</v>
      </c>
      <c r="Q79" s="304" t="s">
        <v>198</v>
      </c>
      <c r="R79" s="4" t="s">
        <v>370</v>
      </c>
      <c r="S79" s="4" t="s">
        <v>374</v>
      </c>
      <c r="T79" s="4" t="s">
        <v>372</v>
      </c>
      <c r="U79" s="4" t="s">
        <v>373</v>
      </c>
      <c r="V79" s="4" t="s">
        <v>296</v>
      </c>
      <c r="W79" s="304" t="s">
        <v>35</v>
      </c>
    </row>
    <row r="80" spans="9:23" ht="14.85" customHeight="1" x14ac:dyDescent="0.25">
      <c r="I80" s="304" t="s">
        <v>339</v>
      </c>
      <c r="J80" s="5">
        <v>16.36</v>
      </c>
      <c r="K80" s="5">
        <v>24.54</v>
      </c>
      <c r="L80" s="5">
        <v>392.68</v>
      </c>
      <c r="M80" s="5">
        <v>34.93</v>
      </c>
      <c r="N80" s="7">
        <f>'Labour Rate'!$C$7</f>
        <v>48.39991666666667</v>
      </c>
      <c r="O80" s="304"/>
      <c r="Q80" s="304" t="s">
        <v>339</v>
      </c>
      <c r="R80" s="5">
        <v>16.36</v>
      </c>
      <c r="S80" s="5">
        <v>32.72</v>
      </c>
      <c r="T80" s="5">
        <v>392.68</v>
      </c>
      <c r="U80" s="5">
        <v>34.93</v>
      </c>
      <c r="V80" s="7">
        <f>'Labour Rate'!$C$7</f>
        <v>48.39991666666667</v>
      </c>
      <c r="W80" s="304"/>
    </row>
    <row r="81" spans="9:23" ht="14.85" customHeight="1" x14ac:dyDescent="0.25">
      <c r="I81" s="34" t="s">
        <v>340</v>
      </c>
      <c r="J81" s="9">
        <v>2.2999999999999998</v>
      </c>
      <c r="K81" s="9">
        <v>1.1499999999999999</v>
      </c>
      <c r="L81" s="9">
        <v>0.46</v>
      </c>
      <c r="M81" s="9">
        <v>0.57499999999999996</v>
      </c>
      <c r="N81" s="9">
        <v>3.5</v>
      </c>
      <c r="O81" s="11">
        <f>($J$80*J81)+($K$80*K81)+($L$80*L81)+($M$80*M81)+($N$80*N81)</f>
        <v>435.96625833333337</v>
      </c>
      <c r="Q81" s="34" t="s">
        <v>340</v>
      </c>
      <c r="R81" s="9">
        <v>2.2999999999999998</v>
      </c>
      <c r="S81" s="9">
        <v>1.1499999999999999</v>
      </c>
      <c r="T81" s="9">
        <v>0.46</v>
      </c>
      <c r="U81" s="9">
        <v>0.57499999999999996</v>
      </c>
      <c r="V81" s="9">
        <v>4</v>
      </c>
      <c r="W81" s="11">
        <f>($R$80*R81)+($S$80*S81)+($T$80*T81)+($U$80*U81)+($V$80*V81)</f>
        <v>469.57321666666667</v>
      </c>
    </row>
    <row r="82" spans="9:23" x14ac:dyDescent="0.25">
      <c r="I82" s="34" t="s">
        <v>341</v>
      </c>
      <c r="J82" s="9">
        <v>2.2999999999999998</v>
      </c>
      <c r="K82" s="9">
        <v>1.1499999999999999</v>
      </c>
      <c r="L82" s="9">
        <v>0.115</v>
      </c>
      <c r="M82" s="9">
        <v>0.57499999999999996</v>
      </c>
      <c r="N82" s="9">
        <v>3.5</v>
      </c>
      <c r="O82" s="11">
        <f t="shared" ref="O82:O84" si="10">($J$80*J82)+($K$80*K82)+($L$80*L82)+($M$80*M82)+($N$80*N82)</f>
        <v>300.49165833333336</v>
      </c>
      <c r="Q82" s="34" t="s">
        <v>341</v>
      </c>
      <c r="R82" s="9">
        <v>2.2999999999999998</v>
      </c>
      <c r="S82" s="9">
        <v>1.1499999999999999</v>
      </c>
      <c r="T82" s="9">
        <v>0.115</v>
      </c>
      <c r="U82" s="9">
        <v>0.57499999999999996</v>
      </c>
      <c r="V82" s="9">
        <v>4</v>
      </c>
      <c r="W82" s="11">
        <f t="shared" ref="W82:W84" si="11">($R$80*R82)+($S$80*S82)+($T$80*T82)+($U$80*U82)+($V$80*V82)</f>
        <v>334.09861666666666</v>
      </c>
    </row>
    <row r="83" spans="9:23" x14ac:dyDescent="0.25">
      <c r="I83" s="34" t="s">
        <v>343</v>
      </c>
      <c r="J83" s="9">
        <v>4.5999999999999996</v>
      </c>
      <c r="K83" s="9">
        <v>2.2999999999999998</v>
      </c>
      <c r="L83" s="9">
        <v>0.92</v>
      </c>
      <c r="M83" s="9">
        <v>0.57499999999999996</v>
      </c>
      <c r="N83" s="9">
        <v>4.5</v>
      </c>
      <c r="O83" s="11">
        <f t="shared" si="10"/>
        <v>730.84797500000002</v>
      </c>
      <c r="Q83" s="34" t="s">
        <v>343</v>
      </c>
      <c r="R83" s="9">
        <v>4.5999999999999996</v>
      </c>
      <c r="S83" s="9">
        <v>2.2999999999999998</v>
      </c>
      <c r="T83" s="9">
        <v>0.92</v>
      </c>
      <c r="U83" s="9">
        <v>0.57499999999999996</v>
      </c>
      <c r="V83" s="9">
        <v>5</v>
      </c>
      <c r="W83" s="11">
        <f t="shared" si="11"/>
        <v>773.86193333333335</v>
      </c>
    </row>
    <row r="84" spans="9:23" x14ac:dyDescent="0.25">
      <c r="I84" s="34" t="s">
        <v>346</v>
      </c>
      <c r="J84" s="9">
        <v>4.5999999999999996</v>
      </c>
      <c r="K84" s="9">
        <v>2.2999999999999998</v>
      </c>
      <c r="L84" s="9">
        <v>0.23</v>
      </c>
      <c r="M84" s="9">
        <v>0.57499999999999996</v>
      </c>
      <c r="N84" s="9">
        <v>4.5</v>
      </c>
      <c r="O84" s="11">
        <f t="shared" si="10"/>
        <v>459.898775</v>
      </c>
      <c r="Q84" s="34" t="s">
        <v>346</v>
      </c>
      <c r="R84" s="9">
        <v>4.5999999999999996</v>
      </c>
      <c r="S84" s="9">
        <v>2.2999999999999998</v>
      </c>
      <c r="T84" s="9">
        <v>0.23</v>
      </c>
      <c r="U84" s="9">
        <v>0.57499999999999996</v>
      </c>
      <c r="V84" s="9">
        <v>5</v>
      </c>
      <c r="W84" s="11">
        <f t="shared" si="11"/>
        <v>502.91273333333334</v>
      </c>
    </row>
    <row r="85" spans="9:23" x14ac:dyDescent="0.25">
      <c r="J85" s="1"/>
      <c r="K85" s="1"/>
      <c r="L85" s="1"/>
      <c r="M85" s="1"/>
      <c r="N85" s="1"/>
      <c r="R85" s="1"/>
      <c r="S85" s="1"/>
      <c r="T85" s="1"/>
      <c r="U85" s="1"/>
      <c r="V85" s="1"/>
    </row>
    <row r="86" spans="9:23" x14ac:dyDescent="0.25">
      <c r="I86" s="290" t="s">
        <v>375</v>
      </c>
      <c r="J86" s="290"/>
      <c r="K86" s="290"/>
      <c r="L86" s="290"/>
      <c r="M86" s="290"/>
      <c r="N86" s="290"/>
      <c r="O86" s="290"/>
      <c r="Q86" s="290" t="s">
        <v>375</v>
      </c>
      <c r="R86" s="290"/>
      <c r="S86" s="290"/>
      <c r="T86" s="290"/>
      <c r="U86" s="290"/>
      <c r="V86" s="290"/>
      <c r="W86" s="290"/>
    </row>
    <row r="87" spans="9:23" x14ac:dyDescent="0.25">
      <c r="I87" s="304" t="s">
        <v>198</v>
      </c>
      <c r="J87" s="4" t="s">
        <v>372</v>
      </c>
      <c r="K87" s="4" t="s">
        <v>376</v>
      </c>
      <c r="L87" s="4" t="s">
        <v>372</v>
      </c>
      <c r="M87" s="4" t="s">
        <v>373</v>
      </c>
      <c r="N87" s="4" t="s">
        <v>296</v>
      </c>
      <c r="O87" s="304" t="s">
        <v>35</v>
      </c>
      <c r="Q87" s="304" t="s">
        <v>198</v>
      </c>
      <c r="R87" s="4" t="s">
        <v>372</v>
      </c>
      <c r="S87" s="4" t="s">
        <v>376</v>
      </c>
      <c r="T87" s="4" t="s">
        <v>372</v>
      </c>
      <c r="U87" s="4" t="s">
        <v>373</v>
      </c>
      <c r="V87" s="4" t="s">
        <v>296</v>
      </c>
      <c r="W87" s="304" t="s">
        <v>35</v>
      </c>
    </row>
    <row r="88" spans="9:23" x14ac:dyDescent="0.25">
      <c r="I88" s="304" t="s">
        <v>339</v>
      </c>
      <c r="J88" s="5">
        <v>98.17</v>
      </c>
      <c r="K88" s="5">
        <v>49.09</v>
      </c>
      <c r="L88" s="5">
        <v>392.68</v>
      </c>
      <c r="M88" s="5">
        <v>34.93</v>
      </c>
      <c r="N88" s="7">
        <f>'Labour Rate'!$C$7</f>
        <v>48.39991666666667</v>
      </c>
      <c r="O88" s="304"/>
      <c r="Q88" s="304" t="s">
        <v>339</v>
      </c>
      <c r="R88" s="5">
        <v>98.17</v>
      </c>
      <c r="S88" s="5">
        <v>49.09</v>
      </c>
      <c r="T88" s="5">
        <v>392.68</v>
      </c>
      <c r="U88" s="5">
        <v>34.93</v>
      </c>
      <c r="V88" s="7">
        <f>'Labour Rate'!$C$7</f>
        <v>48.39991666666667</v>
      </c>
      <c r="W88" s="304"/>
    </row>
    <row r="89" spans="9:23" x14ac:dyDescent="0.25">
      <c r="I89" s="34" t="s">
        <v>341</v>
      </c>
      <c r="J89" s="9">
        <v>2.2999999999999998</v>
      </c>
      <c r="K89" s="9">
        <v>1.1499999999999999</v>
      </c>
      <c r="L89" s="9">
        <v>1.2649999999999999</v>
      </c>
      <c r="M89" s="9">
        <v>0.57499999999999996</v>
      </c>
      <c r="N89" s="9">
        <v>5</v>
      </c>
      <c r="O89" s="11">
        <f>($J$88*J89)+($K$88*K89)+($L$88*L89)+($M$88*M89)+($N$88*N89)</f>
        <v>1041.0690333333332</v>
      </c>
      <c r="Q89" s="34" t="s">
        <v>341</v>
      </c>
      <c r="R89" s="9">
        <v>2.2999999999999998</v>
      </c>
      <c r="S89" s="9">
        <v>1.1499999999999999</v>
      </c>
      <c r="T89" s="9">
        <v>1.2649999999999999</v>
      </c>
      <c r="U89" s="9">
        <v>0.57499999999999996</v>
      </c>
      <c r="V89" s="9">
        <v>5.5</v>
      </c>
      <c r="W89" s="11">
        <f>($R$88*R89)+($S$88*S89)+($T$88*T89)+($U$88*U89)+($V$88*V89)</f>
        <v>1065.2689916666666</v>
      </c>
    </row>
    <row r="90" spans="9:23" x14ac:dyDescent="0.25">
      <c r="I90" s="34" t="s">
        <v>354</v>
      </c>
      <c r="J90" s="9">
        <v>2.2999999999999998</v>
      </c>
      <c r="K90" s="9">
        <v>1.1499999999999999</v>
      </c>
      <c r="L90" s="9">
        <v>0.57499999999999996</v>
      </c>
      <c r="M90" s="9">
        <v>0.57499999999999996</v>
      </c>
      <c r="N90" s="9">
        <v>5</v>
      </c>
      <c r="O90" s="11">
        <f>($J$88*J90)+($K$88*K90)+($L$88*L90)+($M$88*M90)+($N$88*N90)</f>
        <v>770.11983333333342</v>
      </c>
      <c r="Q90" s="34" t="s">
        <v>354</v>
      </c>
      <c r="R90" s="9">
        <v>2.2999999999999998</v>
      </c>
      <c r="S90" s="9">
        <v>1.1499999999999999</v>
      </c>
      <c r="T90" s="9">
        <v>0.57499999999999996</v>
      </c>
      <c r="U90" s="9">
        <v>0.57499999999999996</v>
      </c>
      <c r="V90" s="9">
        <v>5.5</v>
      </c>
      <c r="W90" s="11">
        <f>($R$88*R90)+($S$88*S90)+($T$88*T90)+($U$88*U90)+($V$88*V90)</f>
        <v>794.31979166666679</v>
      </c>
    </row>
    <row r="91" spans="9:23" x14ac:dyDescent="0.25">
      <c r="K91" s="72"/>
    </row>
    <row r="93" spans="9:23" ht="14.85" customHeight="1" x14ac:dyDescent="0.25">
      <c r="I93" s="290" t="s">
        <v>377</v>
      </c>
      <c r="J93" s="290"/>
      <c r="K93" s="290"/>
      <c r="L93" s="290"/>
      <c r="M93" s="290"/>
      <c r="N93" s="290"/>
      <c r="O93" s="290"/>
      <c r="Q93" s="290" t="s">
        <v>377</v>
      </c>
      <c r="R93" s="290"/>
      <c r="S93" s="290"/>
      <c r="T93" s="290"/>
      <c r="U93" s="290"/>
      <c r="V93" s="290"/>
      <c r="W93" s="290"/>
    </row>
    <row r="94" spans="9:23" ht="14.85" customHeight="1" x14ac:dyDescent="0.25">
      <c r="I94" s="304" t="s">
        <v>198</v>
      </c>
      <c r="J94" s="4" t="s">
        <v>370</v>
      </c>
      <c r="K94" s="4" t="s">
        <v>378</v>
      </c>
      <c r="L94" s="4" t="s">
        <v>379</v>
      </c>
      <c r="M94" s="4" t="s">
        <v>380</v>
      </c>
      <c r="N94" s="4" t="s">
        <v>296</v>
      </c>
      <c r="O94" s="304" t="s">
        <v>35</v>
      </c>
      <c r="Q94" s="304" t="s">
        <v>198</v>
      </c>
      <c r="R94" s="4" t="s">
        <v>381</v>
      </c>
      <c r="S94" s="4" t="s">
        <v>382</v>
      </c>
      <c r="T94" s="4" t="s">
        <v>379</v>
      </c>
      <c r="U94" s="4" t="s">
        <v>380</v>
      </c>
      <c r="V94" s="4" t="s">
        <v>296</v>
      </c>
      <c r="W94" s="304" t="s">
        <v>35</v>
      </c>
    </row>
    <row r="95" spans="9:23" ht="14.85" customHeight="1" x14ac:dyDescent="0.25">
      <c r="I95" s="304" t="s">
        <v>339</v>
      </c>
      <c r="J95" s="5">
        <v>16.36</v>
      </c>
      <c r="K95" s="5">
        <v>24.54</v>
      </c>
      <c r="L95" s="5">
        <v>392.68</v>
      </c>
      <c r="M95" s="5">
        <v>34.93</v>
      </c>
      <c r="N95" s="7">
        <f>'Labour Rate'!$C$7</f>
        <v>48.39991666666667</v>
      </c>
      <c r="O95" s="304"/>
      <c r="Q95" s="304" t="s">
        <v>339</v>
      </c>
      <c r="R95" s="5">
        <v>16.36</v>
      </c>
      <c r="S95" s="5">
        <v>32.72</v>
      </c>
      <c r="T95" s="5">
        <v>392.68</v>
      </c>
      <c r="U95" s="5">
        <v>34.93</v>
      </c>
      <c r="V95" s="7">
        <f>'Labour Rate'!$C$7</f>
        <v>48.39991666666667</v>
      </c>
      <c r="W95" s="304"/>
    </row>
    <row r="96" spans="9:23" ht="14.85" customHeight="1" x14ac:dyDescent="0.25">
      <c r="I96" s="34" t="s">
        <v>340</v>
      </c>
      <c r="J96" s="9">
        <v>2.2999999999999998</v>
      </c>
      <c r="K96" s="9">
        <v>1.1499999999999999</v>
      </c>
      <c r="L96" s="9">
        <v>0.46</v>
      </c>
      <c r="M96" s="9">
        <v>0.57499999999999996</v>
      </c>
      <c r="N96" s="9">
        <v>3.5</v>
      </c>
      <c r="O96" s="11">
        <f>($J$95*J96)+($K$95*K96)+($L$95*L96)+($M$95*M96)+($N$95*N96)</f>
        <v>435.96625833333337</v>
      </c>
      <c r="Q96" s="34" t="s">
        <v>340</v>
      </c>
      <c r="R96" s="9">
        <v>2.2999999999999998</v>
      </c>
      <c r="S96" s="9">
        <v>1.1499999999999999</v>
      </c>
      <c r="T96" s="9">
        <v>0.46</v>
      </c>
      <c r="U96" s="9">
        <v>0.57499999999999996</v>
      </c>
      <c r="V96" s="9">
        <v>4</v>
      </c>
      <c r="W96" s="11">
        <f>($R$95*R96)+($S$95*S96)+($T$95*T96)+($U$95*U96)+($V$95*V96)</f>
        <v>469.57321666666667</v>
      </c>
    </row>
    <row r="97" spans="9:23" x14ac:dyDescent="0.25">
      <c r="I97" s="34" t="s">
        <v>341</v>
      </c>
      <c r="J97" s="9">
        <v>2.2999999999999998</v>
      </c>
      <c r="K97" s="9">
        <v>1.1499999999999999</v>
      </c>
      <c r="L97" s="9">
        <v>0.115</v>
      </c>
      <c r="M97" s="9">
        <v>0.57499999999999996</v>
      </c>
      <c r="N97" s="9">
        <v>3.5</v>
      </c>
      <c r="O97" s="11">
        <f t="shared" ref="O97:O99" si="12">($J$95*J97)+($K$95*K97)+($L$95*L97)+($M$95*M97)+($N$95*N97)</f>
        <v>300.49165833333336</v>
      </c>
      <c r="Q97" s="34" t="s">
        <v>341</v>
      </c>
      <c r="R97" s="9">
        <v>2.2999999999999998</v>
      </c>
      <c r="S97" s="9">
        <v>1.1499999999999999</v>
      </c>
      <c r="T97" s="9">
        <v>0.115</v>
      </c>
      <c r="U97" s="9">
        <v>0.57499999999999996</v>
      </c>
      <c r="V97" s="9">
        <v>4</v>
      </c>
      <c r="W97" s="11">
        <f t="shared" ref="W97:W99" si="13">($R$95*R97)+($S$95*S97)+($T$95*T97)+($U$95*U97)+($V$95*V97)</f>
        <v>334.09861666666666</v>
      </c>
    </row>
    <row r="98" spans="9:23" x14ac:dyDescent="0.25">
      <c r="I98" s="34" t="s">
        <v>343</v>
      </c>
      <c r="J98" s="9">
        <v>4.5999999999999996</v>
      </c>
      <c r="K98" s="9">
        <v>2.2999999999999998</v>
      </c>
      <c r="L98" s="9">
        <v>0.92</v>
      </c>
      <c r="M98" s="9">
        <v>0.57499999999999996</v>
      </c>
      <c r="N98" s="9">
        <v>4.5</v>
      </c>
      <c r="O98" s="11">
        <f t="shared" si="12"/>
        <v>730.84797500000002</v>
      </c>
      <c r="Q98" s="34" t="s">
        <v>343</v>
      </c>
      <c r="R98" s="9">
        <v>4.5999999999999996</v>
      </c>
      <c r="S98" s="9">
        <v>2.2999999999999998</v>
      </c>
      <c r="T98" s="9">
        <v>0.92</v>
      </c>
      <c r="U98" s="9">
        <v>0.57499999999999996</v>
      </c>
      <c r="V98" s="9">
        <v>5</v>
      </c>
      <c r="W98" s="11">
        <f t="shared" si="13"/>
        <v>773.86193333333335</v>
      </c>
    </row>
    <row r="99" spans="9:23" x14ac:dyDescent="0.25">
      <c r="I99" s="34" t="s">
        <v>346</v>
      </c>
      <c r="J99" s="9">
        <v>4.5999999999999996</v>
      </c>
      <c r="K99" s="9">
        <v>2.2999999999999998</v>
      </c>
      <c r="L99" s="9">
        <v>0.23</v>
      </c>
      <c r="M99" s="9">
        <v>0.57499999999999996</v>
      </c>
      <c r="N99" s="9">
        <v>4.5</v>
      </c>
      <c r="O99" s="11">
        <f t="shared" si="12"/>
        <v>459.898775</v>
      </c>
      <c r="Q99" s="34" t="s">
        <v>346</v>
      </c>
      <c r="R99" s="9">
        <v>4.5999999999999996</v>
      </c>
      <c r="S99" s="9">
        <v>2.2999999999999998</v>
      </c>
      <c r="T99" s="9">
        <v>0.23</v>
      </c>
      <c r="U99" s="9">
        <v>0.57499999999999996</v>
      </c>
      <c r="V99" s="9">
        <v>5</v>
      </c>
      <c r="W99" s="11">
        <f t="shared" si="13"/>
        <v>502.91273333333334</v>
      </c>
    </row>
    <row r="100" spans="9:23" x14ac:dyDescent="0.25">
      <c r="J100" s="1"/>
      <c r="K100" s="1"/>
      <c r="L100" s="1"/>
      <c r="M100" s="1"/>
      <c r="N100" s="1"/>
      <c r="R100" s="1"/>
      <c r="S100" s="1"/>
      <c r="T100" s="1"/>
      <c r="U100" s="1"/>
      <c r="V100" s="1"/>
    </row>
    <row r="101" spans="9:23" x14ac:dyDescent="0.25">
      <c r="I101" s="290" t="s">
        <v>383</v>
      </c>
      <c r="J101" s="290"/>
      <c r="K101" s="290"/>
      <c r="L101" s="290"/>
      <c r="M101" s="290"/>
      <c r="N101" s="290"/>
      <c r="O101" s="290"/>
      <c r="Q101" s="290" t="s">
        <v>383</v>
      </c>
      <c r="R101" s="290"/>
      <c r="S101" s="290"/>
      <c r="T101" s="290"/>
      <c r="U101" s="290"/>
      <c r="V101" s="290"/>
      <c r="W101" s="290"/>
    </row>
    <row r="102" spans="9:23" x14ac:dyDescent="0.25">
      <c r="I102" s="304" t="s">
        <v>198</v>
      </c>
      <c r="J102" s="4" t="s">
        <v>372</v>
      </c>
      <c r="K102" s="4" t="s">
        <v>384</v>
      </c>
      <c r="L102" s="4" t="s">
        <v>379</v>
      </c>
      <c r="M102" s="4" t="s">
        <v>380</v>
      </c>
      <c r="N102" s="4" t="s">
        <v>296</v>
      </c>
      <c r="O102" s="304" t="s">
        <v>35</v>
      </c>
      <c r="Q102" s="304" t="s">
        <v>198</v>
      </c>
      <c r="R102" s="4" t="s">
        <v>379</v>
      </c>
      <c r="S102" s="4" t="s">
        <v>384</v>
      </c>
      <c r="T102" s="4" t="s">
        <v>379</v>
      </c>
      <c r="U102" s="4" t="s">
        <v>380</v>
      </c>
      <c r="V102" s="4" t="s">
        <v>296</v>
      </c>
      <c r="W102" s="304" t="s">
        <v>35</v>
      </c>
    </row>
    <row r="103" spans="9:23" x14ac:dyDescent="0.25">
      <c r="I103" s="304" t="s">
        <v>339</v>
      </c>
      <c r="J103" s="5">
        <v>98.17</v>
      </c>
      <c r="K103" s="5">
        <v>49.09</v>
      </c>
      <c r="L103" s="5">
        <v>392.68</v>
      </c>
      <c r="M103" s="5">
        <v>34.93</v>
      </c>
      <c r="N103" s="7">
        <f>'Labour Rate'!$C$7</f>
        <v>48.39991666666667</v>
      </c>
      <c r="O103" s="304"/>
      <c r="Q103" s="304" t="s">
        <v>339</v>
      </c>
      <c r="R103" s="5">
        <v>98.17</v>
      </c>
      <c r="S103" s="5">
        <v>49.09</v>
      </c>
      <c r="T103" s="5">
        <v>392.68</v>
      </c>
      <c r="U103" s="5">
        <v>34.93</v>
      </c>
      <c r="V103" s="7">
        <f>'Labour Rate'!$C$7</f>
        <v>48.39991666666667</v>
      </c>
      <c r="W103" s="304"/>
    </row>
    <row r="104" spans="9:23" x14ac:dyDescent="0.25">
      <c r="I104" s="34" t="s">
        <v>341</v>
      </c>
      <c r="J104" s="9">
        <v>2.2999999999999998</v>
      </c>
      <c r="K104" s="9">
        <v>1.1499999999999999</v>
      </c>
      <c r="L104" s="9">
        <v>1.2649999999999999</v>
      </c>
      <c r="M104" s="9">
        <v>0.57499999999999996</v>
      </c>
      <c r="N104" s="9">
        <v>5</v>
      </c>
      <c r="O104" s="11">
        <f>($J$103*J104)+($K$103*K104)+($L$103*L104)+($M$103*M104)+($N$103*N104)</f>
        <v>1041.0690333333332</v>
      </c>
      <c r="Q104" s="34" t="s">
        <v>341</v>
      </c>
      <c r="R104" s="9">
        <v>2.2999999999999998</v>
      </c>
      <c r="S104" s="9">
        <v>1.1499999999999999</v>
      </c>
      <c r="T104" s="9">
        <v>1.2649999999999999</v>
      </c>
      <c r="U104" s="9">
        <v>0.57499999999999996</v>
      </c>
      <c r="V104" s="9">
        <v>5.5</v>
      </c>
      <c r="W104" s="11">
        <f>($R$103*R104)+($S$103*S104)+($T$103*T104)+($U$103*U104)+($V$103*V104)</f>
        <v>1065.2689916666666</v>
      </c>
    </row>
    <row r="105" spans="9:23" x14ac:dyDescent="0.25">
      <c r="I105" s="34" t="s">
        <v>354</v>
      </c>
      <c r="J105" s="9">
        <v>2.2999999999999998</v>
      </c>
      <c r="K105" s="9">
        <v>1.1499999999999999</v>
      </c>
      <c r="L105" s="9">
        <v>0.57499999999999996</v>
      </c>
      <c r="M105" s="9">
        <v>0.57499999999999996</v>
      </c>
      <c r="N105" s="9">
        <v>5</v>
      </c>
      <c r="O105" s="11">
        <f>($J$103*J105)+($K$103*K105)+($L$103*L105)+($M$103*M105)+($N$103*N105)</f>
        <v>770.11983333333342</v>
      </c>
      <c r="Q105" s="34" t="s">
        <v>354</v>
      </c>
      <c r="R105" s="9">
        <v>2.2999999999999998</v>
      </c>
      <c r="S105" s="9">
        <v>1.1499999999999999</v>
      </c>
      <c r="T105" s="9">
        <v>0.57499999999999996</v>
      </c>
      <c r="U105" s="9">
        <v>0.57499999999999996</v>
      </c>
      <c r="V105" s="9">
        <v>5.5</v>
      </c>
      <c r="W105" s="11">
        <f>($R$103*R105)+($S$103*S105)+($T$103*T105)+($U$103*U105)+($V$103*V105)</f>
        <v>794.31979166666679</v>
      </c>
    </row>
  </sheetData>
  <mergeCells count="102">
    <mergeCell ref="I49:I50"/>
    <mergeCell ref="O49:O50"/>
    <mergeCell ref="I56:O56"/>
    <mergeCell ref="I57:I58"/>
    <mergeCell ref="Q56:W56"/>
    <mergeCell ref="Q57:Q58"/>
    <mergeCell ref="W57:W58"/>
    <mergeCell ref="Q26:W26"/>
    <mergeCell ref="Q27:Q28"/>
    <mergeCell ref="W27:W28"/>
    <mergeCell ref="Q48:W48"/>
    <mergeCell ref="Q49:Q50"/>
    <mergeCell ref="W49:W50"/>
    <mergeCell ref="Q33:W33"/>
    <mergeCell ref="Q34:Q35"/>
    <mergeCell ref="W34:W35"/>
    <mergeCell ref="Q41:W41"/>
    <mergeCell ref="Q42:Q43"/>
    <mergeCell ref="W42:W43"/>
    <mergeCell ref="O57:O58"/>
    <mergeCell ref="I27:I28"/>
    <mergeCell ref="O27:O28"/>
    <mergeCell ref="I48:O48"/>
    <mergeCell ref="Q1:W1"/>
    <mergeCell ref="Q3:W3"/>
    <mergeCell ref="Q4:Q5"/>
    <mergeCell ref="W4:W5"/>
    <mergeCell ref="Q11:W11"/>
    <mergeCell ref="Q12:Q13"/>
    <mergeCell ref="W12:W13"/>
    <mergeCell ref="Q18:W18"/>
    <mergeCell ref="Q19:Q20"/>
    <mergeCell ref="W19:W20"/>
    <mergeCell ref="O4:O5"/>
    <mergeCell ref="I1:O1"/>
    <mergeCell ref="I3:O3"/>
    <mergeCell ref="A3:G3"/>
    <mergeCell ref="I26:O26"/>
    <mergeCell ref="A8:G8"/>
    <mergeCell ref="A1:G1"/>
    <mergeCell ref="A4:A5"/>
    <mergeCell ref="G4:G5"/>
    <mergeCell ref="I4:I5"/>
    <mergeCell ref="A23:G23"/>
    <mergeCell ref="A24:A25"/>
    <mergeCell ref="G24:G25"/>
    <mergeCell ref="A9:A10"/>
    <mergeCell ref="G9:G10"/>
    <mergeCell ref="I18:O18"/>
    <mergeCell ref="I19:I20"/>
    <mergeCell ref="O19:O20"/>
    <mergeCell ref="I11:O11"/>
    <mergeCell ref="I12:I13"/>
    <mergeCell ref="O12:O13"/>
    <mergeCell ref="A13:G13"/>
    <mergeCell ref="A14:A15"/>
    <mergeCell ref="G14:G15"/>
    <mergeCell ref="A18:G18"/>
    <mergeCell ref="A19:A20"/>
    <mergeCell ref="G19:G20"/>
    <mergeCell ref="I33:O33"/>
    <mergeCell ref="I34:I35"/>
    <mergeCell ref="O34:O35"/>
    <mergeCell ref="I41:O41"/>
    <mergeCell ref="I42:I43"/>
    <mergeCell ref="O42:O43"/>
    <mergeCell ref="I71:O71"/>
    <mergeCell ref="Q71:W71"/>
    <mergeCell ref="I72:I73"/>
    <mergeCell ref="O72:O73"/>
    <mergeCell ref="Q72:Q73"/>
    <mergeCell ref="W72:W73"/>
    <mergeCell ref="I63:O63"/>
    <mergeCell ref="Q63:W63"/>
    <mergeCell ref="I64:I65"/>
    <mergeCell ref="O64:O65"/>
    <mergeCell ref="Q64:Q65"/>
    <mergeCell ref="W64:W65"/>
    <mergeCell ref="I86:O86"/>
    <mergeCell ref="Q86:W86"/>
    <mergeCell ref="I87:I88"/>
    <mergeCell ref="O87:O88"/>
    <mergeCell ref="Q87:Q88"/>
    <mergeCell ref="W87:W88"/>
    <mergeCell ref="I78:O78"/>
    <mergeCell ref="Q78:W78"/>
    <mergeCell ref="I79:I80"/>
    <mergeCell ref="O79:O80"/>
    <mergeCell ref="Q79:Q80"/>
    <mergeCell ref="W79:W80"/>
    <mergeCell ref="I101:O101"/>
    <mergeCell ref="Q101:W101"/>
    <mergeCell ref="I102:I103"/>
    <mergeCell ref="O102:O103"/>
    <mergeCell ref="Q102:Q103"/>
    <mergeCell ref="W102:W103"/>
    <mergeCell ref="I93:O93"/>
    <mergeCell ref="Q93:W93"/>
    <mergeCell ref="I94:I95"/>
    <mergeCell ref="O94:O95"/>
    <mergeCell ref="Q94:Q95"/>
    <mergeCell ref="W94:W95"/>
  </mergeCells>
  <phoneticPr fontId="6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4DBE-0047-4D80-A3B1-A132EE645035}">
  <sheetPr codeName="Sheet23">
    <tabColor rgb="FFFF0000"/>
  </sheetPr>
  <dimension ref="A1:M82"/>
  <sheetViews>
    <sheetView topLeftCell="A25" zoomScaleNormal="100" workbookViewId="0">
      <selection activeCell="J12" sqref="J12"/>
    </sheetView>
  </sheetViews>
  <sheetFormatPr defaultRowHeight="15" x14ac:dyDescent="0.25"/>
  <cols>
    <col min="1" max="1" width="7.85546875" bestFit="1" customWidth="1"/>
    <col min="2" max="2" width="25.5703125" customWidth="1"/>
    <col min="3" max="3" width="22.85546875" bestFit="1" customWidth="1"/>
    <col min="4" max="4" width="15.85546875" bestFit="1" customWidth="1"/>
    <col min="5" max="5" width="22.85546875" bestFit="1" customWidth="1"/>
    <col min="6" max="6" width="4" customWidth="1"/>
    <col min="7" max="7" width="10.85546875" style="1" bestFit="1" customWidth="1"/>
    <col min="8" max="8" width="9.85546875" style="1" customWidth="1"/>
    <col min="9" max="9" width="9" style="1" customWidth="1"/>
    <col min="10" max="10" width="23.140625" style="1" bestFit="1" customWidth="1"/>
    <col min="11" max="11" width="17.85546875" style="1" bestFit="1" customWidth="1"/>
    <col min="12" max="12" width="17.5703125" style="1" bestFit="1" customWidth="1"/>
    <col min="13" max="13" width="11.140625" bestFit="1" customWidth="1"/>
  </cols>
  <sheetData>
    <row r="1" spans="1:13" ht="18.75" x14ac:dyDescent="0.3">
      <c r="A1" s="303" t="s">
        <v>385</v>
      </c>
      <c r="B1" s="303"/>
      <c r="C1" s="303"/>
      <c r="D1" s="303"/>
      <c r="E1" s="303"/>
      <c r="H1" s="303" t="s">
        <v>386</v>
      </c>
      <c r="I1" s="303"/>
      <c r="J1" s="303"/>
      <c r="K1" s="303"/>
      <c r="L1" s="303"/>
      <c r="M1" s="303"/>
    </row>
    <row r="2" spans="1:13" ht="6" customHeight="1" x14ac:dyDescent="0.25">
      <c r="B2" s="1"/>
      <c r="C2" s="1"/>
      <c r="D2" s="1"/>
      <c r="E2" s="1"/>
    </row>
    <row r="3" spans="1:13" x14ac:dyDescent="0.25">
      <c r="A3" s="300" t="s">
        <v>251</v>
      </c>
      <c r="B3" s="301"/>
      <c r="C3" s="301"/>
      <c r="D3" s="301"/>
      <c r="E3" s="302"/>
      <c r="H3" s="290" t="s">
        <v>252</v>
      </c>
      <c r="I3" s="290"/>
      <c r="J3" s="290"/>
      <c r="K3" s="290"/>
      <c r="L3" s="290"/>
      <c r="M3" s="290"/>
    </row>
    <row r="4" spans="1:13" x14ac:dyDescent="0.25">
      <c r="A4" s="304" t="s">
        <v>253</v>
      </c>
      <c r="B4" s="4" t="s">
        <v>387</v>
      </c>
      <c r="C4" s="4" t="s">
        <v>388</v>
      </c>
      <c r="D4" s="4" t="s">
        <v>296</v>
      </c>
      <c r="E4" s="305" t="s">
        <v>35</v>
      </c>
      <c r="H4" s="291" t="s">
        <v>198</v>
      </c>
      <c r="I4" s="304" t="s">
        <v>253</v>
      </c>
      <c r="J4" s="4" t="s">
        <v>389</v>
      </c>
      <c r="K4" s="4" t="s">
        <v>390</v>
      </c>
      <c r="L4" s="4" t="s">
        <v>296</v>
      </c>
      <c r="M4" s="305" t="s">
        <v>35</v>
      </c>
    </row>
    <row r="5" spans="1:13" x14ac:dyDescent="0.25">
      <c r="A5" s="304"/>
      <c r="B5" s="5">
        <v>11.25</v>
      </c>
      <c r="C5" s="6">
        <v>0.92</v>
      </c>
      <c r="D5" s="7">
        <v>0.81</v>
      </c>
      <c r="E5" s="305"/>
      <c r="H5" s="292"/>
      <c r="I5" s="304"/>
      <c r="J5" s="5">
        <v>8.7200000000000006</v>
      </c>
      <c r="K5" s="5">
        <v>2.9</v>
      </c>
      <c r="L5" s="7">
        <v>0.81</v>
      </c>
      <c r="M5" s="305"/>
    </row>
    <row r="6" spans="1:13" x14ac:dyDescent="0.25">
      <c r="A6" s="34" t="s">
        <v>255</v>
      </c>
      <c r="B6" s="9">
        <v>1.32</v>
      </c>
      <c r="C6" s="26">
        <f>1*$C$5</f>
        <v>0.92</v>
      </c>
      <c r="D6" s="9">
        <v>2.8</v>
      </c>
      <c r="E6" s="15">
        <f>($B$5*B6)+(C6)+($D$5*D6)</f>
        <v>18.038</v>
      </c>
      <c r="H6" s="8" t="s">
        <v>391</v>
      </c>
      <c r="I6" s="50" t="s">
        <v>257</v>
      </c>
      <c r="J6" s="9">
        <v>1.98</v>
      </c>
      <c r="K6" s="9">
        <v>0.99</v>
      </c>
      <c r="L6" s="49">
        <v>3</v>
      </c>
      <c r="M6" s="24">
        <f>(J6*$J$5)+(K6*$K$5)+(L6*$L$5)</f>
        <v>22.566600000000001</v>
      </c>
    </row>
    <row r="7" spans="1:13" x14ac:dyDescent="0.25">
      <c r="A7" s="34" t="s">
        <v>71</v>
      </c>
      <c r="B7" s="9">
        <v>1.98</v>
      </c>
      <c r="C7" s="26">
        <f>2*$C$5</f>
        <v>1.84</v>
      </c>
      <c r="D7" s="9">
        <v>2.8</v>
      </c>
      <c r="E7" s="15">
        <f t="shared" ref="E7:E21" si="0">($B$5*B7)+(C7)+($D$5*D7)</f>
        <v>26.382999999999999</v>
      </c>
      <c r="H7" s="8" t="s">
        <v>391</v>
      </c>
      <c r="I7" s="50" t="s">
        <v>258</v>
      </c>
      <c r="J7" s="9">
        <v>2.64</v>
      </c>
      <c r="K7" s="9">
        <v>1.32</v>
      </c>
      <c r="L7" s="49">
        <v>4</v>
      </c>
      <c r="M7" s="24">
        <f>(J7*$J$5)+(K7*$K$5)+(L7*$L$5)</f>
        <v>30.088799999999999</v>
      </c>
    </row>
    <row r="8" spans="1:13" x14ac:dyDescent="0.25">
      <c r="A8" s="34" t="s">
        <v>115</v>
      </c>
      <c r="B8" s="9">
        <v>2.65</v>
      </c>
      <c r="C8" s="26">
        <f>3*$C$5</f>
        <v>2.7600000000000002</v>
      </c>
      <c r="D8" s="9">
        <v>4.3</v>
      </c>
      <c r="E8" s="15">
        <f t="shared" si="0"/>
        <v>36.055499999999995</v>
      </c>
    </row>
    <row r="9" spans="1:13" x14ac:dyDescent="0.25">
      <c r="A9" s="34" t="s">
        <v>117</v>
      </c>
      <c r="B9" s="9">
        <v>3.3</v>
      </c>
      <c r="C9" s="26">
        <f>4*$C$5</f>
        <v>3.68</v>
      </c>
      <c r="D9" s="9">
        <v>5.6</v>
      </c>
      <c r="E9" s="15">
        <f t="shared" si="0"/>
        <v>45.341000000000001</v>
      </c>
      <c r="H9" s="8" t="s">
        <v>391</v>
      </c>
      <c r="I9" s="50" t="s">
        <v>392</v>
      </c>
      <c r="J9" s="9">
        <v>1.3</v>
      </c>
      <c r="K9" s="9"/>
      <c r="L9" s="49">
        <v>8</v>
      </c>
      <c r="M9" s="24">
        <f>(J9*$J$5)+(K9*$K$5)+(L9*$L$5)</f>
        <v>17.816000000000003</v>
      </c>
    </row>
    <row r="10" spans="1:13" x14ac:dyDescent="0.25">
      <c r="A10" s="34" t="s">
        <v>260</v>
      </c>
      <c r="B10" s="16">
        <v>3.96</v>
      </c>
      <c r="C10" s="26">
        <f>5*$C$5</f>
        <v>4.6000000000000005</v>
      </c>
      <c r="D10" s="9">
        <v>7.1</v>
      </c>
      <c r="E10" s="15">
        <f t="shared" si="0"/>
        <v>54.900999999999996</v>
      </c>
      <c r="J10" s="57"/>
      <c r="K10" s="57"/>
      <c r="L10" s="57"/>
      <c r="M10" s="40"/>
    </row>
    <row r="11" spans="1:13" x14ac:dyDescent="0.25">
      <c r="A11" s="34" t="s">
        <v>118</v>
      </c>
      <c r="B11" s="9">
        <v>4.62</v>
      </c>
      <c r="C11" s="26">
        <f>6*$C$5</f>
        <v>5.5200000000000005</v>
      </c>
      <c r="D11" s="9">
        <v>8.5</v>
      </c>
      <c r="E11" s="15">
        <f t="shared" si="0"/>
        <v>64.38000000000001</v>
      </c>
    </row>
    <row r="12" spans="1:13" x14ac:dyDescent="0.25">
      <c r="A12" s="34" t="s">
        <v>261</v>
      </c>
      <c r="B12" s="9">
        <v>5.28</v>
      </c>
      <c r="C12" s="26">
        <f>7*$C$5</f>
        <v>6.44</v>
      </c>
      <c r="D12" s="9">
        <v>9.9499999999999993</v>
      </c>
      <c r="E12" s="15">
        <f t="shared" si="0"/>
        <v>73.899500000000003</v>
      </c>
    </row>
    <row r="13" spans="1:13" x14ac:dyDescent="0.25">
      <c r="A13" s="34" t="s">
        <v>262</v>
      </c>
      <c r="B13" s="9">
        <v>5.94</v>
      </c>
      <c r="C13" s="26">
        <f>8*$C$5</f>
        <v>7.36</v>
      </c>
      <c r="D13" s="9">
        <v>11.4</v>
      </c>
      <c r="E13" s="15">
        <f t="shared" si="0"/>
        <v>83.419000000000011</v>
      </c>
    </row>
    <row r="14" spans="1:13" x14ac:dyDescent="0.25">
      <c r="A14" s="34" t="s">
        <v>263</v>
      </c>
      <c r="B14" s="9">
        <v>6.6</v>
      </c>
      <c r="C14" s="26">
        <f>9*$C$5</f>
        <v>8.2800000000000011</v>
      </c>
      <c r="D14" s="9">
        <v>12.8</v>
      </c>
      <c r="E14" s="15">
        <f t="shared" si="0"/>
        <v>92.897999999999996</v>
      </c>
    </row>
    <row r="15" spans="1:13" x14ac:dyDescent="0.25">
      <c r="A15" s="34" t="s">
        <v>264</v>
      </c>
      <c r="B15" s="9">
        <v>7.26</v>
      </c>
      <c r="C15" s="26">
        <f>10*$C$5</f>
        <v>9.2000000000000011</v>
      </c>
      <c r="D15" s="9">
        <v>14.2</v>
      </c>
      <c r="E15" s="15">
        <f t="shared" si="0"/>
        <v>102.377</v>
      </c>
      <c r="K15" s="57"/>
    </row>
    <row r="16" spans="1:13" x14ac:dyDescent="0.25">
      <c r="A16" s="34" t="s">
        <v>265</v>
      </c>
      <c r="B16" s="9">
        <v>7.92</v>
      </c>
      <c r="C16" s="26">
        <f>11*$C$5</f>
        <v>10.120000000000001</v>
      </c>
      <c r="D16" s="9">
        <v>15.6</v>
      </c>
      <c r="E16" s="15">
        <f t="shared" si="0"/>
        <v>111.85599999999999</v>
      </c>
    </row>
    <row r="17" spans="1:9" x14ac:dyDescent="0.25">
      <c r="A17" s="34" t="s">
        <v>266</v>
      </c>
      <c r="B17" s="9">
        <v>8.58</v>
      </c>
      <c r="C17" s="26">
        <f>12*$C$5</f>
        <v>11.040000000000001</v>
      </c>
      <c r="D17" s="9">
        <v>17.059999999999999</v>
      </c>
      <c r="E17" s="15">
        <f t="shared" si="0"/>
        <v>121.38360000000002</v>
      </c>
    </row>
    <row r="18" spans="1:9" x14ac:dyDescent="0.25">
      <c r="A18" s="34" t="s">
        <v>267</v>
      </c>
      <c r="B18" s="9">
        <v>9.24</v>
      </c>
      <c r="C18" s="26">
        <f>13*$C$5</f>
        <v>11.96</v>
      </c>
      <c r="D18" s="9">
        <v>18.48</v>
      </c>
      <c r="E18" s="15">
        <f t="shared" si="0"/>
        <v>130.87880000000001</v>
      </c>
    </row>
    <row r="19" spans="1:9" x14ac:dyDescent="0.25">
      <c r="A19" s="34" t="s">
        <v>268</v>
      </c>
      <c r="B19" s="9">
        <v>9.9</v>
      </c>
      <c r="C19" s="26">
        <f>14*$C$5</f>
        <v>12.88</v>
      </c>
      <c r="D19" s="9">
        <v>19.899999999999999</v>
      </c>
      <c r="E19" s="15">
        <f t="shared" si="0"/>
        <v>140.374</v>
      </c>
    </row>
    <row r="20" spans="1:9" x14ac:dyDescent="0.25">
      <c r="A20" s="34" t="s">
        <v>269</v>
      </c>
      <c r="B20" s="9">
        <v>10.56</v>
      </c>
      <c r="C20" s="26">
        <f>15*$C$5</f>
        <v>13.8</v>
      </c>
      <c r="D20" s="9">
        <v>21.3</v>
      </c>
      <c r="E20" s="15">
        <f t="shared" si="0"/>
        <v>149.85300000000001</v>
      </c>
    </row>
    <row r="21" spans="1:9" x14ac:dyDescent="0.25">
      <c r="A21" s="34" t="s">
        <v>270</v>
      </c>
      <c r="B21" s="9">
        <v>11.22</v>
      </c>
      <c r="C21" s="26">
        <v>14.72</v>
      </c>
      <c r="D21" s="9">
        <v>22.7</v>
      </c>
      <c r="E21" s="15">
        <f t="shared" si="0"/>
        <v>159.33200000000002</v>
      </c>
    </row>
    <row r="22" spans="1:9" ht="6" customHeight="1" x14ac:dyDescent="0.25"/>
    <row r="23" spans="1:9" x14ac:dyDescent="0.25">
      <c r="A23" s="300" t="s">
        <v>271</v>
      </c>
      <c r="B23" s="301"/>
      <c r="C23" s="301"/>
      <c r="D23" s="301"/>
      <c r="E23" s="302"/>
    </row>
    <row r="24" spans="1:9" x14ac:dyDescent="0.25">
      <c r="A24" s="304" t="s">
        <v>253</v>
      </c>
      <c r="B24" s="4" t="s">
        <v>393</v>
      </c>
      <c r="C24" s="4" t="s">
        <v>388</v>
      </c>
      <c r="D24" s="4" t="s">
        <v>296</v>
      </c>
      <c r="E24" s="305" t="s">
        <v>35</v>
      </c>
    </row>
    <row r="25" spans="1:9" x14ac:dyDescent="0.25">
      <c r="A25" s="304"/>
      <c r="B25" s="5">
        <v>16.87</v>
      </c>
      <c r="C25" s="6">
        <v>0.92</v>
      </c>
      <c r="D25" s="7">
        <v>0.81</v>
      </c>
      <c r="E25" s="305"/>
      <c r="I25" s="172" t="s">
        <v>394</v>
      </c>
    </row>
    <row r="26" spans="1:9" x14ac:dyDescent="0.25">
      <c r="A26" s="34" t="s">
        <v>255</v>
      </c>
      <c r="B26" s="9">
        <v>1.4</v>
      </c>
      <c r="C26" s="26">
        <f>1*$C$25</f>
        <v>0.92</v>
      </c>
      <c r="D26" s="9">
        <v>2.8</v>
      </c>
      <c r="E26" s="15">
        <f>($B$25*B26)+(C26)+($D$25*D26)</f>
        <v>26.806000000000001</v>
      </c>
      <c r="I26" s="172" t="s">
        <v>395</v>
      </c>
    </row>
    <row r="27" spans="1:9" x14ac:dyDescent="0.25">
      <c r="A27" s="34" t="s">
        <v>71</v>
      </c>
      <c r="B27" s="9">
        <v>2.06</v>
      </c>
      <c r="C27" s="26">
        <f>2*$C$25</f>
        <v>1.84</v>
      </c>
      <c r="D27" s="9">
        <v>2.8</v>
      </c>
      <c r="E27" s="15">
        <f>($B$25*B27)+(C27)+($D$25*D27)</f>
        <v>38.860200000000006</v>
      </c>
      <c r="I27" s="172" t="s">
        <v>396</v>
      </c>
    </row>
    <row r="28" spans="1:9" x14ac:dyDescent="0.25">
      <c r="A28" s="34" t="s">
        <v>115</v>
      </c>
      <c r="B28" s="9">
        <v>2.72</v>
      </c>
      <c r="C28" s="26">
        <f>3*$C$25</f>
        <v>2.7600000000000002</v>
      </c>
      <c r="D28" s="9">
        <v>4.3</v>
      </c>
      <c r="E28" s="15">
        <f t="shared" ref="E28:E41" si="1">($B$25*B28)+(C28)+($D$25*D28)</f>
        <v>52.129400000000004</v>
      </c>
    </row>
    <row r="29" spans="1:9" x14ac:dyDescent="0.25">
      <c r="A29" s="34" t="s">
        <v>117</v>
      </c>
      <c r="B29" s="9">
        <v>3.38</v>
      </c>
      <c r="C29" s="26">
        <f>4*$C$25</f>
        <v>3.68</v>
      </c>
      <c r="D29" s="9">
        <v>5.6</v>
      </c>
      <c r="E29" s="15">
        <f t="shared" si="1"/>
        <v>65.236599999999996</v>
      </c>
      <c r="I29" s="172" t="s">
        <v>397</v>
      </c>
    </row>
    <row r="30" spans="1:9" x14ac:dyDescent="0.25">
      <c r="A30" s="34" t="s">
        <v>260</v>
      </c>
      <c r="B30" s="16">
        <v>4.04</v>
      </c>
      <c r="C30" s="26">
        <f>5*$C$25</f>
        <v>4.6000000000000005</v>
      </c>
      <c r="D30" s="9">
        <v>7.1</v>
      </c>
      <c r="E30" s="15">
        <f t="shared" si="1"/>
        <v>78.505800000000008</v>
      </c>
      <c r="H30" s="171"/>
    </row>
    <row r="31" spans="1:9" x14ac:dyDescent="0.25">
      <c r="A31" s="34" t="s">
        <v>118</v>
      </c>
      <c r="B31" s="9">
        <v>4.7</v>
      </c>
      <c r="C31" s="26">
        <f>6*$C$25</f>
        <v>5.5200000000000005</v>
      </c>
      <c r="D31" s="9">
        <v>8.5</v>
      </c>
      <c r="E31" s="15">
        <f t="shared" si="1"/>
        <v>91.694000000000003</v>
      </c>
      <c r="H31" s="171"/>
    </row>
    <row r="32" spans="1:9" x14ac:dyDescent="0.25">
      <c r="A32" s="34" t="s">
        <v>261</v>
      </c>
      <c r="B32" s="9">
        <v>5.36</v>
      </c>
      <c r="C32" s="26">
        <f>7*$C$25</f>
        <v>6.44</v>
      </c>
      <c r="D32" s="9">
        <v>9.9499999999999993</v>
      </c>
      <c r="E32" s="15">
        <f t="shared" si="1"/>
        <v>104.92270000000001</v>
      </c>
    </row>
    <row r="33" spans="1:5" x14ac:dyDescent="0.25">
      <c r="A33" s="34" t="s">
        <v>262</v>
      </c>
      <c r="B33" s="9">
        <v>6.02</v>
      </c>
      <c r="C33" s="26">
        <f>8*$C$25</f>
        <v>7.36</v>
      </c>
      <c r="D33" s="9">
        <v>11.4</v>
      </c>
      <c r="E33" s="15">
        <f t="shared" si="1"/>
        <v>118.1514</v>
      </c>
    </row>
    <row r="34" spans="1:5" x14ac:dyDescent="0.25">
      <c r="A34" s="34" t="s">
        <v>263</v>
      </c>
      <c r="B34" s="9">
        <v>6.68</v>
      </c>
      <c r="C34" s="26">
        <f>9*$C$25</f>
        <v>8.2800000000000011</v>
      </c>
      <c r="D34" s="9">
        <v>12.8</v>
      </c>
      <c r="E34" s="15">
        <f t="shared" si="1"/>
        <v>131.33960000000002</v>
      </c>
    </row>
    <row r="35" spans="1:5" x14ac:dyDescent="0.25">
      <c r="A35" s="34" t="s">
        <v>264</v>
      </c>
      <c r="B35" s="9">
        <v>7.34</v>
      </c>
      <c r="C35" s="26">
        <f>10*$C$25</f>
        <v>9.2000000000000011</v>
      </c>
      <c r="D35" s="9">
        <v>14.2</v>
      </c>
      <c r="E35" s="15">
        <f t="shared" si="1"/>
        <v>144.52780000000001</v>
      </c>
    </row>
    <row r="36" spans="1:5" x14ac:dyDescent="0.25">
      <c r="A36" s="34" t="s">
        <v>265</v>
      </c>
      <c r="B36" s="9">
        <v>8</v>
      </c>
      <c r="C36" s="26">
        <f>11*$C$25</f>
        <v>10.120000000000001</v>
      </c>
      <c r="D36" s="9">
        <v>15.6</v>
      </c>
      <c r="E36" s="15">
        <f t="shared" si="1"/>
        <v>157.71600000000001</v>
      </c>
    </row>
    <row r="37" spans="1:5" x14ac:dyDescent="0.25">
      <c r="A37" s="34" t="s">
        <v>266</v>
      </c>
      <c r="B37" s="9">
        <v>8.66</v>
      </c>
      <c r="C37" s="26">
        <f>12*$C$25</f>
        <v>11.040000000000001</v>
      </c>
      <c r="D37" s="9">
        <v>17.059999999999999</v>
      </c>
      <c r="E37" s="15">
        <f t="shared" si="1"/>
        <v>170.9528</v>
      </c>
    </row>
    <row r="38" spans="1:5" x14ac:dyDescent="0.25">
      <c r="A38" s="34" t="s">
        <v>267</v>
      </c>
      <c r="B38" s="9">
        <v>9.32</v>
      </c>
      <c r="C38" s="26">
        <f>13*$C$25</f>
        <v>11.96</v>
      </c>
      <c r="D38" s="9">
        <v>18.48</v>
      </c>
      <c r="E38" s="15">
        <f t="shared" si="1"/>
        <v>184.15720000000005</v>
      </c>
    </row>
    <row r="39" spans="1:5" x14ac:dyDescent="0.25">
      <c r="A39" s="34" t="s">
        <v>268</v>
      </c>
      <c r="B39" s="9">
        <v>9.98</v>
      </c>
      <c r="C39" s="26">
        <f>14*$C$25</f>
        <v>12.88</v>
      </c>
      <c r="D39" s="9">
        <v>19.899999999999999</v>
      </c>
      <c r="E39" s="15">
        <f t="shared" si="1"/>
        <v>197.36160000000001</v>
      </c>
    </row>
    <row r="40" spans="1:5" x14ac:dyDescent="0.25">
      <c r="A40" s="34" t="s">
        <v>269</v>
      </c>
      <c r="B40" s="9">
        <v>10.69</v>
      </c>
      <c r="C40" s="26">
        <f>15*$C$25</f>
        <v>13.8</v>
      </c>
      <c r="D40" s="9">
        <v>21.3</v>
      </c>
      <c r="E40" s="15">
        <f t="shared" si="1"/>
        <v>211.39330000000001</v>
      </c>
    </row>
    <row r="41" spans="1:5" x14ac:dyDescent="0.25">
      <c r="A41" s="34" t="s">
        <v>270</v>
      </c>
      <c r="B41" s="9">
        <v>11.3</v>
      </c>
      <c r="C41" s="26">
        <f>16*$C$25</f>
        <v>14.72</v>
      </c>
      <c r="D41" s="9">
        <v>22.7</v>
      </c>
      <c r="E41" s="15">
        <f t="shared" si="1"/>
        <v>223.73800000000003</v>
      </c>
    </row>
    <row r="42" spans="1:5" ht="6" customHeight="1" x14ac:dyDescent="0.25"/>
    <row r="43" spans="1:5" x14ac:dyDescent="0.25">
      <c r="A43" s="300" t="s">
        <v>272</v>
      </c>
      <c r="B43" s="301"/>
      <c r="C43" s="301"/>
      <c r="D43" s="301"/>
      <c r="E43" s="302"/>
    </row>
    <row r="44" spans="1:5" x14ac:dyDescent="0.25">
      <c r="A44" s="304" t="s">
        <v>253</v>
      </c>
      <c r="B44" s="4" t="s">
        <v>322</v>
      </c>
      <c r="C44" s="4" t="s">
        <v>388</v>
      </c>
      <c r="D44" s="4" t="s">
        <v>296</v>
      </c>
      <c r="E44" s="305" t="s">
        <v>35</v>
      </c>
    </row>
    <row r="45" spans="1:5" x14ac:dyDescent="0.25">
      <c r="A45" s="304"/>
      <c r="B45" s="5">
        <v>16.87</v>
      </c>
      <c r="C45" s="6">
        <v>0.92</v>
      </c>
      <c r="D45" s="7">
        <v>0.81</v>
      </c>
      <c r="E45" s="305"/>
    </row>
    <row r="46" spans="1:5" x14ac:dyDescent="0.25">
      <c r="A46" s="34" t="s">
        <v>255</v>
      </c>
      <c r="B46" s="9">
        <v>1.4</v>
      </c>
      <c r="C46" s="26">
        <f>1*$C$45</f>
        <v>0.92</v>
      </c>
      <c r="D46" s="9">
        <v>2.8</v>
      </c>
      <c r="E46" s="15">
        <f>($B$45*B46)+(C46)+($D$45*D46)</f>
        <v>26.806000000000001</v>
      </c>
    </row>
    <row r="47" spans="1:5" x14ac:dyDescent="0.25">
      <c r="A47" s="34" t="s">
        <v>71</v>
      </c>
      <c r="B47" s="9">
        <v>2.06</v>
      </c>
      <c r="C47" s="26">
        <f>2*$C$45</f>
        <v>1.84</v>
      </c>
      <c r="D47" s="9">
        <v>2.8</v>
      </c>
      <c r="E47" s="15">
        <f t="shared" ref="E47:E61" si="2">($B$45*B47)+(C47)+($D$45*D47)</f>
        <v>38.860200000000006</v>
      </c>
    </row>
    <row r="48" spans="1:5" x14ac:dyDescent="0.25">
      <c r="A48" s="34" t="s">
        <v>115</v>
      </c>
      <c r="B48" s="9">
        <v>2.72</v>
      </c>
      <c r="C48" s="26">
        <f>3*$C$45</f>
        <v>2.7600000000000002</v>
      </c>
      <c r="D48" s="9">
        <v>4.3</v>
      </c>
      <c r="E48" s="15">
        <f t="shared" si="2"/>
        <v>52.129400000000004</v>
      </c>
    </row>
    <row r="49" spans="1:5" x14ac:dyDescent="0.25">
      <c r="A49" s="34" t="s">
        <v>117</v>
      </c>
      <c r="B49" s="9">
        <v>3.38</v>
      </c>
      <c r="C49" s="26">
        <f>4*$C$45</f>
        <v>3.68</v>
      </c>
      <c r="D49" s="9">
        <v>5.6</v>
      </c>
      <c r="E49" s="15">
        <f t="shared" si="2"/>
        <v>65.236599999999996</v>
      </c>
    </row>
    <row r="50" spans="1:5" x14ac:dyDescent="0.25">
      <c r="A50" s="34" t="s">
        <v>260</v>
      </c>
      <c r="B50" s="16">
        <v>4.04</v>
      </c>
      <c r="C50" s="26">
        <f>5*$C$45</f>
        <v>4.6000000000000005</v>
      </c>
      <c r="D50" s="9">
        <v>7.1</v>
      </c>
      <c r="E50" s="15">
        <f>($B$45*B50)+(C50)+($D$45*D50)</f>
        <v>78.505800000000008</v>
      </c>
    </row>
    <row r="51" spans="1:5" x14ac:dyDescent="0.25">
      <c r="A51" s="34" t="s">
        <v>118</v>
      </c>
      <c r="B51" s="9">
        <v>4.7</v>
      </c>
      <c r="C51" s="26">
        <f>6*$C$45</f>
        <v>5.5200000000000005</v>
      </c>
      <c r="D51" s="9">
        <v>8.5</v>
      </c>
      <c r="E51" s="15">
        <f t="shared" si="2"/>
        <v>91.694000000000003</v>
      </c>
    </row>
    <row r="52" spans="1:5" x14ac:dyDescent="0.25">
      <c r="A52" s="34" t="s">
        <v>261</v>
      </c>
      <c r="B52" s="9">
        <v>5.36</v>
      </c>
      <c r="C52" s="26">
        <f>7*$C$45</f>
        <v>6.44</v>
      </c>
      <c r="D52" s="9">
        <v>9.9499999999999993</v>
      </c>
      <c r="E52" s="15">
        <f t="shared" si="2"/>
        <v>104.92270000000001</v>
      </c>
    </row>
    <row r="53" spans="1:5" x14ac:dyDescent="0.25">
      <c r="A53" s="34" t="s">
        <v>262</v>
      </c>
      <c r="B53" s="9">
        <v>6.02</v>
      </c>
      <c r="C53" s="26">
        <f>8*$C$45</f>
        <v>7.36</v>
      </c>
      <c r="D53" s="9">
        <v>11.4</v>
      </c>
      <c r="E53" s="15">
        <f t="shared" si="2"/>
        <v>118.1514</v>
      </c>
    </row>
    <row r="54" spans="1:5" x14ac:dyDescent="0.25">
      <c r="A54" s="34" t="s">
        <v>263</v>
      </c>
      <c r="B54" s="9">
        <v>6.68</v>
      </c>
      <c r="C54" s="26">
        <f>9*$C$45</f>
        <v>8.2800000000000011</v>
      </c>
      <c r="D54" s="9">
        <v>12.8</v>
      </c>
      <c r="E54" s="15">
        <f>($B$45*B54)+(C54)+($D$45*D54)</f>
        <v>131.33960000000002</v>
      </c>
    </row>
    <row r="55" spans="1:5" x14ac:dyDescent="0.25">
      <c r="A55" s="34" t="s">
        <v>264</v>
      </c>
      <c r="B55" s="9">
        <v>7.34</v>
      </c>
      <c r="C55" s="26">
        <f>10*$C$45</f>
        <v>9.2000000000000011</v>
      </c>
      <c r="D55" s="9">
        <v>14.2</v>
      </c>
      <c r="E55" s="15">
        <f t="shared" si="2"/>
        <v>144.52780000000001</v>
      </c>
    </row>
    <row r="56" spans="1:5" x14ac:dyDescent="0.25">
      <c r="A56" s="34" t="s">
        <v>265</v>
      </c>
      <c r="B56" s="9">
        <v>8</v>
      </c>
      <c r="C56" s="26">
        <f>11*$C$45</f>
        <v>10.120000000000001</v>
      </c>
      <c r="D56" s="9">
        <v>15.6</v>
      </c>
      <c r="E56" s="15">
        <f t="shared" si="2"/>
        <v>157.71600000000001</v>
      </c>
    </row>
    <row r="57" spans="1:5" x14ac:dyDescent="0.25">
      <c r="A57" s="34" t="s">
        <v>266</v>
      </c>
      <c r="B57" s="9">
        <v>8.66</v>
      </c>
      <c r="C57" s="26">
        <f>12*$C$45</f>
        <v>11.040000000000001</v>
      </c>
      <c r="D57" s="9">
        <v>17.059999999999999</v>
      </c>
      <c r="E57" s="15">
        <f t="shared" si="2"/>
        <v>170.9528</v>
      </c>
    </row>
    <row r="58" spans="1:5" x14ac:dyDescent="0.25">
      <c r="A58" s="34" t="s">
        <v>267</v>
      </c>
      <c r="B58" s="9">
        <v>9.32</v>
      </c>
      <c r="C58" s="26">
        <f>13*$C$45</f>
        <v>11.96</v>
      </c>
      <c r="D58" s="9">
        <v>18.48</v>
      </c>
      <c r="E58" s="15">
        <f t="shared" si="2"/>
        <v>184.15720000000005</v>
      </c>
    </row>
    <row r="59" spans="1:5" x14ac:dyDescent="0.25">
      <c r="A59" s="34" t="s">
        <v>268</v>
      </c>
      <c r="B59" s="9">
        <v>9.98</v>
      </c>
      <c r="C59" s="26">
        <f>14*$C$45</f>
        <v>12.88</v>
      </c>
      <c r="D59" s="9">
        <v>19.899999999999999</v>
      </c>
      <c r="E59" s="15">
        <f t="shared" si="2"/>
        <v>197.36160000000001</v>
      </c>
    </row>
    <row r="60" spans="1:5" x14ac:dyDescent="0.25">
      <c r="A60" s="34" t="s">
        <v>269</v>
      </c>
      <c r="B60" s="9">
        <v>10.69</v>
      </c>
      <c r="C60" s="26">
        <f>15*$C$45</f>
        <v>13.8</v>
      </c>
      <c r="D60" s="9">
        <v>21.3</v>
      </c>
      <c r="E60" s="15">
        <f t="shared" si="2"/>
        <v>211.39330000000001</v>
      </c>
    </row>
    <row r="61" spans="1:5" x14ac:dyDescent="0.25">
      <c r="A61" s="34" t="s">
        <v>270</v>
      </c>
      <c r="B61" s="9">
        <v>11.3</v>
      </c>
      <c r="C61" s="26">
        <f>16*$C$45</f>
        <v>14.72</v>
      </c>
      <c r="D61" s="9">
        <v>22.7</v>
      </c>
      <c r="E61" s="15">
        <f t="shared" si="2"/>
        <v>223.73800000000003</v>
      </c>
    </row>
    <row r="63" spans="1:5" ht="18.75" x14ac:dyDescent="0.3">
      <c r="A63" s="303" t="s">
        <v>398</v>
      </c>
      <c r="B63" s="303"/>
      <c r="C63" s="303"/>
      <c r="D63" s="303"/>
      <c r="E63" s="303"/>
    </row>
    <row r="64" spans="1:5" ht="6" customHeight="1" x14ac:dyDescent="0.25">
      <c r="B64" s="1"/>
      <c r="C64" s="1"/>
      <c r="D64" s="1"/>
      <c r="E64" s="1"/>
    </row>
    <row r="65" spans="1:5" x14ac:dyDescent="0.25">
      <c r="A65" s="300" t="s">
        <v>273</v>
      </c>
      <c r="B65" s="301"/>
      <c r="C65" s="301"/>
      <c r="D65" s="301"/>
      <c r="E65" s="302"/>
    </row>
    <row r="66" spans="1:5" x14ac:dyDescent="0.25">
      <c r="A66" s="304" t="s">
        <v>253</v>
      </c>
      <c r="B66" s="4" t="s">
        <v>322</v>
      </c>
      <c r="C66" s="4" t="s">
        <v>388</v>
      </c>
      <c r="D66" s="4" t="s">
        <v>296</v>
      </c>
      <c r="E66" s="305" t="s">
        <v>35</v>
      </c>
    </row>
    <row r="67" spans="1:5" x14ac:dyDescent="0.25">
      <c r="A67" s="304"/>
      <c r="B67" s="5">
        <v>16.87</v>
      </c>
      <c r="C67" s="6">
        <v>0.92</v>
      </c>
      <c r="D67" s="7">
        <v>0.81</v>
      </c>
      <c r="E67" s="305"/>
    </row>
    <row r="68" spans="1:5" x14ac:dyDescent="0.25">
      <c r="A68" s="34" t="s">
        <v>71</v>
      </c>
      <c r="B68" s="9">
        <v>0.82</v>
      </c>
      <c r="C68" s="26">
        <f>2*$C$67</f>
        <v>1.84</v>
      </c>
      <c r="D68" s="9">
        <v>15</v>
      </c>
      <c r="E68" s="15">
        <f t="shared" ref="E68:E82" si="3">($B$67*B68)+(C68)+($D$67*D68)</f>
        <v>27.823399999999999</v>
      </c>
    </row>
    <row r="69" spans="1:5" x14ac:dyDescent="0.25">
      <c r="A69" s="34" t="s">
        <v>115</v>
      </c>
      <c r="B69" s="9">
        <v>1.1499999999999999</v>
      </c>
      <c r="C69" s="26">
        <f>3*$C$67</f>
        <v>2.7600000000000002</v>
      </c>
      <c r="D69" s="9">
        <v>15</v>
      </c>
      <c r="E69" s="15">
        <f t="shared" si="3"/>
        <v>34.310500000000005</v>
      </c>
    </row>
    <row r="70" spans="1:5" x14ac:dyDescent="0.25">
      <c r="A70" s="34" t="s">
        <v>117</v>
      </c>
      <c r="B70" s="9">
        <v>1.5</v>
      </c>
      <c r="C70" s="26">
        <f>4*$C$67</f>
        <v>3.68</v>
      </c>
      <c r="D70" s="9">
        <v>15</v>
      </c>
      <c r="E70" s="15">
        <f t="shared" si="3"/>
        <v>41.134999999999998</v>
      </c>
    </row>
    <row r="71" spans="1:5" x14ac:dyDescent="0.25">
      <c r="A71" s="34" t="s">
        <v>260</v>
      </c>
      <c r="B71" s="16">
        <v>1.85</v>
      </c>
      <c r="C71" s="26">
        <f>5*$C$67</f>
        <v>4.6000000000000005</v>
      </c>
      <c r="D71" s="9">
        <v>15</v>
      </c>
      <c r="E71" s="15">
        <f t="shared" si="3"/>
        <v>47.959499999999998</v>
      </c>
    </row>
    <row r="72" spans="1:5" x14ac:dyDescent="0.25">
      <c r="A72" s="34" t="s">
        <v>118</v>
      </c>
      <c r="B72" s="9">
        <v>2.2000000000000002</v>
      </c>
      <c r="C72" s="26">
        <f>6*$C$67</f>
        <v>5.5200000000000005</v>
      </c>
      <c r="D72" s="9">
        <v>15</v>
      </c>
      <c r="E72" s="15">
        <f t="shared" si="3"/>
        <v>54.784000000000006</v>
      </c>
    </row>
    <row r="73" spans="1:5" x14ac:dyDescent="0.25">
      <c r="A73" s="34" t="s">
        <v>261</v>
      </c>
      <c r="B73" s="9">
        <v>2.5499999999999998</v>
      </c>
      <c r="C73" s="26">
        <f>7*$C$67</f>
        <v>6.44</v>
      </c>
      <c r="D73" s="9">
        <v>15.5</v>
      </c>
      <c r="E73" s="15">
        <f t="shared" si="3"/>
        <v>62.013500000000001</v>
      </c>
    </row>
    <row r="74" spans="1:5" x14ac:dyDescent="0.25">
      <c r="A74" s="34" t="s">
        <v>262</v>
      </c>
      <c r="B74" s="9">
        <v>2.9</v>
      </c>
      <c r="C74" s="26">
        <f>8*$C$67</f>
        <v>7.36</v>
      </c>
      <c r="D74" s="9">
        <v>17</v>
      </c>
      <c r="E74" s="15">
        <f t="shared" si="3"/>
        <v>70.052999999999997</v>
      </c>
    </row>
    <row r="75" spans="1:5" x14ac:dyDescent="0.25">
      <c r="A75" s="34" t="s">
        <v>263</v>
      </c>
      <c r="B75" s="9">
        <v>3.25</v>
      </c>
      <c r="C75" s="26">
        <f>9*$C$67</f>
        <v>8.2800000000000011</v>
      </c>
      <c r="D75" s="9">
        <v>19</v>
      </c>
      <c r="E75" s="15">
        <f t="shared" si="3"/>
        <v>78.497500000000002</v>
      </c>
    </row>
    <row r="76" spans="1:5" x14ac:dyDescent="0.25">
      <c r="A76" s="34" t="s">
        <v>264</v>
      </c>
      <c r="B76" s="9">
        <v>3.6</v>
      </c>
      <c r="C76" s="26">
        <f>10*$C$67</f>
        <v>9.2000000000000011</v>
      </c>
      <c r="D76" s="9">
        <v>20.8</v>
      </c>
      <c r="E76" s="15">
        <f t="shared" si="3"/>
        <v>86.78</v>
      </c>
    </row>
    <row r="77" spans="1:5" x14ac:dyDescent="0.25">
      <c r="A77" s="34" t="s">
        <v>265</v>
      </c>
      <c r="B77" s="9">
        <v>3.95</v>
      </c>
      <c r="C77" s="26">
        <f>11*$C$67</f>
        <v>10.120000000000001</v>
      </c>
      <c r="D77" s="9">
        <v>22.7</v>
      </c>
      <c r="E77" s="15">
        <f t="shared" si="3"/>
        <v>95.143500000000017</v>
      </c>
    </row>
    <row r="78" spans="1:5" x14ac:dyDescent="0.25">
      <c r="A78" s="34" t="s">
        <v>266</v>
      </c>
      <c r="B78" s="9">
        <v>4.3</v>
      </c>
      <c r="C78" s="26">
        <f>12*$C$67</f>
        <v>11.040000000000001</v>
      </c>
      <c r="D78" s="9">
        <v>24.6</v>
      </c>
      <c r="E78" s="15">
        <f t="shared" si="3"/>
        <v>103.50700000000001</v>
      </c>
    </row>
    <row r="79" spans="1:5" x14ac:dyDescent="0.25">
      <c r="A79" s="34" t="s">
        <v>267</v>
      </c>
      <c r="B79" s="9">
        <v>4.6500000000000004</v>
      </c>
      <c r="C79" s="26">
        <f>13*$C$67</f>
        <v>11.96</v>
      </c>
      <c r="D79" s="9">
        <v>26.5</v>
      </c>
      <c r="E79" s="15">
        <f t="shared" si="3"/>
        <v>111.87050000000002</v>
      </c>
    </row>
    <row r="80" spans="1:5" x14ac:dyDescent="0.25">
      <c r="A80" s="34" t="s">
        <v>268</v>
      </c>
      <c r="B80" s="9">
        <v>5</v>
      </c>
      <c r="C80" s="26">
        <f>14*$C$67</f>
        <v>12.88</v>
      </c>
      <c r="D80" s="9">
        <v>28.4</v>
      </c>
      <c r="E80" s="15">
        <f t="shared" si="3"/>
        <v>120.23400000000001</v>
      </c>
    </row>
    <row r="81" spans="1:5" x14ac:dyDescent="0.25">
      <c r="A81" s="34" t="s">
        <v>269</v>
      </c>
      <c r="B81" s="9">
        <v>5.35</v>
      </c>
      <c r="C81" s="26">
        <f>15*$C$67</f>
        <v>13.8</v>
      </c>
      <c r="D81" s="9">
        <v>30.3</v>
      </c>
      <c r="E81" s="15">
        <f t="shared" si="3"/>
        <v>128.5975</v>
      </c>
    </row>
    <row r="82" spans="1:5" x14ac:dyDescent="0.25">
      <c r="A82" s="34" t="s">
        <v>270</v>
      </c>
      <c r="B82" s="9">
        <v>5.7</v>
      </c>
      <c r="C82" s="26">
        <f>16*$C$67</f>
        <v>14.72</v>
      </c>
      <c r="D82" s="9">
        <v>32.200000000000003</v>
      </c>
      <c r="E82" s="15">
        <f t="shared" si="3"/>
        <v>136.96100000000001</v>
      </c>
    </row>
  </sheetData>
  <mergeCells count="19">
    <mergeCell ref="A1:E1"/>
    <mergeCell ref="A4:A5"/>
    <mergeCell ref="E4:E5"/>
    <mergeCell ref="A3:E3"/>
    <mergeCell ref="H1:M1"/>
    <mergeCell ref="A65:E65"/>
    <mergeCell ref="A66:A67"/>
    <mergeCell ref="E66:E67"/>
    <mergeCell ref="A63:E63"/>
    <mergeCell ref="H3:M3"/>
    <mergeCell ref="H4:H5"/>
    <mergeCell ref="I4:I5"/>
    <mergeCell ref="M4:M5"/>
    <mergeCell ref="A23:E23"/>
    <mergeCell ref="A24:A25"/>
    <mergeCell ref="E24:E25"/>
    <mergeCell ref="A43:E43"/>
    <mergeCell ref="A44:A45"/>
    <mergeCell ref="E44:E45"/>
  </mergeCells>
  <phoneticPr fontId="6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62ABF-7E75-43D0-B98C-761018292FDA}">
  <sheetPr codeName="Sheet24">
    <tabColor rgb="FFFF0000"/>
  </sheetPr>
  <dimension ref="A1:I30"/>
  <sheetViews>
    <sheetView zoomScaleNormal="100" workbookViewId="0">
      <selection activeCell="K12" sqref="K12"/>
    </sheetView>
  </sheetViews>
  <sheetFormatPr defaultRowHeight="15" x14ac:dyDescent="0.25"/>
  <cols>
    <col min="1" max="1" width="30.85546875" bestFit="1" customWidth="1"/>
    <col min="2" max="3" width="13.85546875" style="1" bestFit="1" customWidth="1"/>
    <col min="4" max="4" width="14.85546875" bestFit="1" customWidth="1"/>
    <col min="5" max="5" width="20.85546875" style="1" bestFit="1" customWidth="1"/>
    <col min="6" max="6" width="16.140625" bestFit="1" customWidth="1"/>
    <col min="7" max="7" width="24.85546875" bestFit="1" customWidth="1"/>
    <col min="8" max="8" width="10.5703125" bestFit="1" customWidth="1"/>
    <col min="9" max="9" width="12.85546875" bestFit="1" customWidth="1"/>
  </cols>
  <sheetData>
    <row r="1" spans="1:9" ht="18.600000000000001" customHeight="1" x14ac:dyDescent="0.3">
      <c r="A1" s="303" t="s">
        <v>399</v>
      </c>
      <c r="B1" s="303"/>
      <c r="C1" s="303"/>
      <c r="D1" s="303"/>
      <c r="E1" s="303"/>
      <c r="F1" s="303"/>
      <c r="G1" s="303"/>
    </row>
    <row r="2" spans="1:9" ht="6" customHeight="1" x14ac:dyDescent="0.25">
      <c r="D2" s="1"/>
      <c r="F2" s="1"/>
      <c r="G2" s="1"/>
    </row>
    <row r="3" spans="1:9" x14ac:dyDescent="0.25">
      <c r="A3" s="304" t="s">
        <v>400</v>
      </c>
      <c r="B3" s="305" t="s">
        <v>401</v>
      </c>
      <c r="C3" s="305" t="s">
        <v>402</v>
      </c>
      <c r="D3" s="4" t="s">
        <v>403</v>
      </c>
      <c r="E3" s="305" t="s">
        <v>404</v>
      </c>
      <c r="F3" s="4" t="s">
        <v>405</v>
      </c>
      <c r="G3" s="4" t="s">
        <v>35</v>
      </c>
    </row>
    <row r="4" spans="1:9" x14ac:dyDescent="0.25">
      <c r="A4" s="304"/>
      <c r="B4" s="305"/>
      <c r="C4" s="305"/>
      <c r="D4" s="37">
        <v>1.7664546324422621</v>
      </c>
      <c r="E4" s="305"/>
      <c r="F4" s="7"/>
      <c r="G4" s="4"/>
      <c r="I4" s="4" t="s">
        <v>406</v>
      </c>
    </row>
    <row r="5" spans="1:9" x14ac:dyDescent="0.25">
      <c r="A5" s="34" t="s">
        <v>407</v>
      </c>
      <c r="B5" s="9" t="s">
        <v>408</v>
      </c>
      <c r="C5" s="36">
        <v>87.72</v>
      </c>
      <c r="D5" s="38">
        <f t="shared" ref="D5:D12" si="0">$D$4</f>
        <v>1.7664546324422621</v>
      </c>
      <c r="E5" s="26">
        <f t="shared" ref="E5:E12" si="1">C5*D5</f>
        <v>154.95340035783522</v>
      </c>
      <c r="F5" s="45">
        <f t="shared" ref="F5:F12" si="2">G23</f>
        <v>36.985999999999997</v>
      </c>
      <c r="G5" s="15">
        <f t="shared" ref="G5:G12" si="3">E5+F5</f>
        <v>191.93940035783521</v>
      </c>
      <c r="I5" s="26">
        <v>83.54</v>
      </c>
    </row>
    <row r="6" spans="1:9" x14ac:dyDescent="0.25">
      <c r="A6" s="34" t="s">
        <v>2</v>
      </c>
      <c r="B6" s="9" t="s">
        <v>408</v>
      </c>
      <c r="C6" s="36">
        <v>3.42</v>
      </c>
      <c r="D6" s="38">
        <f t="shared" si="0"/>
        <v>1.7664546324422621</v>
      </c>
      <c r="E6" s="26">
        <f t="shared" si="1"/>
        <v>6.0412748429525358</v>
      </c>
      <c r="F6" s="45">
        <f t="shared" si="2"/>
        <v>1.4419999999999999</v>
      </c>
      <c r="G6" s="15">
        <f t="shared" si="3"/>
        <v>7.483274842952536</v>
      </c>
      <c r="I6" s="36">
        <v>3.26</v>
      </c>
    </row>
    <row r="7" spans="1:9" x14ac:dyDescent="0.25">
      <c r="A7" s="34" t="s">
        <v>409</v>
      </c>
      <c r="B7" s="9" t="s">
        <v>408</v>
      </c>
      <c r="C7" s="36">
        <v>1.23</v>
      </c>
      <c r="D7" s="38">
        <f t="shared" si="0"/>
        <v>1.7664546324422621</v>
      </c>
      <c r="E7" s="26">
        <f t="shared" si="1"/>
        <v>2.1727391979039825</v>
      </c>
      <c r="F7" s="45">
        <f t="shared" si="2"/>
        <v>0.51900000000000002</v>
      </c>
      <c r="G7" s="15">
        <f t="shared" si="3"/>
        <v>2.6917391979039826</v>
      </c>
      <c r="I7" s="36">
        <v>1.17</v>
      </c>
    </row>
    <row r="8" spans="1:9" x14ac:dyDescent="0.25">
      <c r="A8" s="34" t="s">
        <v>410</v>
      </c>
      <c r="B8" s="9" t="s">
        <v>408</v>
      </c>
      <c r="C8" s="36">
        <v>2.08</v>
      </c>
      <c r="D8" s="38">
        <f t="shared" si="0"/>
        <v>1.7664546324422621</v>
      </c>
      <c r="E8" s="26">
        <f t="shared" si="1"/>
        <v>3.6742256354799054</v>
      </c>
      <c r="F8" s="45">
        <f t="shared" si="2"/>
        <v>0.877</v>
      </c>
      <c r="G8" s="15">
        <f t="shared" si="3"/>
        <v>4.5512256354799057</v>
      </c>
      <c r="I8" s="36">
        <v>1.98</v>
      </c>
    </row>
    <row r="9" spans="1:9" x14ac:dyDescent="0.25">
      <c r="A9" s="34" t="s">
        <v>411</v>
      </c>
      <c r="B9" s="9" t="s">
        <v>408</v>
      </c>
      <c r="C9" s="36">
        <v>4.29</v>
      </c>
      <c r="D9" s="38">
        <f t="shared" si="0"/>
        <v>1.7664546324422621</v>
      </c>
      <c r="E9" s="26">
        <f t="shared" si="1"/>
        <v>7.5780903731773046</v>
      </c>
      <c r="F9" s="45">
        <f t="shared" si="2"/>
        <v>1.8089999999999999</v>
      </c>
      <c r="G9" s="15">
        <f t="shared" si="3"/>
        <v>9.3870903731773048</v>
      </c>
      <c r="I9" s="36">
        <v>4.09</v>
      </c>
    </row>
    <row r="10" spans="1:9" x14ac:dyDescent="0.25">
      <c r="A10" s="34" t="s">
        <v>412</v>
      </c>
      <c r="B10" s="9" t="s">
        <v>408</v>
      </c>
      <c r="C10" s="36">
        <v>241.5</v>
      </c>
      <c r="D10" s="38">
        <f t="shared" si="0"/>
        <v>1.7664546324422621</v>
      </c>
      <c r="E10" s="26">
        <f t="shared" si="1"/>
        <v>426.59879373480629</v>
      </c>
      <c r="F10" s="45">
        <f t="shared" si="2"/>
        <v>101.82300000000001</v>
      </c>
      <c r="G10" s="15">
        <f t="shared" si="3"/>
        <v>528.42179373480633</v>
      </c>
      <c r="I10" s="36">
        <v>230</v>
      </c>
    </row>
    <row r="11" spans="1:9" x14ac:dyDescent="0.25">
      <c r="A11" s="34" t="s">
        <v>413</v>
      </c>
      <c r="B11" s="9" t="s">
        <v>408</v>
      </c>
      <c r="C11" s="36">
        <v>31.62</v>
      </c>
      <c r="D11" s="38">
        <f t="shared" si="0"/>
        <v>1.7664546324422621</v>
      </c>
      <c r="E11" s="26">
        <f t="shared" si="1"/>
        <v>55.855295477824328</v>
      </c>
      <c r="F11" s="45">
        <f t="shared" si="2"/>
        <v>13.331999999999999</v>
      </c>
      <c r="G11" s="15">
        <f t="shared" si="3"/>
        <v>69.187295477824321</v>
      </c>
      <c r="I11" s="36">
        <v>24.25</v>
      </c>
    </row>
    <row r="12" spans="1:9" x14ac:dyDescent="0.25">
      <c r="A12" s="34" t="s">
        <v>414</v>
      </c>
      <c r="B12" s="9" t="s">
        <v>408</v>
      </c>
      <c r="C12" s="36">
        <v>31.97</v>
      </c>
      <c r="D12" s="38">
        <f t="shared" si="0"/>
        <v>1.7664546324422621</v>
      </c>
      <c r="E12" s="26">
        <f t="shared" si="1"/>
        <v>56.473554599179117</v>
      </c>
      <c r="F12" s="45">
        <f t="shared" si="2"/>
        <v>13.479999999999999</v>
      </c>
      <c r="G12" s="15">
        <f t="shared" si="3"/>
        <v>69.953554599179114</v>
      </c>
      <c r="I12" s="36">
        <v>30.45</v>
      </c>
    </row>
    <row r="13" spans="1:9" x14ac:dyDescent="0.25">
      <c r="G13" s="40"/>
    </row>
    <row r="14" spans="1:9" x14ac:dyDescent="0.25">
      <c r="A14" s="34" t="s">
        <v>415</v>
      </c>
      <c r="B14" s="43">
        <f>SUM(G5:G9)</f>
        <v>216.05273040734895</v>
      </c>
      <c r="G14" s="40"/>
    </row>
    <row r="15" spans="1:9" ht="5.85" customHeight="1" x14ac:dyDescent="0.25"/>
    <row r="16" spans="1:9" x14ac:dyDescent="0.25">
      <c r="A16" s="34" t="s">
        <v>416</v>
      </c>
      <c r="B16" s="43">
        <f>SUM(G10+G6)</f>
        <v>535.90506857775881</v>
      </c>
    </row>
    <row r="19" spans="1:9" x14ac:dyDescent="0.25">
      <c r="A19" s="35" t="s">
        <v>417</v>
      </c>
    </row>
    <row r="20" spans="1:9" ht="6.6" customHeight="1" x14ac:dyDescent="0.25">
      <c r="A20" s="1"/>
    </row>
    <row r="21" spans="1:9" x14ac:dyDescent="0.25">
      <c r="A21" s="304" t="s">
        <v>400</v>
      </c>
      <c r="B21" s="305" t="s">
        <v>402</v>
      </c>
      <c r="C21" s="305" t="s">
        <v>418</v>
      </c>
      <c r="D21" s="305" t="s">
        <v>419</v>
      </c>
      <c r="E21" s="4" t="s">
        <v>420</v>
      </c>
      <c r="F21" s="4" t="s">
        <v>421</v>
      </c>
      <c r="G21" s="304" t="s">
        <v>422</v>
      </c>
    </row>
    <row r="22" spans="1:9" x14ac:dyDescent="0.25">
      <c r="A22" s="304"/>
      <c r="B22" s="305"/>
      <c r="C22" s="305"/>
      <c r="D22" s="305"/>
      <c r="E22" s="42">
        <v>25144.559999999998</v>
      </c>
      <c r="F22" s="7">
        <v>10601.61</v>
      </c>
      <c r="G22" s="304"/>
    </row>
    <row r="23" spans="1:9" x14ac:dyDescent="0.25">
      <c r="A23" s="34" t="s">
        <v>407</v>
      </c>
      <c r="B23" s="36">
        <v>87.72</v>
      </c>
      <c r="C23" s="41">
        <v>237</v>
      </c>
      <c r="D23" s="36">
        <f t="shared" ref="D23:D30" si="4">C23*B23</f>
        <v>20789.64</v>
      </c>
      <c r="E23" s="44">
        <f t="shared" ref="E23:E30" si="5">D23/$E$22</f>
        <v>0.82680468459181633</v>
      </c>
      <c r="F23" s="26">
        <f t="shared" ref="F23:F30" si="6">$F$22*E23</f>
        <v>8765.4608122154459</v>
      </c>
      <c r="G23" s="26">
        <f t="shared" ref="G23:G30" si="7">ROUNDUP((F23/C23),3)</f>
        <v>36.985999999999997</v>
      </c>
    </row>
    <row r="24" spans="1:9" x14ac:dyDescent="0.25">
      <c r="A24" s="34" t="s">
        <v>2</v>
      </c>
      <c r="B24" s="36">
        <v>3.42</v>
      </c>
      <c r="C24" s="41">
        <v>250</v>
      </c>
      <c r="D24" s="36">
        <f t="shared" si="4"/>
        <v>855</v>
      </c>
      <c r="E24" s="44">
        <f t="shared" si="5"/>
        <v>3.400337886206798E-2</v>
      </c>
      <c r="F24" s="26">
        <f t="shared" si="6"/>
        <v>360.49056137788853</v>
      </c>
      <c r="G24" s="26">
        <f t="shared" si="7"/>
        <v>1.4419999999999999</v>
      </c>
      <c r="I24" s="39"/>
    </row>
    <row r="25" spans="1:9" x14ac:dyDescent="0.25">
      <c r="A25" s="34" t="s">
        <v>409</v>
      </c>
      <c r="B25" s="36">
        <v>1.23</v>
      </c>
      <c r="C25" s="41">
        <v>242</v>
      </c>
      <c r="D25" s="36">
        <f t="shared" si="4"/>
        <v>297.65999999999997</v>
      </c>
      <c r="E25" s="44">
        <f t="shared" si="5"/>
        <v>1.1837948248050473E-2</v>
      </c>
      <c r="F25" s="26">
        <f t="shared" si="6"/>
        <v>125.50131052601439</v>
      </c>
      <c r="G25" s="26">
        <f t="shared" si="7"/>
        <v>0.51900000000000002</v>
      </c>
      <c r="I25" s="39"/>
    </row>
    <row r="26" spans="1:9" x14ac:dyDescent="0.25">
      <c r="A26" s="34" t="s">
        <v>410</v>
      </c>
      <c r="B26" s="36">
        <v>2.08</v>
      </c>
      <c r="C26" s="41">
        <v>242</v>
      </c>
      <c r="D26" s="36">
        <f t="shared" si="4"/>
        <v>503.36</v>
      </c>
      <c r="E26" s="44">
        <f t="shared" si="5"/>
        <v>2.0018644191825193E-2</v>
      </c>
      <c r="F26" s="26">
        <f t="shared" si="6"/>
        <v>212.2298584504959</v>
      </c>
      <c r="G26" s="26">
        <f t="shared" si="7"/>
        <v>0.877</v>
      </c>
      <c r="I26" s="39"/>
    </row>
    <row r="27" spans="1:9" x14ac:dyDescent="0.25">
      <c r="A27" s="34" t="s">
        <v>411</v>
      </c>
      <c r="B27" s="36">
        <v>4.29</v>
      </c>
      <c r="C27" s="41">
        <v>242</v>
      </c>
      <c r="D27" s="36">
        <f t="shared" si="4"/>
        <v>1038.18</v>
      </c>
      <c r="E27" s="44">
        <f t="shared" si="5"/>
        <v>4.1288453645639461E-2</v>
      </c>
      <c r="F27" s="26">
        <f t="shared" si="6"/>
        <v>437.7240830541478</v>
      </c>
      <c r="G27" s="26">
        <f t="shared" si="7"/>
        <v>1.8089999999999999</v>
      </c>
      <c r="I27" s="39"/>
    </row>
    <row r="28" spans="1:9" x14ac:dyDescent="0.25">
      <c r="A28" s="34" t="s">
        <v>412</v>
      </c>
      <c r="B28" s="36">
        <v>241.5</v>
      </c>
      <c r="C28" s="41">
        <v>6</v>
      </c>
      <c r="D28" s="36">
        <f t="shared" si="4"/>
        <v>1449</v>
      </c>
      <c r="E28" s="44">
        <f t="shared" si="5"/>
        <v>5.7626778913609948E-2</v>
      </c>
      <c r="F28" s="26">
        <f t="shared" si="6"/>
        <v>610.93663559831634</v>
      </c>
      <c r="G28" s="26">
        <f t="shared" si="7"/>
        <v>101.82300000000001</v>
      </c>
      <c r="I28" s="39"/>
    </row>
    <row r="29" spans="1:9" x14ac:dyDescent="0.25">
      <c r="A29" s="34" t="s">
        <v>413</v>
      </c>
      <c r="B29" s="36">
        <v>31.62</v>
      </c>
      <c r="C29" s="41">
        <v>20</v>
      </c>
      <c r="D29" s="36">
        <f t="shared" si="4"/>
        <v>632.4</v>
      </c>
      <c r="E29" s="44">
        <f t="shared" si="5"/>
        <v>2.5150569347803263E-2</v>
      </c>
      <c r="F29" s="26">
        <f t="shared" si="6"/>
        <v>266.63652750336456</v>
      </c>
      <c r="G29" s="26">
        <f t="shared" si="7"/>
        <v>13.331999999999999</v>
      </c>
      <c r="I29" s="39"/>
    </row>
    <row r="30" spans="1:9" x14ac:dyDescent="0.25">
      <c r="A30" s="34" t="s">
        <v>414</v>
      </c>
      <c r="B30" s="36">
        <v>31.97</v>
      </c>
      <c r="C30" s="41">
        <v>30</v>
      </c>
      <c r="D30" s="36">
        <f t="shared" si="4"/>
        <v>959.09999999999991</v>
      </c>
      <c r="E30" s="44">
        <f t="shared" si="5"/>
        <v>3.814343937615134E-2</v>
      </c>
      <c r="F30" s="26">
        <f t="shared" si="6"/>
        <v>404.38186832459985</v>
      </c>
      <c r="G30" s="26">
        <f t="shared" si="7"/>
        <v>13.479999999999999</v>
      </c>
      <c r="I30" s="39"/>
    </row>
  </sheetData>
  <mergeCells count="10">
    <mergeCell ref="A1:G1"/>
    <mergeCell ref="A3:A4"/>
    <mergeCell ref="B3:B4"/>
    <mergeCell ref="C3:C4"/>
    <mergeCell ref="E3:E4"/>
    <mergeCell ref="A21:A22"/>
    <mergeCell ref="B21:B22"/>
    <mergeCell ref="C21:C22"/>
    <mergeCell ref="D21:D22"/>
    <mergeCell ref="G21:G2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D1C9-B10E-408E-8AAD-FC7F8E4929C6}">
  <sheetPr codeName="Sheet25">
    <tabColor rgb="FFFF0000"/>
  </sheetPr>
  <dimension ref="A1:G32"/>
  <sheetViews>
    <sheetView workbookViewId="0">
      <selection activeCell="H27" sqref="H27"/>
    </sheetView>
  </sheetViews>
  <sheetFormatPr defaultRowHeight="15" x14ac:dyDescent="0.25"/>
  <cols>
    <col min="1" max="1" width="46.85546875" customWidth="1"/>
    <col min="2" max="2" width="9.85546875" bestFit="1" customWidth="1"/>
  </cols>
  <sheetData>
    <row r="1" spans="1:7" x14ac:dyDescent="0.25">
      <c r="A1" s="113" t="s">
        <v>423</v>
      </c>
      <c r="B1" s="112"/>
      <c r="C1" s="112"/>
      <c r="D1" s="112"/>
      <c r="E1" s="112"/>
      <c r="F1" s="112"/>
      <c r="G1" s="112"/>
    </row>
    <row r="2" spans="1:7" ht="15.75" thickBot="1" x14ac:dyDescent="0.3">
      <c r="A2" s="114" t="s">
        <v>424</v>
      </c>
    </row>
    <row r="3" spans="1:7" ht="15.75" thickBot="1" x14ac:dyDescent="0.3">
      <c r="A3" t="s">
        <v>425</v>
      </c>
      <c r="B3" s="116" t="s">
        <v>426</v>
      </c>
      <c r="C3" s="306" t="s">
        <v>427</v>
      </c>
      <c r="D3" s="307"/>
      <c r="E3" s="308"/>
    </row>
    <row r="4" spans="1:7" ht="15.75" thickBot="1" x14ac:dyDescent="0.3">
      <c r="B4" s="137"/>
      <c r="C4" s="118">
        <v>1</v>
      </c>
      <c r="D4" s="118"/>
      <c r="E4" s="118"/>
    </row>
    <row r="5" spans="1:7" x14ac:dyDescent="0.25">
      <c r="A5" s="115" t="s">
        <v>428</v>
      </c>
      <c r="B5" s="138"/>
      <c r="C5" s="139"/>
      <c r="D5" s="140"/>
      <c r="E5" s="119"/>
    </row>
    <row r="6" spans="1:7" x14ac:dyDescent="0.25">
      <c r="A6" t="s">
        <v>429</v>
      </c>
      <c r="B6" s="141">
        <v>41.27</v>
      </c>
      <c r="C6" s="134">
        <f>ROUNDUP(C4,0)*B6</f>
        <v>41.27</v>
      </c>
      <c r="D6" s="142">
        <f>ROUNDUP(D4,0)*B6</f>
        <v>0</v>
      </c>
      <c r="E6" s="126">
        <f>ROUNDUP(E4,0)*B6</f>
        <v>0</v>
      </c>
      <c r="F6" s="117"/>
      <c r="G6" s="117"/>
    </row>
    <row r="7" spans="1:7" x14ac:dyDescent="0.25">
      <c r="A7" t="s">
        <v>430</v>
      </c>
      <c r="B7" s="141">
        <v>154.12</v>
      </c>
      <c r="C7" s="134">
        <f>ROUNDUP(C4,0)*B7+B7</f>
        <v>308.24</v>
      </c>
      <c r="D7" s="143">
        <f>ROUNDUP(D4,0)*B7+B7</f>
        <v>154.12</v>
      </c>
      <c r="E7" s="130">
        <f>ROUNDUP(E4,0)*B7+B7</f>
        <v>154.12</v>
      </c>
      <c r="F7" s="117"/>
      <c r="G7" s="117"/>
    </row>
    <row r="8" spans="1:7" x14ac:dyDescent="0.25">
      <c r="B8" s="144"/>
      <c r="C8" s="145"/>
      <c r="D8" s="146"/>
      <c r="E8" s="120"/>
    </row>
    <row r="9" spans="1:7" x14ac:dyDescent="0.25">
      <c r="A9" s="115" t="s">
        <v>431</v>
      </c>
      <c r="B9" s="144"/>
      <c r="C9" s="145"/>
      <c r="D9" s="146"/>
      <c r="E9" s="120"/>
    </row>
    <row r="10" spans="1:7" x14ac:dyDescent="0.25">
      <c r="A10" t="s">
        <v>432</v>
      </c>
      <c r="B10" s="141">
        <v>7.51</v>
      </c>
      <c r="C10" s="134">
        <v>7.51</v>
      </c>
      <c r="D10" s="142">
        <v>7.51</v>
      </c>
      <c r="E10" s="126">
        <v>7.51</v>
      </c>
      <c r="F10" s="117"/>
      <c r="G10" s="117"/>
    </row>
    <row r="11" spans="1:7" x14ac:dyDescent="0.25">
      <c r="B11" s="144"/>
      <c r="C11" s="145"/>
      <c r="D11" s="146"/>
      <c r="E11" s="120"/>
    </row>
    <row r="12" spans="1:7" x14ac:dyDescent="0.25">
      <c r="A12" s="115" t="s">
        <v>433</v>
      </c>
      <c r="B12" s="144"/>
      <c r="C12" s="145"/>
      <c r="D12" s="146"/>
      <c r="E12" s="120"/>
    </row>
    <row r="13" spans="1:7" x14ac:dyDescent="0.25">
      <c r="A13" t="s">
        <v>434</v>
      </c>
      <c r="B13" s="141">
        <v>2.48</v>
      </c>
      <c r="C13" s="134">
        <v>2.48</v>
      </c>
      <c r="D13" s="142">
        <v>2.48</v>
      </c>
      <c r="E13" s="126">
        <v>2.48</v>
      </c>
      <c r="F13" s="117"/>
      <c r="G13" s="117"/>
    </row>
    <row r="14" spans="1:7" x14ac:dyDescent="0.25">
      <c r="B14" s="144"/>
      <c r="C14" s="145"/>
      <c r="D14" s="146"/>
      <c r="E14" s="120"/>
    </row>
    <row r="15" spans="1:7" x14ac:dyDescent="0.25">
      <c r="A15" s="115" t="s">
        <v>435</v>
      </c>
      <c r="B15" s="144"/>
      <c r="C15" s="145"/>
      <c r="D15" s="146"/>
      <c r="E15" s="120"/>
    </row>
    <row r="16" spans="1:7" x14ac:dyDescent="0.25">
      <c r="A16" t="s">
        <v>436</v>
      </c>
      <c r="B16" s="144"/>
      <c r="C16" s="145"/>
      <c r="D16" s="146"/>
      <c r="E16" s="120"/>
    </row>
    <row r="17" spans="1:7" x14ac:dyDescent="0.25">
      <c r="A17" t="s">
        <v>437</v>
      </c>
      <c r="B17" s="141">
        <v>50.4</v>
      </c>
      <c r="C17" s="134">
        <f>B17*C4</f>
        <v>50.4</v>
      </c>
      <c r="D17" s="142">
        <f>B17*D4</f>
        <v>0</v>
      </c>
      <c r="E17" s="126">
        <f>B17*E4</f>
        <v>0</v>
      </c>
      <c r="F17" s="117"/>
      <c r="G17" s="117"/>
    </row>
    <row r="18" spans="1:7" x14ac:dyDescent="0.25">
      <c r="B18" s="144"/>
      <c r="C18" s="145"/>
      <c r="D18" s="146"/>
      <c r="E18" s="120"/>
    </row>
    <row r="19" spans="1:7" x14ac:dyDescent="0.25">
      <c r="A19" s="115" t="s">
        <v>438</v>
      </c>
      <c r="B19" s="144"/>
      <c r="C19" s="145"/>
      <c r="D19" s="146"/>
      <c r="E19" s="120"/>
    </row>
    <row r="20" spans="1:7" x14ac:dyDescent="0.25">
      <c r="A20" t="s">
        <v>439</v>
      </c>
      <c r="B20" s="141">
        <v>30.87</v>
      </c>
      <c r="C20" s="131">
        <v>30.87</v>
      </c>
      <c r="D20" s="125">
        <v>30.87</v>
      </c>
      <c r="E20" s="127">
        <v>30.87</v>
      </c>
      <c r="F20" s="117"/>
      <c r="G20" s="117"/>
    </row>
    <row r="21" spans="1:7" x14ac:dyDescent="0.25">
      <c r="A21" t="s">
        <v>440</v>
      </c>
      <c r="B21" s="141">
        <v>45.45</v>
      </c>
      <c r="C21" s="131"/>
      <c r="D21" s="125"/>
      <c r="E21" s="127"/>
      <c r="F21" s="117" t="s">
        <v>441</v>
      </c>
      <c r="G21" s="117"/>
    </row>
    <row r="22" spans="1:7" x14ac:dyDescent="0.25">
      <c r="A22" t="s">
        <v>442</v>
      </c>
      <c r="B22" s="141">
        <v>59.58</v>
      </c>
      <c r="C22" s="131"/>
      <c r="D22" s="125"/>
      <c r="E22" s="127"/>
      <c r="F22" s="117" t="s">
        <v>443</v>
      </c>
      <c r="G22" s="117"/>
    </row>
    <row r="23" spans="1:7" x14ac:dyDescent="0.25">
      <c r="B23" s="144"/>
      <c r="C23" s="145"/>
      <c r="D23" s="146"/>
      <c r="E23" s="120"/>
      <c r="F23" s="32"/>
      <c r="G23" s="32"/>
    </row>
    <row r="24" spans="1:7" x14ac:dyDescent="0.25">
      <c r="A24" s="115" t="s">
        <v>444</v>
      </c>
      <c r="B24" s="144"/>
      <c r="C24" s="145"/>
      <c r="D24" s="146"/>
      <c r="E24" s="120"/>
    </row>
    <row r="25" spans="1:7" x14ac:dyDescent="0.25">
      <c r="A25" t="s">
        <v>445</v>
      </c>
      <c r="B25" s="141">
        <v>30</v>
      </c>
      <c r="C25" s="134">
        <f>B25*C4</f>
        <v>30</v>
      </c>
      <c r="D25" s="142">
        <f>B25*D4</f>
        <v>0</v>
      </c>
      <c r="E25" s="126">
        <f>B25*E4</f>
        <v>0</v>
      </c>
      <c r="F25" s="117"/>
      <c r="G25" s="117"/>
    </row>
    <row r="26" spans="1:7" x14ac:dyDescent="0.25">
      <c r="A26" t="s">
        <v>446</v>
      </c>
      <c r="B26" s="141">
        <v>10</v>
      </c>
      <c r="C26" s="131"/>
      <c r="D26" s="131"/>
      <c r="E26" s="131"/>
      <c r="F26" s="117"/>
      <c r="G26" s="117"/>
    </row>
    <row r="27" spans="1:7" ht="15.75" thickBot="1" x14ac:dyDescent="0.3">
      <c r="A27" t="s">
        <v>447</v>
      </c>
      <c r="B27" s="147">
        <v>60</v>
      </c>
      <c r="C27" s="132">
        <f>B27</f>
        <v>60</v>
      </c>
      <c r="D27" s="128">
        <f>B27</f>
        <v>60</v>
      </c>
      <c r="E27" s="129">
        <f>B27</f>
        <v>60</v>
      </c>
      <c r="F27" s="117"/>
      <c r="G27" s="117"/>
    </row>
    <row r="28" spans="1:7" ht="15.75" thickBot="1" x14ac:dyDescent="0.3">
      <c r="B28" s="148" t="s">
        <v>448</v>
      </c>
      <c r="C28" s="149">
        <f>SUM(C6+C7+C10+C13+C17+C20+C21+C22+C25+C26+C27)</f>
        <v>530.77</v>
      </c>
      <c r="D28" s="150">
        <f>SUM(D6+D7+D10+D13+D17+D20+D21+D22+D25+D26+D27)</f>
        <v>254.98</v>
      </c>
      <c r="E28" s="133">
        <f>SUM(E6+E7+E10+E13+E17+E20+E21+E22+E25+E26+E27)</f>
        <v>254.98</v>
      </c>
      <c r="F28" s="117"/>
      <c r="G28" s="117"/>
    </row>
    <row r="29" spans="1:7" ht="15.75" thickBot="1" x14ac:dyDescent="0.3">
      <c r="B29" s="124"/>
      <c r="C29" s="121" t="s">
        <v>9</v>
      </c>
      <c r="D29" s="122" t="s">
        <v>13</v>
      </c>
      <c r="E29" s="123" t="s">
        <v>17</v>
      </c>
    </row>
    <row r="30" spans="1:7" ht="15.75" thickBot="1" x14ac:dyDescent="0.3"/>
    <row r="31" spans="1:7" ht="15.75" thickBot="1" x14ac:dyDescent="0.3">
      <c r="B31" t="s">
        <v>449</v>
      </c>
      <c r="C31" s="136">
        <v>0.3</v>
      </c>
      <c r="D31" s="136">
        <v>0.3</v>
      </c>
      <c r="E31" s="136">
        <v>0.3</v>
      </c>
    </row>
    <row r="32" spans="1:7" ht="15.75" thickBot="1" x14ac:dyDescent="0.3">
      <c r="B32" t="s">
        <v>41</v>
      </c>
      <c r="C32" s="135">
        <f>C28/(1-C31)</f>
        <v>758.24285714285713</v>
      </c>
      <c r="D32" s="135">
        <f>D28/(1-D31)</f>
        <v>364.25714285714287</v>
      </c>
      <c r="E32" s="135">
        <f>E28/(1-E31)</f>
        <v>364.25714285714287</v>
      </c>
    </row>
  </sheetData>
  <mergeCells count="1">
    <mergeCell ref="C3:E3"/>
  </mergeCells>
  <hyperlinks>
    <hyperlink ref="A2" r:id="rId1" xr:uid="{EE435905-DE05-4120-9145-2F83187C42CD}"/>
  </hyperlinks>
  <pageMargins left="0.7" right="0.7" top="0.75" bottom="0.75" header="0.3" footer="0.3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98E8-D26C-4705-BA1A-97CB7522CC3D}">
  <sheetPr codeName="Sheet26">
    <tabColor rgb="FFEE0000"/>
  </sheetPr>
  <dimension ref="A1:M63"/>
  <sheetViews>
    <sheetView workbookViewId="0">
      <selection activeCell="I15" sqref="I15"/>
    </sheetView>
  </sheetViews>
  <sheetFormatPr defaultRowHeight="15" x14ac:dyDescent="0.25"/>
  <cols>
    <col min="1" max="1" width="28.85546875" bestFit="1" customWidth="1"/>
    <col min="2" max="2" width="10.140625" bestFit="1" customWidth="1"/>
    <col min="3" max="3" width="8.85546875" bestFit="1" customWidth="1"/>
    <col min="4" max="4" width="10.140625" bestFit="1" customWidth="1"/>
  </cols>
  <sheetData>
    <row r="1" spans="1:6" ht="18.75" x14ac:dyDescent="0.25">
      <c r="A1" s="309" t="s">
        <v>450</v>
      </c>
      <c r="B1" s="309"/>
      <c r="C1" s="309"/>
      <c r="D1" s="309"/>
      <c r="E1" s="309"/>
      <c r="F1" s="309"/>
    </row>
    <row r="3" spans="1:6" x14ac:dyDescent="0.25">
      <c r="A3" s="310" t="s">
        <v>451</v>
      </c>
      <c r="B3" s="310"/>
      <c r="C3" s="310"/>
      <c r="D3" s="310"/>
    </row>
    <row r="4" spans="1:6" ht="6" customHeight="1" x14ac:dyDescent="0.25"/>
    <row r="5" spans="1:6" x14ac:dyDescent="0.25">
      <c r="A5" s="153" t="s">
        <v>452</v>
      </c>
      <c r="B5" s="153" t="s">
        <v>10</v>
      </c>
      <c r="C5" s="153" t="s">
        <v>29</v>
      </c>
      <c r="D5" s="153" t="s">
        <v>12</v>
      </c>
    </row>
    <row r="6" spans="1:6" x14ac:dyDescent="0.25">
      <c r="A6" s="8" t="s">
        <v>453</v>
      </c>
      <c r="B6" s="31">
        <v>200</v>
      </c>
      <c r="C6" s="220">
        <v>23.68</v>
      </c>
      <c r="D6" s="220">
        <f>B6*C6</f>
        <v>4736</v>
      </c>
    </row>
    <row r="7" spans="1:6" x14ac:dyDescent="0.25">
      <c r="A7" s="8" t="s">
        <v>454</v>
      </c>
      <c r="B7" s="31">
        <v>1</v>
      </c>
      <c r="C7" s="220">
        <v>150</v>
      </c>
      <c r="D7" s="220">
        <f t="shared" ref="D7:D8" si="0">B7*C7</f>
        <v>150</v>
      </c>
    </row>
    <row r="8" spans="1:6" x14ac:dyDescent="0.25">
      <c r="A8" s="8" t="s">
        <v>455</v>
      </c>
      <c r="B8" s="31">
        <v>1</v>
      </c>
      <c r="C8" s="220">
        <v>44.57</v>
      </c>
      <c r="D8" s="220">
        <f t="shared" si="0"/>
        <v>44.57</v>
      </c>
    </row>
    <row r="9" spans="1:6" x14ac:dyDescent="0.25">
      <c r="A9" s="8" t="s">
        <v>448</v>
      </c>
      <c r="B9" s="217"/>
      <c r="C9" s="222"/>
      <c r="D9" s="220">
        <f>SUM(D6:D8)</f>
        <v>4930.57</v>
      </c>
    </row>
    <row r="10" spans="1:6" x14ac:dyDescent="0.25">
      <c r="D10" s="215"/>
    </row>
    <row r="11" spans="1:6" x14ac:dyDescent="0.25">
      <c r="A11" s="310" t="s">
        <v>456</v>
      </c>
      <c r="B11" s="310"/>
      <c r="C11" s="310"/>
      <c r="D11" s="310"/>
    </row>
    <row r="12" spans="1:6" ht="6" customHeight="1" x14ac:dyDescent="0.25"/>
    <row r="13" spans="1:6" x14ac:dyDescent="0.25">
      <c r="A13" s="153" t="s">
        <v>452</v>
      </c>
      <c r="B13" s="153" t="s">
        <v>10</v>
      </c>
      <c r="C13" s="153" t="s">
        <v>29</v>
      </c>
      <c r="D13" s="153" t="s">
        <v>12</v>
      </c>
    </row>
    <row r="14" spans="1:6" x14ac:dyDescent="0.25">
      <c r="A14" s="8" t="s">
        <v>457</v>
      </c>
      <c r="B14" s="31">
        <v>2.4300000000000002</v>
      </c>
      <c r="C14" s="220">
        <v>98</v>
      </c>
      <c r="D14" s="220">
        <f>B14*C14</f>
        <v>238.14000000000001</v>
      </c>
    </row>
    <row r="15" spans="1:6" x14ac:dyDescent="0.25">
      <c r="A15" s="8" t="s">
        <v>448</v>
      </c>
      <c r="B15" s="217"/>
      <c r="C15" s="222"/>
      <c r="D15" s="220">
        <f>D14</f>
        <v>238.14000000000001</v>
      </c>
    </row>
    <row r="16" spans="1:6" x14ac:dyDescent="0.25">
      <c r="C16" s="215"/>
      <c r="D16" s="215"/>
    </row>
    <row r="17" spans="1:4" x14ac:dyDescent="0.25">
      <c r="A17" s="310" t="s">
        <v>458</v>
      </c>
      <c r="B17" s="310"/>
      <c r="C17" s="310"/>
      <c r="D17" s="310"/>
    </row>
    <row r="18" spans="1:4" ht="6" customHeight="1" x14ac:dyDescent="0.25"/>
    <row r="19" spans="1:4" x14ac:dyDescent="0.25">
      <c r="A19" s="153" t="s">
        <v>452</v>
      </c>
      <c r="B19" s="153" t="s">
        <v>10</v>
      </c>
      <c r="C19" s="153" t="s">
        <v>29</v>
      </c>
      <c r="D19" s="153" t="s">
        <v>12</v>
      </c>
    </row>
    <row r="20" spans="1:4" x14ac:dyDescent="0.25">
      <c r="A20" s="8" t="s">
        <v>459</v>
      </c>
      <c r="B20" s="31">
        <v>2.4300000000000002</v>
      </c>
      <c r="C20" s="220">
        <v>31.52</v>
      </c>
      <c r="D20" s="220">
        <f>B20*C20</f>
        <v>76.593600000000009</v>
      </c>
    </row>
    <row r="21" spans="1:4" x14ac:dyDescent="0.25">
      <c r="A21" s="8" t="s">
        <v>448</v>
      </c>
      <c r="B21" s="217"/>
      <c r="C21" s="222"/>
      <c r="D21" s="78">
        <f>SUM(D20:D20)</f>
        <v>76.593600000000009</v>
      </c>
    </row>
    <row r="22" spans="1:4" x14ac:dyDescent="0.25">
      <c r="D22" s="117"/>
    </row>
    <row r="23" spans="1:4" x14ac:dyDescent="0.25">
      <c r="A23" s="94" t="s">
        <v>448</v>
      </c>
      <c r="B23" s="188">
        <f>D9+D15+D21</f>
        <v>5245.3036000000002</v>
      </c>
    </row>
    <row r="24" spans="1:4" x14ac:dyDescent="0.25">
      <c r="A24" s="94" t="s">
        <v>460</v>
      </c>
      <c r="B24" s="53">
        <f>B6</f>
        <v>200</v>
      </c>
    </row>
    <row r="25" spans="1:4" x14ac:dyDescent="0.25">
      <c r="A25" s="94" t="s">
        <v>461</v>
      </c>
      <c r="B25" s="188">
        <f>B23/B24</f>
        <v>26.226518000000002</v>
      </c>
    </row>
    <row r="26" spans="1:4" x14ac:dyDescent="0.25">
      <c r="A26" s="94" t="s">
        <v>39</v>
      </c>
      <c r="B26" s="219">
        <v>0.37880000000000003</v>
      </c>
    </row>
    <row r="27" spans="1:4" x14ac:dyDescent="0.25">
      <c r="A27" s="94" t="s">
        <v>462</v>
      </c>
      <c r="B27" s="221">
        <f>(B25/(1-B26))</f>
        <v>42.219121056020612</v>
      </c>
    </row>
    <row r="30" spans="1:4" x14ac:dyDescent="0.25">
      <c r="A30" s="113" t="s">
        <v>463</v>
      </c>
      <c r="B30" s="216">
        <v>42.22</v>
      </c>
    </row>
    <row r="34" spans="1:13" ht="18.75" x14ac:dyDescent="0.25">
      <c r="A34" s="309" t="s">
        <v>464</v>
      </c>
      <c r="B34" s="309"/>
      <c r="C34" s="309"/>
      <c r="D34" s="309"/>
      <c r="E34" s="309"/>
      <c r="F34" s="309"/>
    </row>
    <row r="36" spans="1:13" x14ac:dyDescent="0.25">
      <c r="A36" s="310" t="s">
        <v>451</v>
      </c>
      <c r="B36" s="310"/>
      <c r="C36" s="310"/>
      <c r="D36" s="310"/>
    </row>
    <row r="37" spans="1:13" ht="6" customHeight="1" x14ac:dyDescent="0.25"/>
    <row r="38" spans="1:13" x14ac:dyDescent="0.25">
      <c r="A38" s="153" t="s">
        <v>452</v>
      </c>
      <c r="B38" s="153" t="s">
        <v>10</v>
      </c>
      <c r="C38" s="153" t="s">
        <v>29</v>
      </c>
      <c r="D38" s="153" t="s">
        <v>12</v>
      </c>
    </row>
    <row r="39" spans="1:13" x14ac:dyDescent="0.25">
      <c r="A39" s="8" t="s">
        <v>453</v>
      </c>
      <c r="B39" s="31">
        <v>43.2</v>
      </c>
      <c r="C39" s="220">
        <v>23.68</v>
      </c>
      <c r="D39" s="220">
        <f>B39*C39</f>
        <v>1022.976</v>
      </c>
    </row>
    <row r="40" spans="1:13" x14ac:dyDescent="0.25">
      <c r="A40" s="8" t="s">
        <v>454</v>
      </c>
      <c r="B40" s="31">
        <v>1</v>
      </c>
      <c r="C40" s="220">
        <v>250</v>
      </c>
      <c r="D40" s="220">
        <f t="shared" ref="D40:D41" si="1">B40*C40</f>
        <v>250</v>
      </c>
      <c r="F40" s="112" t="s">
        <v>465</v>
      </c>
      <c r="G40" s="112"/>
      <c r="H40" s="112"/>
      <c r="I40" s="112"/>
      <c r="J40" s="112"/>
    </row>
    <row r="41" spans="1:13" x14ac:dyDescent="0.25">
      <c r="A41" s="8" t="s">
        <v>455</v>
      </c>
      <c r="B41" s="31">
        <v>1</v>
      </c>
      <c r="C41" s="220">
        <v>44.57</v>
      </c>
      <c r="D41" s="220">
        <f t="shared" si="1"/>
        <v>44.57</v>
      </c>
      <c r="F41" s="112" t="s">
        <v>466</v>
      </c>
      <c r="G41" s="112"/>
      <c r="H41" s="112"/>
      <c r="I41" s="112"/>
      <c r="J41" s="112"/>
      <c r="K41" s="112"/>
      <c r="L41" s="112"/>
      <c r="M41" s="112"/>
    </row>
    <row r="42" spans="1:13" x14ac:dyDescent="0.25">
      <c r="A42" s="8" t="s">
        <v>448</v>
      </c>
      <c r="B42" s="217"/>
      <c r="C42" s="222"/>
      <c r="D42" s="220">
        <f>SUM(D39:D41)</f>
        <v>1317.546</v>
      </c>
    </row>
    <row r="43" spans="1:13" x14ac:dyDescent="0.25">
      <c r="D43" s="215"/>
    </row>
    <row r="44" spans="1:13" x14ac:dyDescent="0.25">
      <c r="A44" s="310" t="s">
        <v>456</v>
      </c>
      <c r="B44" s="310"/>
      <c r="C44" s="310"/>
      <c r="D44" s="310"/>
    </row>
    <row r="45" spans="1:13" ht="6" customHeight="1" x14ac:dyDescent="0.25"/>
    <row r="46" spans="1:13" x14ac:dyDescent="0.25">
      <c r="A46" s="153" t="s">
        <v>452</v>
      </c>
      <c r="B46" s="153" t="s">
        <v>10</v>
      </c>
      <c r="C46" s="153" t="s">
        <v>29</v>
      </c>
      <c r="D46" s="153" t="s">
        <v>12</v>
      </c>
    </row>
    <row r="47" spans="1:13" x14ac:dyDescent="0.25">
      <c r="A47" s="8" t="s">
        <v>467</v>
      </c>
      <c r="B47" s="31">
        <v>0.81</v>
      </c>
      <c r="C47" s="220">
        <v>98</v>
      </c>
      <c r="D47" s="220">
        <f>B47*C47</f>
        <v>79.38000000000001</v>
      </c>
    </row>
    <row r="48" spans="1:13" x14ac:dyDescent="0.25">
      <c r="A48" s="8" t="s">
        <v>448</v>
      </c>
      <c r="B48" s="217"/>
      <c r="C48" s="222"/>
      <c r="D48" s="220">
        <f>D47</f>
        <v>79.38000000000001</v>
      </c>
    </row>
    <row r="49" spans="1:4" x14ac:dyDescent="0.25">
      <c r="C49" s="215"/>
      <c r="D49" s="215"/>
    </row>
    <row r="50" spans="1:4" x14ac:dyDescent="0.25">
      <c r="A50" s="310" t="s">
        <v>458</v>
      </c>
      <c r="B50" s="310"/>
      <c r="C50" s="310"/>
      <c r="D50" s="310"/>
    </row>
    <row r="51" spans="1:4" ht="6" customHeight="1" x14ac:dyDescent="0.25"/>
    <row r="52" spans="1:4" x14ac:dyDescent="0.25">
      <c r="A52" s="153" t="s">
        <v>452</v>
      </c>
      <c r="B52" s="153" t="s">
        <v>10</v>
      </c>
      <c r="C52" s="153" t="s">
        <v>29</v>
      </c>
      <c r="D52" s="153" t="s">
        <v>12</v>
      </c>
    </row>
    <row r="53" spans="1:4" x14ac:dyDescent="0.25">
      <c r="A53" s="8" t="s">
        <v>459</v>
      </c>
      <c r="B53" s="31">
        <v>0.81</v>
      </c>
      <c r="C53" s="220">
        <v>31.52</v>
      </c>
      <c r="D53" s="220">
        <f>B53*C53</f>
        <v>25.531200000000002</v>
      </c>
    </row>
    <row r="54" spans="1:4" x14ac:dyDescent="0.25">
      <c r="A54" s="8" t="s">
        <v>448</v>
      </c>
      <c r="B54" s="217"/>
      <c r="C54" s="218"/>
      <c r="D54" s="78">
        <f>SUM(D53:D53)</f>
        <v>25.531200000000002</v>
      </c>
    </row>
    <row r="55" spans="1:4" x14ac:dyDescent="0.25">
      <c r="D55" s="117"/>
    </row>
    <row r="56" spans="1:4" x14ac:dyDescent="0.25">
      <c r="A56" s="94" t="s">
        <v>448</v>
      </c>
      <c r="B56" s="188">
        <f>D42+D48+D54</f>
        <v>1422.4572000000001</v>
      </c>
    </row>
    <row r="57" spans="1:4" x14ac:dyDescent="0.25">
      <c r="A57" s="94" t="s">
        <v>460</v>
      </c>
      <c r="B57" s="53">
        <f>B39</f>
        <v>43.2</v>
      </c>
    </row>
    <row r="58" spans="1:4" x14ac:dyDescent="0.25">
      <c r="A58" s="94" t="s">
        <v>461</v>
      </c>
      <c r="B58" s="188">
        <f>B56/B57</f>
        <v>32.927250000000001</v>
      </c>
    </row>
    <row r="59" spans="1:4" x14ac:dyDescent="0.25">
      <c r="A59" s="94" t="s">
        <v>39</v>
      </c>
      <c r="B59" s="219">
        <v>0.22009999999999999</v>
      </c>
    </row>
    <row r="60" spans="1:4" x14ac:dyDescent="0.25">
      <c r="A60" s="94" t="s">
        <v>462</v>
      </c>
      <c r="B60" s="221">
        <f>(B58/(1-B59))</f>
        <v>42.219835876394406</v>
      </c>
    </row>
    <row r="63" spans="1:4" x14ac:dyDescent="0.25">
      <c r="A63" s="113" t="s">
        <v>463</v>
      </c>
      <c r="B63" s="216">
        <v>42.22</v>
      </c>
    </row>
  </sheetData>
  <mergeCells count="8">
    <mergeCell ref="A1:F1"/>
    <mergeCell ref="A34:F34"/>
    <mergeCell ref="A50:D50"/>
    <mergeCell ref="A3:D3"/>
    <mergeCell ref="A11:D11"/>
    <mergeCell ref="A17:D17"/>
    <mergeCell ref="A36:D36"/>
    <mergeCell ref="A44:D44"/>
  </mergeCell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28ED-E114-4FD0-826D-993F6F628137}">
  <sheetPr codeName="Sheet27">
    <tabColor rgb="FFFF0000"/>
  </sheetPr>
  <dimension ref="A1:L30"/>
  <sheetViews>
    <sheetView workbookViewId="0">
      <selection activeCell="F34" sqref="F34"/>
    </sheetView>
  </sheetViews>
  <sheetFormatPr defaultRowHeight="15" x14ac:dyDescent="0.25"/>
  <cols>
    <col min="1" max="1" width="39.5703125" bestFit="1" customWidth="1"/>
    <col min="2" max="2" width="14.140625" bestFit="1" customWidth="1"/>
    <col min="3" max="3" width="18.85546875" bestFit="1" customWidth="1"/>
    <col min="4" max="4" width="10.85546875" bestFit="1" customWidth="1"/>
    <col min="5" max="5" width="22.140625" bestFit="1" customWidth="1"/>
    <col min="6" max="6" width="17.140625" bestFit="1" customWidth="1"/>
    <col min="7" max="7" width="26" bestFit="1" customWidth="1"/>
    <col min="8" max="8" width="1.42578125" customWidth="1"/>
    <col min="9" max="9" width="20.140625" customWidth="1"/>
    <col min="10" max="10" width="12.42578125" customWidth="1"/>
    <col min="11" max="11" width="8.5703125" customWidth="1"/>
    <col min="13" max="13" width="37.5703125" bestFit="1" customWidth="1"/>
  </cols>
  <sheetData>
    <row r="1" spans="1:12" ht="18.75" x14ac:dyDescent="0.3">
      <c r="A1" s="303" t="s">
        <v>468</v>
      </c>
      <c r="B1" s="303"/>
      <c r="C1" s="303"/>
      <c r="D1" s="303"/>
      <c r="E1" s="303"/>
      <c r="F1" s="303"/>
      <c r="G1" s="303"/>
    </row>
    <row r="2" spans="1:12" ht="6" customHeight="1" x14ac:dyDescent="0.25">
      <c r="B2" s="1"/>
      <c r="C2" s="1"/>
      <c r="D2" s="1"/>
      <c r="E2" s="1"/>
      <c r="F2" s="1"/>
      <c r="G2" s="1"/>
    </row>
    <row r="3" spans="1:12" ht="14.45" customHeight="1" x14ac:dyDescent="0.25">
      <c r="A3" s="211" t="s">
        <v>469</v>
      </c>
      <c r="B3" s="1"/>
      <c r="C3" s="1"/>
      <c r="E3" s="1"/>
    </row>
    <row r="4" spans="1:12" ht="6" customHeight="1" x14ac:dyDescent="0.25">
      <c r="A4" s="1"/>
      <c r="B4" s="1"/>
      <c r="C4" s="1"/>
      <c r="E4" s="1"/>
    </row>
    <row r="5" spans="1:12" x14ac:dyDescent="0.25">
      <c r="A5" s="304" t="s">
        <v>470</v>
      </c>
      <c r="B5" s="305" t="s">
        <v>402</v>
      </c>
      <c r="C5" s="305" t="s">
        <v>418</v>
      </c>
      <c r="D5" s="305" t="s">
        <v>419</v>
      </c>
      <c r="E5" s="4" t="s">
        <v>420</v>
      </c>
      <c r="F5" s="4" t="s">
        <v>421</v>
      </c>
      <c r="G5" s="311" t="s">
        <v>471</v>
      </c>
    </row>
    <row r="6" spans="1:12" x14ac:dyDescent="0.25">
      <c r="A6" s="304"/>
      <c r="B6" s="305"/>
      <c r="C6" s="305"/>
      <c r="D6" s="305"/>
      <c r="E6" s="7">
        <f>SUM(D7,D8,D9)</f>
        <v>10285</v>
      </c>
      <c r="F6" s="7">
        <v>11601.61</v>
      </c>
      <c r="G6" s="311"/>
    </row>
    <row r="7" spans="1:12" x14ac:dyDescent="0.25">
      <c r="A7" s="34" t="s">
        <v>472</v>
      </c>
      <c r="B7" s="26">
        <v>2.5</v>
      </c>
      <c r="C7" s="210">
        <v>500</v>
      </c>
      <c r="D7" s="26">
        <f t="shared" ref="D7:D9" si="0">C7*B7</f>
        <v>1250</v>
      </c>
      <c r="E7" s="44">
        <f>D7/$E$6</f>
        <v>0.12153621779290229</v>
      </c>
      <c r="F7" s="26">
        <f>$F$6*E7</f>
        <v>1410.0157997083131</v>
      </c>
      <c r="G7" s="212">
        <f t="shared" ref="G7:G9" si="1">ROUNDUP((F7/C7),3)</f>
        <v>2.8209999999999997</v>
      </c>
    </row>
    <row r="8" spans="1:12" x14ac:dyDescent="0.25">
      <c r="A8" s="34" t="s">
        <v>473</v>
      </c>
      <c r="B8" s="26">
        <v>2.86</v>
      </c>
      <c r="C8" s="210">
        <v>500</v>
      </c>
      <c r="D8" s="26">
        <f t="shared" si="0"/>
        <v>1430</v>
      </c>
      <c r="E8" s="44">
        <f>D8/$E$6</f>
        <v>0.13903743315508021</v>
      </c>
      <c r="F8" s="26">
        <f>$F$6*E8</f>
        <v>1613.0580748663103</v>
      </c>
      <c r="G8" s="212">
        <f t="shared" si="1"/>
        <v>3.2269999999999999</v>
      </c>
    </row>
    <row r="9" spans="1:12" x14ac:dyDescent="0.25">
      <c r="A9" s="34" t="s">
        <v>474</v>
      </c>
      <c r="B9" s="26">
        <v>5.07</v>
      </c>
      <c r="C9" s="210">
        <v>1500</v>
      </c>
      <c r="D9" s="26">
        <f t="shared" si="0"/>
        <v>7605</v>
      </c>
      <c r="E9" s="44">
        <f>D9/$E$6</f>
        <v>0.73942634905201754</v>
      </c>
      <c r="F9" s="26">
        <f>$F$6*E9</f>
        <v>8578.5361254253785</v>
      </c>
      <c r="G9" s="212">
        <f t="shared" si="1"/>
        <v>5.7200000000000006</v>
      </c>
    </row>
    <row r="10" spans="1:12" ht="6" customHeight="1" x14ac:dyDescent="0.25"/>
    <row r="11" spans="1:12" ht="14.45" customHeight="1" x14ac:dyDescent="0.25">
      <c r="A11" s="313" t="s">
        <v>475</v>
      </c>
      <c r="B11" s="314"/>
      <c r="C11" s="314"/>
      <c r="D11" s="314"/>
      <c r="E11" s="314"/>
      <c r="F11" s="314"/>
      <c r="G11" s="314"/>
      <c r="I11" s="305" t="s">
        <v>476</v>
      </c>
      <c r="J11" s="305"/>
      <c r="K11" s="305"/>
    </row>
    <row r="12" spans="1:12" ht="6" customHeight="1" x14ac:dyDescent="0.25"/>
    <row r="13" spans="1:12" x14ac:dyDescent="0.25">
      <c r="A13" s="304" t="s">
        <v>470</v>
      </c>
      <c r="B13" s="305" t="s">
        <v>401</v>
      </c>
      <c r="C13" s="305" t="s">
        <v>402</v>
      </c>
      <c r="D13" s="4" t="s">
        <v>403</v>
      </c>
      <c r="E13" s="305" t="s">
        <v>404</v>
      </c>
      <c r="F13" s="305" t="s">
        <v>405</v>
      </c>
      <c r="G13" s="305" t="s">
        <v>35</v>
      </c>
      <c r="I13" s="213" t="s">
        <v>477</v>
      </c>
      <c r="J13" s="213" t="s">
        <v>478</v>
      </c>
      <c r="K13" s="305" t="s">
        <v>419</v>
      </c>
    </row>
    <row r="14" spans="1:12" x14ac:dyDescent="0.25">
      <c r="A14" s="304"/>
      <c r="B14" s="305"/>
      <c r="C14" s="305"/>
      <c r="D14" s="37">
        <v>1.6557999999999999</v>
      </c>
      <c r="E14" s="305"/>
      <c r="F14" s="305"/>
      <c r="G14" s="305"/>
      <c r="I14" s="7">
        <v>0.81</v>
      </c>
      <c r="J14" s="4">
        <v>0.33</v>
      </c>
      <c r="K14" s="305"/>
    </row>
    <row r="15" spans="1:12" x14ac:dyDescent="0.25">
      <c r="A15" s="34" t="s">
        <v>472</v>
      </c>
      <c r="B15" s="9" t="s">
        <v>479</v>
      </c>
      <c r="C15" s="26">
        <v>2.5</v>
      </c>
      <c r="D15" s="38">
        <f>$D$14</f>
        <v>1.6557999999999999</v>
      </c>
      <c r="E15" s="26">
        <f t="shared" ref="E15:E16" si="2">C15*D15</f>
        <v>4.1395</v>
      </c>
      <c r="F15" s="212">
        <f>G7</f>
        <v>2.8209999999999997</v>
      </c>
      <c r="G15" s="15">
        <f t="shared" ref="G15:G17" si="3">E15+F15</f>
        <v>6.9604999999999997</v>
      </c>
      <c r="I15" s="9">
        <v>5</v>
      </c>
      <c r="J15" s="9">
        <v>8</v>
      </c>
      <c r="K15" s="26">
        <f>($I$14*I15)+($J$14*J15)+$G15</f>
        <v>13.650500000000001</v>
      </c>
      <c r="L15" s="32"/>
    </row>
    <row r="16" spans="1:12" x14ac:dyDescent="0.25">
      <c r="A16" s="34" t="s">
        <v>473</v>
      </c>
      <c r="B16" s="9" t="s">
        <v>479</v>
      </c>
      <c r="C16" s="26">
        <v>2.86</v>
      </c>
      <c r="D16" s="38">
        <f>$D$14</f>
        <v>1.6557999999999999</v>
      </c>
      <c r="E16" s="26">
        <f t="shared" si="2"/>
        <v>4.7355879999999999</v>
      </c>
      <c r="F16" s="212">
        <f>G8</f>
        <v>3.2269999999999999</v>
      </c>
      <c r="G16" s="15">
        <f t="shared" si="3"/>
        <v>7.9625880000000002</v>
      </c>
      <c r="I16" s="9">
        <v>5</v>
      </c>
      <c r="J16" s="9">
        <v>8</v>
      </c>
      <c r="K16" s="26">
        <f>($I$14*I16)+($J$14*J16)+$G16</f>
        <v>14.652588000000002</v>
      </c>
      <c r="L16" s="32"/>
    </row>
    <row r="17" spans="1:11" x14ac:dyDescent="0.25">
      <c r="A17" s="34" t="s">
        <v>474</v>
      </c>
      <c r="B17" s="9" t="s">
        <v>479</v>
      </c>
      <c r="C17" s="26">
        <v>5.07</v>
      </c>
      <c r="D17" s="38">
        <f>$D$14</f>
        <v>1.6557999999999999</v>
      </c>
      <c r="E17" s="26">
        <f t="shared" ref="E17" si="4">C17*D17</f>
        <v>8.3949060000000006</v>
      </c>
      <c r="F17" s="212">
        <f>G9</f>
        <v>5.7200000000000006</v>
      </c>
      <c r="G17" s="15">
        <f t="shared" si="3"/>
        <v>14.114906000000001</v>
      </c>
      <c r="I17" s="214" t="s">
        <v>173</v>
      </c>
      <c r="J17" s="214" t="s">
        <v>173</v>
      </c>
      <c r="K17" s="214" t="s">
        <v>173</v>
      </c>
    </row>
    <row r="18" spans="1:11" x14ac:dyDescent="0.25">
      <c r="B18" s="1"/>
      <c r="C18" s="1"/>
      <c r="E18" s="1"/>
      <c r="G18" s="40"/>
    </row>
    <row r="19" spans="1:11" x14ac:dyDescent="0.25">
      <c r="B19" s="1"/>
      <c r="C19" s="1"/>
      <c r="E19" s="1"/>
      <c r="G19" s="40"/>
    </row>
    <row r="20" spans="1:11" ht="18.75" x14ac:dyDescent="0.3">
      <c r="A20" s="312" t="s">
        <v>480</v>
      </c>
      <c r="B20" s="303"/>
      <c r="C20" s="303"/>
      <c r="D20" s="303"/>
      <c r="E20" s="303"/>
      <c r="G20" s="40"/>
    </row>
    <row r="21" spans="1:11" ht="6" customHeight="1" x14ac:dyDescent="0.25"/>
    <row r="22" spans="1:11" ht="14.45" customHeight="1" x14ac:dyDescent="0.25">
      <c r="A22" s="304" t="s">
        <v>469</v>
      </c>
      <c r="B22" s="304"/>
      <c r="C22" s="305" t="s">
        <v>476</v>
      </c>
      <c r="D22" s="305"/>
      <c r="E22" s="305"/>
      <c r="G22" s="40"/>
    </row>
    <row r="23" spans="1:11" ht="6" customHeight="1" x14ac:dyDescent="0.25">
      <c r="B23" s="1"/>
      <c r="C23" s="1"/>
      <c r="D23" s="1"/>
    </row>
    <row r="24" spans="1:11" x14ac:dyDescent="0.25">
      <c r="A24" s="304" t="s">
        <v>470</v>
      </c>
      <c r="B24" s="304" t="s">
        <v>402</v>
      </c>
      <c r="C24" s="213" t="s">
        <v>477</v>
      </c>
      <c r="D24" s="213" t="s">
        <v>478</v>
      </c>
      <c r="E24" s="305" t="s">
        <v>419</v>
      </c>
      <c r="G24" s="40"/>
    </row>
    <row r="25" spans="1:11" x14ac:dyDescent="0.25">
      <c r="A25" s="304"/>
      <c r="B25" s="304"/>
      <c r="C25" s="7">
        <v>0.81</v>
      </c>
      <c r="D25" s="4">
        <v>0.33</v>
      </c>
      <c r="E25" s="305"/>
      <c r="G25" s="32"/>
      <c r="I25" s="40"/>
    </row>
    <row r="26" spans="1:11" x14ac:dyDescent="0.25">
      <c r="A26" s="34" t="s">
        <v>481</v>
      </c>
      <c r="B26" s="26">
        <v>6.88</v>
      </c>
      <c r="C26" s="9">
        <v>5</v>
      </c>
      <c r="D26" s="9">
        <v>8</v>
      </c>
      <c r="E26" s="26">
        <f>($C$25*C26)+($D$25*D26)+$B26</f>
        <v>13.57</v>
      </c>
    </row>
    <row r="27" spans="1:11" x14ac:dyDescent="0.25">
      <c r="A27" s="34" t="s">
        <v>482</v>
      </c>
      <c r="B27" s="26">
        <v>6.4799999999999995</v>
      </c>
      <c r="C27" s="9">
        <v>5</v>
      </c>
      <c r="D27" s="9">
        <v>8</v>
      </c>
      <c r="E27" s="26">
        <f>($C$25*C27)+($D$25*D27)+$B27</f>
        <v>13.170000000000002</v>
      </c>
    </row>
    <row r="28" spans="1:11" x14ac:dyDescent="0.25">
      <c r="I28" s="32"/>
      <c r="J28" s="32"/>
      <c r="K28" s="40"/>
    </row>
    <row r="30" spans="1:11" x14ac:dyDescent="0.25">
      <c r="B30" s="72"/>
    </row>
  </sheetData>
  <mergeCells count="21">
    <mergeCell ref="I11:K11"/>
    <mergeCell ref="E24:E25"/>
    <mergeCell ref="A20:E20"/>
    <mergeCell ref="C22:E22"/>
    <mergeCell ref="A11:G11"/>
    <mergeCell ref="A22:B22"/>
    <mergeCell ref="K13:K14"/>
    <mergeCell ref="A24:A25"/>
    <mergeCell ref="B24:B25"/>
    <mergeCell ref="A1:G1"/>
    <mergeCell ref="A13:A14"/>
    <mergeCell ref="B13:B14"/>
    <mergeCell ref="C13:C14"/>
    <mergeCell ref="E13:E14"/>
    <mergeCell ref="F13:F14"/>
    <mergeCell ref="G13:G14"/>
    <mergeCell ref="A5:A6"/>
    <mergeCell ref="B5:B6"/>
    <mergeCell ref="C5:C6"/>
    <mergeCell ref="D5:D6"/>
    <mergeCell ref="G5:G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B8BF-4D88-482D-B889-F1EB61DDF5BB}">
  <sheetPr codeName="Sheet28">
    <tabColor rgb="FFFF0000"/>
  </sheetPr>
  <dimension ref="A1:F86"/>
  <sheetViews>
    <sheetView workbookViewId="0">
      <selection activeCell="I22" sqref="I22"/>
    </sheetView>
  </sheetViews>
  <sheetFormatPr defaultRowHeight="15" x14ac:dyDescent="0.25"/>
  <cols>
    <col min="1" max="1" width="26.140625" bestFit="1" customWidth="1"/>
    <col min="2" max="2" width="21.85546875" bestFit="1" customWidth="1"/>
    <col min="3" max="3" width="10.5703125" bestFit="1" customWidth="1"/>
    <col min="4" max="4" width="20.85546875" bestFit="1" customWidth="1"/>
    <col min="5" max="5" width="13.140625" bestFit="1" customWidth="1"/>
    <col min="6" max="6" width="10.140625" bestFit="1" customWidth="1"/>
    <col min="7" max="8" width="8.5703125" customWidth="1"/>
  </cols>
  <sheetData>
    <row r="1" spans="1:6" ht="21" x14ac:dyDescent="0.25">
      <c r="A1" s="318" t="s">
        <v>456</v>
      </c>
      <c r="B1" s="318"/>
      <c r="C1" s="318"/>
      <c r="D1" s="318"/>
      <c r="E1" s="318"/>
      <c r="F1" s="318"/>
    </row>
    <row r="2" spans="1:6" ht="6" customHeight="1" x14ac:dyDescent="0.25">
      <c r="A2" s="186"/>
      <c r="B2" s="186"/>
      <c r="C2" s="186"/>
      <c r="D2" s="186"/>
      <c r="E2" s="186"/>
      <c r="F2" s="186"/>
    </row>
    <row r="3" spans="1:6" x14ac:dyDescent="0.25">
      <c r="A3" s="94" t="s">
        <v>483</v>
      </c>
      <c r="B3" s="94" t="s">
        <v>484</v>
      </c>
      <c r="C3" s="185" t="s">
        <v>7</v>
      </c>
      <c r="D3" s="185" t="s">
        <v>485</v>
      </c>
      <c r="E3" s="94" t="s">
        <v>486</v>
      </c>
      <c r="F3" s="94" t="s">
        <v>487</v>
      </c>
    </row>
    <row r="4" spans="1:6" x14ac:dyDescent="0.25">
      <c r="A4" s="8" t="s">
        <v>488</v>
      </c>
      <c r="B4" s="8" t="s">
        <v>489</v>
      </c>
      <c r="C4" s="183" t="s">
        <v>490</v>
      </c>
      <c r="D4" s="183">
        <v>980</v>
      </c>
      <c r="E4" s="31">
        <v>100</v>
      </c>
      <c r="F4" s="184">
        <f>D4/E4</f>
        <v>9.8000000000000007</v>
      </c>
    </row>
    <row r="5" spans="1:6" x14ac:dyDescent="0.25">
      <c r="A5" s="8" t="s">
        <v>488</v>
      </c>
      <c r="B5" s="8" t="s">
        <v>489</v>
      </c>
      <c r="C5" s="31" t="s">
        <v>491</v>
      </c>
      <c r="D5" s="183">
        <v>1010</v>
      </c>
      <c r="E5" s="31">
        <v>100</v>
      </c>
      <c r="F5" s="184">
        <f t="shared" ref="F5:F11" si="0">D5/E5</f>
        <v>10.1</v>
      </c>
    </row>
    <row r="6" spans="1:6" x14ac:dyDescent="0.25">
      <c r="A6" s="8" t="s">
        <v>488</v>
      </c>
      <c r="B6" s="8" t="s">
        <v>489</v>
      </c>
      <c r="C6" s="183" t="s">
        <v>492</v>
      </c>
      <c r="D6" s="183">
        <v>1010</v>
      </c>
      <c r="E6" s="31">
        <v>83</v>
      </c>
      <c r="F6" s="184">
        <f t="shared" si="0"/>
        <v>12.168674698795181</v>
      </c>
    </row>
    <row r="7" spans="1:6" x14ac:dyDescent="0.25">
      <c r="A7" s="8" t="s">
        <v>488</v>
      </c>
      <c r="B7" s="8" t="s">
        <v>489</v>
      </c>
      <c r="C7" s="183" t="s">
        <v>493</v>
      </c>
      <c r="D7" s="183">
        <v>1010</v>
      </c>
      <c r="E7" s="31">
        <v>66.7</v>
      </c>
      <c r="F7" s="184">
        <f t="shared" si="0"/>
        <v>15.142428785607196</v>
      </c>
    </row>
    <row r="8" spans="1:6" x14ac:dyDescent="0.25">
      <c r="A8" s="8" t="s">
        <v>488</v>
      </c>
      <c r="B8" s="8" t="s">
        <v>494</v>
      </c>
      <c r="C8" s="183" t="s">
        <v>495</v>
      </c>
      <c r="D8" s="183">
        <v>1300</v>
      </c>
      <c r="E8" s="31">
        <v>100</v>
      </c>
      <c r="F8" s="184">
        <f>D8/E8</f>
        <v>13</v>
      </c>
    </row>
    <row r="9" spans="1:6" x14ac:dyDescent="0.25">
      <c r="A9" s="8" t="s">
        <v>488</v>
      </c>
      <c r="B9" s="8" t="s">
        <v>496</v>
      </c>
      <c r="C9" s="31" t="s">
        <v>491</v>
      </c>
      <c r="D9" s="183">
        <v>1090</v>
      </c>
      <c r="E9" s="31">
        <v>100</v>
      </c>
      <c r="F9" s="184">
        <f t="shared" ref="F9" si="1">D9/E9</f>
        <v>10.9</v>
      </c>
    </row>
    <row r="10" spans="1:6" x14ac:dyDescent="0.25">
      <c r="A10" s="8" t="s">
        <v>497</v>
      </c>
      <c r="B10" s="8" t="s">
        <v>498</v>
      </c>
      <c r="C10" s="183" t="s">
        <v>499</v>
      </c>
      <c r="D10" s="183">
        <v>1160</v>
      </c>
      <c r="E10" s="31">
        <v>400</v>
      </c>
      <c r="F10" s="184">
        <f t="shared" si="0"/>
        <v>2.9</v>
      </c>
    </row>
    <row r="11" spans="1:6" x14ac:dyDescent="0.25">
      <c r="A11" s="8" t="s">
        <v>500</v>
      </c>
      <c r="B11" s="8" t="s">
        <v>498</v>
      </c>
      <c r="C11" s="183" t="s">
        <v>501</v>
      </c>
      <c r="D11" s="183">
        <v>1160</v>
      </c>
      <c r="E11" s="31">
        <v>133</v>
      </c>
      <c r="F11" s="184">
        <f t="shared" si="0"/>
        <v>8.7218045112781954</v>
      </c>
    </row>
    <row r="12" spans="1:6" ht="14.25" customHeight="1" x14ac:dyDescent="0.25">
      <c r="A12" s="8" t="s">
        <v>488</v>
      </c>
      <c r="B12" s="8" t="s">
        <v>498</v>
      </c>
      <c r="C12" s="183" t="s">
        <v>502</v>
      </c>
      <c r="D12" s="183">
        <v>1125</v>
      </c>
      <c r="E12" s="31">
        <v>66.7</v>
      </c>
      <c r="F12" s="184">
        <f t="shared" ref="F12" si="2">D12/E12</f>
        <v>16.866566716641678</v>
      </c>
    </row>
    <row r="13" spans="1:6" x14ac:dyDescent="0.25">
      <c r="A13" s="8" t="s">
        <v>488</v>
      </c>
      <c r="B13" s="8" t="s">
        <v>503</v>
      </c>
      <c r="C13" s="183" t="s">
        <v>502</v>
      </c>
      <c r="D13" s="183">
        <v>1236</v>
      </c>
      <c r="E13" s="31">
        <v>66.7</v>
      </c>
      <c r="F13" s="184">
        <f>D13/E13</f>
        <v>18.530734632683657</v>
      </c>
    </row>
    <row r="14" spans="1:6" x14ac:dyDescent="0.25">
      <c r="A14" s="8" t="s">
        <v>504</v>
      </c>
      <c r="B14" s="8"/>
      <c r="C14" s="183" t="s">
        <v>502</v>
      </c>
      <c r="D14" s="183">
        <v>98</v>
      </c>
      <c r="E14" s="8"/>
      <c r="F14" s="34"/>
    </row>
    <row r="17" spans="1:6" ht="21" x14ac:dyDescent="0.25">
      <c r="A17" s="318" t="s">
        <v>505</v>
      </c>
      <c r="B17" s="318"/>
      <c r="C17" s="318"/>
      <c r="D17" s="318"/>
      <c r="E17" s="318"/>
      <c r="F17" s="318"/>
    </row>
    <row r="18" spans="1:6" ht="6" customHeight="1" x14ac:dyDescent="0.25">
      <c r="A18" s="187"/>
      <c r="B18" s="187"/>
      <c r="C18" s="187"/>
      <c r="D18" s="187"/>
      <c r="E18" s="187"/>
      <c r="F18" s="187"/>
    </row>
    <row r="19" spans="1:6" x14ac:dyDescent="0.25">
      <c r="A19" s="94" t="s">
        <v>483</v>
      </c>
      <c r="B19" s="94" t="s">
        <v>484</v>
      </c>
      <c r="C19" s="185" t="s">
        <v>7</v>
      </c>
      <c r="D19" s="185" t="s">
        <v>485</v>
      </c>
      <c r="E19" s="94" t="s">
        <v>486</v>
      </c>
      <c r="F19" s="94" t="s">
        <v>487</v>
      </c>
    </row>
    <row r="20" spans="1:6" x14ac:dyDescent="0.25">
      <c r="A20" s="8" t="s">
        <v>488</v>
      </c>
      <c r="B20" s="8" t="s">
        <v>506</v>
      </c>
      <c r="C20" s="31" t="s">
        <v>507</v>
      </c>
      <c r="D20" s="31">
        <v>1102</v>
      </c>
      <c r="E20" s="31">
        <v>167</v>
      </c>
      <c r="F20" s="188">
        <f t="shared" ref="F20:F26" si="3">D20/E20</f>
        <v>6.5988023952095807</v>
      </c>
    </row>
    <row r="21" spans="1:6" x14ac:dyDescent="0.25">
      <c r="A21" s="8" t="s">
        <v>488</v>
      </c>
      <c r="B21" s="8" t="s">
        <v>506</v>
      </c>
      <c r="C21" s="31" t="s">
        <v>493</v>
      </c>
      <c r="D21" s="31">
        <v>960</v>
      </c>
      <c r="E21" s="31">
        <v>66.7</v>
      </c>
      <c r="F21" s="188">
        <f t="shared" si="3"/>
        <v>14.392803598200899</v>
      </c>
    </row>
    <row r="22" spans="1:6" x14ac:dyDescent="0.25">
      <c r="A22" s="8" t="s">
        <v>488</v>
      </c>
      <c r="B22" s="8" t="s">
        <v>508</v>
      </c>
      <c r="C22" s="31" t="s">
        <v>490</v>
      </c>
      <c r="D22" s="31">
        <v>1197</v>
      </c>
      <c r="E22" s="31">
        <v>100</v>
      </c>
      <c r="F22" s="188">
        <f t="shared" si="3"/>
        <v>11.97</v>
      </c>
    </row>
    <row r="23" spans="1:6" x14ac:dyDescent="0.25">
      <c r="A23" s="8" t="s">
        <v>488</v>
      </c>
      <c r="B23" s="8" t="s">
        <v>508</v>
      </c>
      <c r="C23" s="31" t="s">
        <v>493</v>
      </c>
      <c r="D23" s="31">
        <v>1275</v>
      </c>
      <c r="E23" s="31">
        <v>66.7</v>
      </c>
      <c r="F23" s="188">
        <f t="shared" si="3"/>
        <v>19.11544227886057</v>
      </c>
    </row>
    <row r="24" spans="1:6" x14ac:dyDescent="0.25">
      <c r="A24" s="8" t="s">
        <v>509</v>
      </c>
      <c r="B24" s="8" t="s">
        <v>510</v>
      </c>
      <c r="C24" s="31" t="s">
        <v>511</v>
      </c>
      <c r="D24" s="31">
        <v>1006</v>
      </c>
      <c r="E24" s="31">
        <v>200</v>
      </c>
      <c r="F24" s="188">
        <f t="shared" si="3"/>
        <v>5.03</v>
      </c>
    </row>
    <row r="25" spans="1:6" x14ac:dyDescent="0.25">
      <c r="A25" s="8" t="s">
        <v>488</v>
      </c>
      <c r="B25" s="8" t="s">
        <v>512</v>
      </c>
      <c r="C25" s="31" t="s">
        <v>511</v>
      </c>
      <c r="D25" s="31">
        <v>2718</v>
      </c>
      <c r="E25" s="31">
        <v>200</v>
      </c>
      <c r="F25" s="188">
        <f t="shared" si="3"/>
        <v>13.59</v>
      </c>
    </row>
    <row r="26" spans="1:6" x14ac:dyDescent="0.25">
      <c r="A26" s="8" t="s">
        <v>488</v>
      </c>
      <c r="B26" s="8" t="s">
        <v>510</v>
      </c>
      <c r="C26" s="31" t="s">
        <v>493</v>
      </c>
      <c r="D26" s="31">
        <v>1021</v>
      </c>
      <c r="E26" s="31">
        <v>66.7</v>
      </c>
      <c r="F26" s="188">
        <f t="shared" si="3"/>
        <v>15.307346326836582</v>
      </c>
    </row>
    <row r="27" spans="1:6" x14ac:dyDescent="0.25">
      <c r="A27" s="8" t="s">
        <v>488</v>
      </c>
      <c r="B27" s="8" t="s">
        <v>513</v>
      </c>
      <c r="C27" s="31" t="s">
        <v>514</v>
      </c>
      <c r="D27" s="31">
        <v>1976</v>
      </c>
      <c r="E27" s="31">
        <v>200</v>
      </c>
      <c r="F27" s="188">
        <v>9.8800000000000008</v>
      </c>
    </row>
    <row r="30" spans="1:6" ht="21" x14ac:dyDescent="0.25">
      <c r="A30" s="318" t="s">
        <v>515</v>
      </c>
      <c r="B30" s="318"/>
      <c r="C30" s="318"/>
      <c r="D30" s="318"/>
      <c r="E30" s="318"/>
      <c r="F30" s="318"/>
    </row>
    <row r="31" spans="1:6" ht="6" customHeight="1" x14ac:dyDescent="0.25">
      <c r="A31" s="187"/>
      <c r="B31" s="187"/>
      <c r="C31" s="187"/>
      <c r="D31" s="187"/>
      <c r="E31" s="187"/>
      <c r="F31" s="187"/>
    </row>
    <row r="32" spans="1:6" x14ac:dyDescent="0.25">
      <c r="A32" s="94" t="s">
        <v>483</v>
      </c>
      <c r="B32" s="94" t="s">
        <v>484</v>
      </c>
      <c r="C32" s="185" t="s">
        <v>7</v>
      </c>
      <c r="D32" s="185" t="s">
        <v>485</v>
      </c>
      <c r="E32" s="94" t="s">
        <v>486</v>
      </c>
      <c r="F32" s="94" t="s">
        <v>487</v>
      </c>
    </row>
    <row r="33" spans="1:6" x14ac:dyDescent="0.25">
      <c r="A33" s="8" t="s">
        <v>516</v>
      </c>
      <c r="B33" s="8" t="s">
        <v>517</v>
      </c>
      <c r="C33" s="31" t="s">
        <v>518</v>
      </c>
      <c r="D33" s="188">
        <v>49.3</v>
      </c>
      <c r="E33" s="31">
        <v>2.88</v>
      </c>
      <c r="F33" s="188">
        <f>D33/E33</f>
        <v>17.118055555555554</v>
      </c>
    </row>
    <row r="34" spans="1:6" x14ac:dyDescent="0.25">
      <c r="A34" s="8" t="s">
        <v>516</v>
      </c>
      <c r="B34" s="8" t="s">
        <v>519</v>
      </c>
      <c r="C34" s="31" t="s">
        <v>518</v>
      </c>
      <c r="D34" s="188">
        <v>78.7</v>
      </c>
      <c r="E34" s="31">
        <v>2.88</v>
      </c>
      <c r="F34" s="188">
        <f t="shared" ref="F34:F36" si="4">D34/E34</f>
        <v>27.326388888888889</v>
      </c>
    </row>
    <row r="35" spans="1:6" x14ac:dyDescent="0.25">
      <c r="A35" s="8" t="s">
        <v>516</v>
      </c>
      <c r="B35" s="8" t="s">
        <v>520</v>
      </c>
      <c r="C35" s="31" t="s">
        <v>518</v>
      </c>
      <c r="D35" s="188">
        <v>57.3</v>
      </c>
      <c r="E35" s="31">
        <v>2.88</v>
      </c>
      <c r="F35" s="188">
        <f t="shared" si="4"/>
        <v>19.895833333333332</v>
      </c>
    </row>
    <row r="36" spans="1:6" x14ac:dyDescent="0.25">
      <c r="A36" s="8" t="s">
        <v>516</v>
      </c>
      <c r="B36" s="8" t="s">
        <v>521</v>
      </c>
      <c r="C36" s="31" t="s">
        <v>518</v>
      </c>
      <c r="D36" s="188">
        <v>102.4</v>
      </c>
      <c r="E36" s="31">
        <v>2.88</v>
      </c>
      <c r="F36" s="188">
        <f t="shared" si="4"/>
        <v>35.555555555555557</v>
      </c>
    </row>
    <row r="39" spans="1:6" ht="21" x14ac:dyDescent="0.25">
      <c r="A39" s="318" t="s">
        <v>522</v>
      </c>
      <c r="B39" s="318"/>
      <c r="C39" s="318"/>
      <c r="D39" s="318"/>
      <c r="E39" s="318"/>
      <c r="F39" s="318"/>
    </row>
    <row r="40" spans="1:6" ht="21" x14ac:dyDescent="0.25">
      <c r="A40" s="187"/>
      <c r="B40" s="187"/>
      <c r="C40" s="187"/>
      <c r="D40" s="187"/>
      <c r="E40" s="187"/>
      <c r="F40" s="187"/>
    </row>
    <row r="41" spans="1:6" x14ac:dyDescent="0.25">
      <c r="A41" s="94" t="s">
        <v>483</v>
      </c>
      <c r="B41" s="94" t="s">
        <v>484</v>
      </c>
      <c r="C41" s="185" t="s">
        <v>7</v>
      </c>
      <c r="D41" s="185" t="s">
        <v>485</v>
      </c>
      <c r="E41" s="94" t="s">
        <v>486</v>
      </c>
      <c r="F41" s="94" t="s">
        <v>487</v>
      </c>
    </row>
    <row r="42" spans="1:6" x14ac:dyDescent="0.25">
      <c r="A42" s="8" t="s">
        <v>516</v>
      </c>
      <c r="B42" s="8" t="s">
        <v>517</v>
      </c>
      <c r="C42" s="31" t="s">
        <v>518</v>
      </c>
      <c r="D42" s="188">
        <v>34</v>
      </c>
      <c r="E42" s="31">
        <v>2.88</v>
      </c>
      <c r="F42" s="188">
        <f>D42/E42</f>
        <v>11.805555555555555</v>
      </c>
    </row>
    <row r="43" spans="1:6" x14ac:dyDescent="0.25">
      <c r="A43" s="8" t="s">
        <v>516</v>
      </c>
      <c r="B43" s="8" t="s">
        <v>519</v>
      </c>
      <c r="C43" s="31" t="s">
        <v>518</v>
      </c>
      <c r="D43" s="188">
        <v>58</v>
      </c>
      <c r="E43" s="31">
        <v>2.88</v>
      </c>
      <c r="F43" s="188">
        <f>D43/E43</f>
        <v>20.138888888888889</v>
      </c>
    </row>
    <row r="44" spans="1:6" x14ac:dyDescent="0.25">
      <c r="A44" s="8" t="s">
        <v>523</v>
      </c>
      <c r="B44" s="8" t="s">
        <v>520</v>
      </c>
      <c r="C44" s="31" t="s">
        <v>518</v>
      </c>
      <c r="D44" s="188">
        <v>48</v>
      </c>
      <c r="E44" s="31">
        <v>2.88</v>
      </c>
      <c r="F44" s="188">
        <f>D44/E44</f>
        <v>16.666666666666668</v>
      </c>
    </row>
    <row r="45" spans="1:6" x14ac:dyDescent="0.25">
      <c r="A45" s="8" t="s">
        <v>523</v>
      </c>
      <c r="B45" s="8" t="s">
        <v>521</v>
      </c>
      <c r="C45" s="31" t="s">
        <v>518</v>
      </c>
      <c r="D45" s="188">
        <v>84</v>
      </c>
      <c r="E45" s="31">
        <v>2.88</v>
      </c>
      <c r="F45" s="188">
        <f>D45/E45</f>
        <v>29.166666666666668</v>
      </c>
    </row>
    <row r="48" spans="1:6" ht="21" x14ac:dyDescent="0.25">
      <c r="A48" s="318" t="s">
        <v>524</v>
      </c>
      <c r="B48" s="318"/>
      <c r="C48" s="318"/>
      <c r="D48" s="318"/>
      <c r="E48" s="318"/>
      <c r="F48" s="318"/>
    </row>
    <row r="49" spans="1:6" ht="6" customHeight="1" x14ac:dyDescent="0.25">
      <c r="A49" s="189"/>
      <c r="B49" s="189"/>
      <c r="C49" s="189"/>
      <c r="D49" s="189"/>
      <c r="E49" s="189"/>
      <c r="F49" s="189"/>
    </row>
    <row r="50" spans="1:6" x14ac:dyDescent="0.25">
      <c r="A50" s="94" t="s">
        <v>483</v>
      </c>
      <c r="B50" s="94" t="s">
        <v>484</v>
      </c>
      <c r="C50" s="185" t="s">
        <v>7</v>
      </c>
      <c r="D50" s="185" t="s">
        <v>525</v>
      </c>
      <c r="E50" s="94" t="s">
        <v>526</v>
      </c>
      <c r="F50" s="94" t="s">
        <v>487</v>
      </c>
    </row>
    <row r="51" spans="1:6" x14ac:dyDescent="0.25">
      <c r="A51" s="8" t="s">
        <v>527</v>
      </c>
      <c r="B51" s="8" t="s">
        <v>336</v>
      </c>
      <c r="C51" s="31" t="s">
        <v>518</v>
      </c>
      <c r="D51" s="190">
        <v>27.61</v>
      </c>
      <c r="E51" s="31">
        <v>2.88</v>
      </c>
      <c r="F51" s="188">
        <f t="shared" ref="F51:F52" si="5">D51/E51</f>
        <v>9.5868055555555554</v>
      </c>
    </row>
    <row r="52" spans="1:6" x14ac:dyDescent="0.25">
      <c r="A52" s="8" t="s">
        <v>527</v>
      </c>
      <c r="B52" s="8" t="s">
        <v>335</v>
      </c>
      <c r="C52" s="31" t="s">
        <v>518</v>
      </c>
      <c r="D52" s="190">
        <v>54.29</v>
      </c>
      <c r="E52" s="31">
        <v>2.88</v>
      </c>
      <c r="F52" s="188">
        <f t="shared" si="5"/>
        <v>18.850694444444446</v>
      </c>
    </row>
    <row r="55" spans="1:6" ht="21" x14ac:dyDescent="0.25">
      <c r="A55" s="318" t="s">
        <v>528</v>
      </c>
      <c r="B55" s="318"/>
      <c r="C55" s="318"/>
      <c r="D55" s="318"/>
      <c r="E55" s="318"/>
      <c r="F55" s="318"/>
    </row>
    <row r="56" spans="1:6" ht="6" customHeight="1" x14ac:dyDescent="0.25">
      <c r="A56" s="189"/>
      <c r="B56" s="189"/>
      <c r="C56" s="189"/>
      <c r="D56" s="189"/>
      <c r="E56" s="189"/>
      <c r="F56" s="189"/>
    </row>
    <row r="57" spans="1:6" x14ac:dyDescent="0.25">
      <c r="A57" s="153" t="s">
        <v>483</v>
      </c>
      <c r="B57" s="153" t="s">
        <v>484</v>
      </c>
      <c r="C57" s="182" t="s">
        <v>7</v>
      </c>
      <c r="D57" s="182" t="s">
        <v>529</v>
      </c>
      <c r="E57" s="153" t="s">
        <v>526</v>
      </c>
      <c r="F57" s="153" t="s">
        <v>487</v>
      </c>
    </row>
    <row r="58" spans="1:6" x14ac:dyDescent="0.25">
      <c r="A58" s="8" t="s">
        <v>530</v>
      </c>
      <c r="B58" s="8" t="s">
        <v>531</v>
      </c>
      <c r="C58" s="31" t="s">
        <v>532</v>
      </c>
      <c r="D58" s="188">
        <v>3209</v>
      </c>
      <c r="E58" s="31">
        <v>200</v>
      </c>
      <c r="F58" s="188">
        <f t="shared" ref="F58:F63" si="6">D58/E58</f>
        <v>16.045000000000002</v>
      </c>
    </row>
    <row r="59" spans="1:6" x14ac:dyDescent="0.25">
      <c r="A59" s="8" t="s">
        <v>530</v>
      </c>
      <c r="B59" s="8" t="s">
        <v>533</v>
      </c>
      <c r="C59" s="31" t="s">
        <v>534</v>
      </c>
      <c r="D59" s="188">
        <v>3904</v>
      </c>
      <c r="E59" s="31">
        <v>83</v>
      </c>
      <c r="F59" s="188">
        <f t="shared" si="6"/>
        <v>47.036144578313255</v>
      </c>
    </row>
    <row r="60" spans="1:6" x14ac:dyDescent="0.25">
      <c r="A60" s="8" t="s">
        <v>530</v>
      </c>
      <c r="B60" s="8" t="s">
        <v>535</v>
      </c>
      <c r="C60" s="31" t="s">
        <v>536</v>
      </c>
      <c r="D60" s="188">
        <v>4019</v>
      </c>
      <c r="E60" s="31">
        <v>66.7</v>
      </c>
      <c r="F60" s="188">
        <f t="shared" si="6"/>
        <v>60.254872563718138</v>
      </c>
    </row>
    <row r="61" spans="1:6" x14ac:dyDescent="0.25">
      <c r="A61" s="8" t="s">
        <v>537</v>
      </c>
      <c r="B61" s="8" t="s">
        <v>538</v>
      </c>
      <c r="C61" s="31" t="s">
        <v>532</v>
      </c>
      <c r="D61" s="188">
        <v>6986</v>
      </c>
      <c r="E61" s="31">
        <v>200</v>
      </c>
      <c r="F61" s="188">
        <f t="shared" si="6"/>
        <v>34.93</v>
      </c>
    </row>
    <row r="62" spans="1:6" x14ac:dyDescent="0.25">
      <c r="A62" s="8" t="s">
        <v>537</v>
      </c>
      <c r="B62" s="8" t="s">
        <v>539</v>
      </c>
      <c r="C62" s="31" t="s">
        <v>534</v>
      </c>
      <c r="D62" s="188">
        <v>8148</v>
      </c>
      <c r="E62" s="31">
        <v>83</v>
      </c>
      <c r="F62" s="188">
        <f t="shared" si="6"/>
        <v>98.168674698795186</v>
      </c>
    </row>
    <row r="63" spans="1:6" x14ac:dyDescent="0.25">
      <c r="A63" s="8" t="s">
        <v>537</v>
      </c>
      <c r="B63" s="8" t="s">
        <v>540</v>
      </c>
      <c r="C63" s="31" t="s">
        <v>536</v>
      </c>
      <c r="D63" s="188">
        <v>8671</v>
      </c>
      <c r="E63" s="31">
        <v>66.7</v>
      </c>
      <c r="F63" s="188">
        <f t="shared" si="6"/>
        <v>130</v>
      </c>
    </row>
    <row r="66" spans="1:6" ht="21" x14ac:dyDescent="0.25">
      <c r="A66" s="318" t="s">
        <v>541</v>
      </c>
      <c r="B66" s="318"/>
      <c r="C66" s="318"/>
      <c r="D66" s="318"/>
      <c r="E66" s="318"/>
      <c r="F66" s="318"/>
    </row>
    <row r="67" spans="1:6" ht="6" customHeight="1" x14ac:dyDescent="0.25">
      <c r="A67" s="189"/>
      <c r="B67" s="189"/>
      <c r="C67" s="189"/>
      <c r="D67" s="189"/>
      <c r="E67" s="189"/>
      <c r="F67" s="189"/>
    </row>
    <row r="68" spans="1:6" x14ac:dyDescent="0.25">
      <c r="A68" s="153" t="s">
        <v>483</v>
      </c>
      <c r="B68" s="153" t="s">
        <v>484</v>
      </c>
      <c r="C68" s="182" t="s">
        <v>7</v>
      </c>
      <c r="D68" s="182" t="s">
        <v>529</v>
      </c>
      <c r="E68" s="153" t="s">
        <v>526</v>
      </c>
      <c r="F68" s="153" t="s">
        <v>487</v>
      </c>
    </row>
    <row r="69" spans="1:6" x14ac:dyDescent="0.25">
      <c r="A69" s="8" t="s">
        <v>530</v>
      </c>
      <c r="B69" s="8" t="s">
        <v>531</v>
      </c>
      <c r="C69" s="31" t="s">
        <v>532</v>
      </c>
      <c r="D69" s="188"/>
      <c r="E69" s="31">
        <v>200</v>
      </c>
      <c r="F69" s="188">
        <f t="shared" ref="F69:F74" si="7">D69/E69</f>
        <v>0</v>
      </c>
    </row>
    <row r="70" spans="1:6" x14ac:dyDescent="0.25">
      <c r="A70" s="8" t="s">
        <v>530</v>
      </c>
      <c r="B70" s="8" t="s">
        <v>533</v>
      </c>
      <c r="C70" s="31" t="s">
        <v>534</v>
      </c>
      <c r="D70" s="188"/>
      <c r="E70" s="31">
        <v>83</v>
      </c>
      <c r="F70" s="188">
        <f t="shared" si="7"/>
        <v>0</v>
      </c>
    </row>
    <row r="71" spans="1:6" x14ac:dyDescent="0.25">
      <c r="A71" s="8" t="s">
        <v>530</v>
      </c>
      <c r="B71" s="8" t="s">
        <v>535</v>
      </c>
      <c r="C71" s="31" t="s">
        <v>536</v>
      </c>
      <c r="D71" s="188"/>
      <c r="E71" s="31">
        <v>66.7</v>
      </c>
      <c r="F71" s="188">
        <f t="shared" si="7"/>
        <v>0</v>
      </c>
    </row>
    <row r="72" spans="1:6" x14ac:dyDescent="0.25">
      <c r="A72" s="8" t="s">
        <v>537</v>
      </c>
      <c r="B72" s="8" t="s">
        <v>538</v>
      </c>
      <c r="C72" s="31" t="s">
        <v>532</v>
      </c>
      <c r="D72" s="188"/>
      <c r="E72" s="31">
        <v>200</v>
      </c>
      <c r="F72" s="188">
        <f t="shared" si="7"/>
        <v>0</v>
      </c>
    </row>
    <row r="73" spans="1:6" x14ac:dyDescent="0.25">
      <c r="A73" s="8" t="s">
        <v>537</v>
      </c>
      <c r="B73" s="8" t="s">
        <v>539</v>
      </c>
      <c r="C73" s="31" t="s">
        <v>534</v>
      </c>
      <c r="D73" s="188"/>
      <c r="E73" s="31">
        <v>83</v>
      </c>
      <c r="F73" s="188">
        <f t="shared" si="7"/>
        <v>0</v>
      </c>
    </row>
    <row r="74" spans="1:6" x14ac:dyDescent="0.25">
      <c r="A74" s="8" t="s">
        <v>537</v>
      </c>
      <c r="B74" s="8" t="s">
        <v>540</v>
      </c>
      <c r="C74" s="31" t="s">
        <v>536</v>
      </c>
      <c r="D74" s="188"/>
      <c r="E74" s="31">
        <v>66.7</v>
      </c>
      <c r="F74" s="188">
        <f t="shared" si="7"/>
        <v>0</v>
      </c>
    </row>
    <row r="77" spans="1:6" ht="21" x14ac:dyDescent="0.25">
      <c r="A77" s="315" t="s">
        <v>542</v>
      </c>
      <c r="B77" s="316"/>
      <c r="C77" s="316"/>
      <c r="D77" s="317"/>
    </row>
    <row r="78" spans="1:6" ht="6" customHeight="1" x14ac:dyDescent="0.25">
      <c r="A78" s="189"/>
      <c r="B78" s="189"/>
      <c r="C78" s="189"/>
      <c r="D78" s="189"/>
      <c r="E78" s="189"/>
      <c r="F78" s="189"/>
    </row>
    <row r="79" spans="1:6" x14ac:dyDescent="0.25">
      <c r="A79" s="153" t="s">
        <v>483</v>
      </c>
      <c r="B79" s="153" t="s">
        <v>484</v>
      </c>
      <c r="C79" s="182" t="s">
        <v>7</v>
      </c>
      <c r="D79" s="182" t="s">
        <v>543</v>
      </c>
      <c r="E79" s="189"/>
      <c r="F79" s="189"/>
    </row>
    <row r="80" spans="1:6" x14ac:dyDescent="0.25">
      <c r="A80" s="8" t="s">
        <v>544</v>
      </c>
      <c r="B80" s="8" t="s">
        <v>545</v>
      </c>
      <c r="C80" s="31" t="s">
        <v>546</v>
      </c>
      <c r="D80" s="188">
        <v>8.2899999999999991</v>
      </c>
      <c r="E80" s="189"/>
      <c r="F80" s="189"/>
    </row>
    <row r="81" spans="1:6" x14ac:dyDescent="0.25">
      <c r="E81" s="189"/>
      <c r="F81" s="189"/>
    </row>
    <row r="83" spans="1:6" ht="21" x14ac:dyDescent="0.25">
      <c r="A83" s="315" t="s">
        <v>547</v>
      </c>
      <c r="B83" s="316"/>
      <c r="C83" s="316"/>
      <c r="D83" s="317"/>
    </row>
    <row r="84" spans="1:6" ht="6" customHeight="1" x14ac:dyDescent="0.25">
      <c r="A84" s="189"/>
      <c r="B84" s="189"/>
      <c r="C84" s="189"/>
      <c r="D84" s="189"/>
      <c r="E84" s="189"/>
      <c r="F84" s="189"/>
    </row>
    <row r="85" spans="1:6" x14ac:dyDescent="0.25">
      <c r="A85" s="153" t="s">
        <v>483</v>
      </c>
      <c r="B85" s="153" t="s">
        <v>484</v>
      </c>
      <c r="C85" s="182" t="s">
        <v>7</v>
      </c>
      <c r="D85" s="182" t="s">
        <v>543</v>
      </c>
      <c r="E85" s="189"/>
      <c r="F85" s="189"/>
    </row>
    <row r="86" spans="1:6" x14ac:dyDescent="0.25">
      <c r="A86" s="8" t="s">
        <v>548</v>
      </c>
      <c r="B86" s="8" t="s">
        <v>549</v>
      </c>
      <c r="C86" s="31" t="s">
        <v>550</v>
      </c>
      <c r="D86" s="188">
        <v>19.09</v>
      </c>
      <c r="E86" s="189"/>
      <c r="F86" s="189"/>
    </row>
  </sheetData>
  <mergeCells count="9">
    <mergeCell ref="A83:D83"/>
    <mergeCell ref="A77:D77"/>
    <mergeCell ref="A1:F1"/>
    <mergeCell ref="A17:F17"/>
    <mergeCell ref="A30:F30"/>
    <mergeCell ref="A48:F48"/>
    <mergeCell ref="A55:F55"/>
    <mergeCell ref="A66:F66"/>
    <mergeCell ref="A39:F39"/>
  </mergeCells>
  <phoneticPr fontId="6" type="noConversion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CDF0-DB8A-4054-B240-3B8B3A2E35EF}">
  <sheetPr>
    <tabColor rgb="FFFF0000"/>
  </sheetPr>
  <dimension ref="A1:I109"/>
  <sheetViews>
    <sheetView topLeftCell="A41" workbookViewId="0">
      <selection sqref="A1:C1"/>
    </sheetView>
  </sheetViews>
  <sheetFormatPr defaultRowHeight="15" x14ac:dyDescent="0.25"/>
  <cols>
    <col min="1" max="1" width="14" bestFit="1" customWidth="1"/>
    <col min="2" max="2" width="19.28515625" bestFit="1" customWidth="1"/>
    <col min="3" max="3" width="19.42578125" bestFit="1" customWidth="1"/>
    <col min="4" max="4" width="21.7109375" bestFit="1" customWidth="1"/>
    <col min="5" max="5" width="1.140625" customWidth="1"/>
    <col min="6" max="6" width="8.7109375" bestFit="1" customWidth="1"/>
    <col min="7" max="7" width="19.85546875" bestFit="1" customWidth="1"/>
    <col min="8" max="8" width="8.7109375" bestFit="1" customWidth="1"/>
    <col min="9" max="9" width="19.85546875" bestFit="1" customWidth="1"/>
  </cols>
  <sheetData>
    <row r="1" spans="1:9" ht="21" x14ac:dyDescent="0.25">
      <c r="A1" s="315" t="s">
        <v>551</v>
      </c>
      <c r="B1" s="316"/>
      <c r="C1" s="317"/>
    </row>
    <row r="2" spans="1:9" ht="21" x14ac:dyDescent="0.25">
      <c r="A2" s="186"/>
      <c r="B2" s="186"/>
      <c r="C2" s="186"/>
    </row>
    <row r="3" spans="1:9" x14ac:dyDescent="0.25">
      <c r="A3" s="319" t="s">
        <v>552</v>
      </c>
      <c r="B3" s="320"/>
      <c r="C3" s="320"/>
    </row>
    <row r="4" spans="1:9" x14ac:dyDescent="0.25">
      <c r="A4" s="8" t="s">
        <v>132</v>
      </c>
      <c r="B4" s="8" t="s">
        <v>553</v>
      </c>
      <c r="C4" s="8" t="s">
        <v>554</v>
      </c>
    </row>
    <row r="5" spans="1:9" x14ac:dyDescent="0.25">
      <c r="A5" s="8" t="s">
        <v>16</v>
      </c>
      <c r="B5" s="8">
        <v>10</v>
      </c>
      <c r="C5" s="8">
        <v>7</v>
      </c>
    </row>
    <row r="6" spans="1:9" x14ac:dyDescent="0.25">
      <c r="A6" s="8" t="s">
        <v>555</v>
      </c>
      <c r="B6" s="8">
        <v>8</v>
      </c>
      <c r="C6" s="8">
        <v>7</v>
      </c>
    </row>
    <row r="7" spans="1:9" x14ac:dyDescent="0.25">
      <c r="A7" s="8" t="s">
        <v>87</v>
      </c>
      <c r="B7" s="8">
        <v>8</v>
      </c>
      <c r="C7" s="8">
        <v>7</v>
      </c>
      <c r="F7" s="321" t="s">
        <v>556</v>
      </c>
      <c r="G7" s="322"/>
      <c r="H7" s="322"/>
      <c r="I7" s="322"/>
    </row>
    <row r="8" spans="1:9" x14ac:dyDescent="0.25">
      <c r="A8" s="8" t="s">
        <v>88</v>
      </c>
      <c r="B8" s="8">
        <v>8</v>
      </c>
      <c r="C8" s="8">
        <v>7</v>
      </c>
      <c r="F8" s="323" t="s">
        <v>557</v>
      </c>
      <c r="G8" s="324"/>
      <c r="H8" s="324"/>
      <c r="I8" s="325"/>
    </row>
    <row r="9" spans="1:9" x14ac:dyDescent="0.25">
      <c r="A9" s="8" t="s">
        <v>68</v>
      </c>
      <c r="B9" s="8">
        <v>4</v>
      </c>
      <c r="C9" s="8">
        <v>3</v>
      </c>
      <c r="F9" s="323" t="s">
        <v>558</v>
      </c>
      <c r="G9" s="324"/>
      <c r="H9" s="324"/>
      <c r="I9" s="325"/>
    </row>
    <row r="10" spans="1:9" x14ac:dyDescent="0.25">
      <c r="A10" s="8" t="s">
        <v>56</v>
      </c>
      <c r="B10" s="8">
        <v>4</v>
      </c>
      <c r="C10" s="8">
        <v>3</v>
      </c>
      <c r="F10" s="323" t="s">
        <v>559</v>
      </c>
      <c r="G10" s="324"/>
      <c r="H10" s="324"/>
      <c r="I10" s="325"/>
    </row>
    <row r="11" spans="1:9" x14ac:dyDescent="0.25">
      <c r="A11" s="8" t="s">
        <v>89</v>
      </c>
      <c r="B11" s="8">
        <v>4</v>
      </c>
      <c r="C11" s="8">
        <v>3</v>
      </c>
      <c r="F11" s="323" t="s">
        <v>560</v>
      </c>
      <c r="G11" s="324"/>
      <c r="H11" s="324"/>
      <c r="I11" s="325"/>
    </row>
    <row r="12" spans="1:9" x14ac:dyDescent="0.25">
      <c r="A12" s="8" t="s">
        <v>279</v>
      </c>
      <c r="B12" s="8">
        <v>4</v>
      </c>
      <c r="C12" s="8">
        <v>3</v>
      </c>
      <c r="F12" s="323" t="s">
        <v>561</v>
      </c>
      <c r="G12" s="324"/>
      <c r="H12" s="324"/>
      <c r="I12" s="325"/>
    </row>
    <row r="13" spans="1:9" ht="21" x14ac:dyDescent="0.25">
      <c r="A13" s="186"/>
      <c r="B13" s="186"/>
      <c r="C13" s="186"/>
    </row>
    <row r="14" spans="1:9" x14ac:dyDescent="0.25">
      <c r="A14" s="319" t="s">
        <v>562</v>
      </c>
      <c r="B14" s="320"/>
      <c r="C14" s="320"/>
    </row>
    <row r="15" spans="1:9" x14ac:dyDescent="0.25">
      <c r="A15" s="8" t="s">
        <v>132</v>
      </c>
      <c r="B15" s="8" t="s">
        <v>563</v>
      </c>
      <c r="C15" s="8" t="s">
        <v>554</v>
      </c>
    </row>
    <row r="16" spans="1:9" x14ac:dyDescent="0.25">
      <c r="A16" s="8" t="s">
        <v>16</v>
      </c>
      <c r="B16" s="8">
        <v>14</v>
      </c>
      <c r="C16" s="8">
        <v>14</v>
      </c>
    </row>
    <row r="17" spans="1:9" x14ac:dyDescent="0.25">
      <c r="A17" s="8" t="s">
        <v>555</v>
      </c>
      <c r="B17" s="8">
        <v>14</v>
      </c>
      <c r="C17" s="8">
        <v>14</v>
      </c>
    </row>
    <row r="18" spans="1:9" x14ac:dyDescent="0.25">
      <c r="A18" s="8" t="s">
        <v>87</v>
      </c>
      <c r="B18" s="8">
        <v>12</v>
      </c>
      <c r="C18" s="8">
        <v>12</v>
      </c>
      <c r="F18" s="321" t="s">
        <v>556</v>
      </c>
      <c r="G18" s="322"/>
      <c r="H18" s="322"/>
      <c r="I18" s="322"/>
    </row>
    <row r="19" spans="1:9" x14ac:dyDescent="0.25">
      <c r="A19" s="8" t="s">
        <v>88</v>
      </c>
      <c r="B19" s="8">
        <v>12</v>
      </c>
      <c r="C19" s="8">
        <v>12</v>
      </c>
      <c r="F19" s="323" t="s">
        <v>557</v>
      </c>
      <c r="G19" s="324"/>
      <c r="H19" s="324"/>
      <c r="I19" s="325"/>
    </row>
    <row r="20" spans="1:9" x14ac:dyDescent="0.25">
      <c r="A20" s="8" t="s">
        <v>68</v>
      </c>
      <c r="B20" s="8">
        <v>6</v>
      </c>
      <c r="C20" s="8">
        <v>6</v>
      </c>
      <c r="F20" s="323" t="s">
        <v>558</v>
      </c>
      <c r="G20" s="324"/>
      <c r="H20" s="324"/>
      <c r="I20" s="325"/>
    </row>
    <row r="21" spans="1:9" x14ac:dyDescent="0.25">
      <c r="A21" s="8" t="s">
        <v>56</v>
      </c>
      <c r="B21" s="8">
        <v>6</v>
      </c>
      <c r="C21" s="8">
        <v>6</v>
      </c>
      <c r="F21" s="323" t="s">
        <v>559</v>
      </c>
      <c r="G21" s="324"/>
      <c r="H21" s="324"/>
      <c r="I21" s="325"/>
    </row>
    <row r="22" spans="1:9" x14ac:dyDescent="0.25">
      <c r="A22" s="8" t="s">
        <v>89</v>
      </c>
      <c r="B22" s="8">
        <v>6</v>
      </c>
      <c r="C22" s="8">
        <v>6</v>
      </c>
      <c r="F22" s="323" t="s">
        <v>560</v>
      </c>
      <c r="G22" s="324"/>
      <c r="H22" s="324"/>
      <c r="I22" s="325"/>
    </row>
    <row r="23" spans="1:9" x14ac:dyDescent="0.25">
      <c r="A23" s="8" t="s">
        <v>279</v>
      </c>
      <c r="B23" s="8">
        <v>6</v>
      </c>
      <c r="C23" s="8">
        <v>6</v>
      </c>
      <c r="F23" s="323" t="s">
        <v>561</v>
      </c>
      <c r="G23" s="324"/>
      <c r="H23" s="324"/>
      <c r="I23" s="325"/>
    </row>
    <row r="26" spans="1:9" x14ac:dyDescent="0.25">
      <c r="A26" s="319" t="s">
        <v>564</v>
      </c>
      <c r="B26" s="320"/>
      <c r="C26" s="320"/>
      <c r="D26" s="320"/>
      <c r="F26" s="231" t="s">
        <v>132</v>
      </c>
      <c r="G26" s="231" t="s">
        <v>565</v>
      </c>
      <c r="H26" s="231" t="s">
        <v>132</v>
      </c>
      <c r="I26" s="231" t="s">
        <v>565</v>
      </c>
    </row>
    <row r="27" spans="1:9" x14ac:dyDescent="0.25">
      <c r="A27" s="8" t="s">
        <v>452</v>
      </c>
      <c r="B27" s="8" t="s">
        <v>566</v>
      </c>
      <c r="C27" s="8" t="s">
        <v>567</v>
      </c>
      <c r="D27" s="8" t="s">
        <v>568</v>
      </c>
      <c r="F27" s="231" t="s">
        <v>569</v>
      </c>
      <c r="G27" s="231"/>
      <c r="H27" s="231" t="s">
        <v>570</v>
      </c>
      <c r="I27" s="231"/>
    </row>
    <row r="28" spans="1:9" x14ac:dyDescent="0.25">
      <c r="A28" s="8" t="s">
        <v>335</v>
      </c>
      <c r="B28" s="8">
        <v>54.13</v>
      </c>
      <c r="C28" s="8">
        <v>2.88</v>
      </c>
      <c r="D28" s="230">
        <f>B28/C28</f>
        <v>18.795138888888889</v>
      </c>
      <c r="F28" s="8">
        <v>10</v>
      </c>
      <c r="G28" s="230">
        <f>B28/F28</f>
        <v>5.4130000000000003</v>
      </c>
      <c r="H28" s="8">
        <v>7</v>
      </c>
      <c r="I28" s="230">
        <f>B28/H28</f>
        <v>7.7328571428571431</v>
      </c>
    </row>
    <row r="29" spans="1:9" x14ac:dyDescent="0.25">
      <c r="A29" s="8" t="s">
        <v>336</v>
      </c>
      <c r="B29" s="8">
        <v>27.63</v>
      </c>
      <c r="C29" s="8">
        <v>2.88</v>
      </c>
      <c r="D29" s="230">
        <f>B29/C29</f>
        <v>9.59375</v>
      </c>
      <c r="F29" s="8">
        <v>14</v>
      </c>
      <c r="G29" s="230">
        <f>B29/F29</f>
        <v>1.9735714285714285</v>
      </c>
      <c r="H29" s="8">
        <v>14</v>
      </c>
      <c r="I29" s="230">
        <f>B29/H29</f>
        <v>1.9735714285714285</v>
      </c>
    </row>
    <row r="30" spans="1:9" x14ac:dyDescent="0.25">
      <c r="A30" s="8" t="s">
        <v>335</v>
      </c>
      <c r="B30" s="8">
        <v>54.13</v>
      </c>
      <c r="C30" s="8">
        <v>2.88</v>
      </c>
      <c r="D30" s="230">
        <f>B30/C30</f>
        <v>18.795138888888889</v>
      </c>
      <c r="F30" s="8">
        <v>10</v>
      </c>
      <c r="G30" s="230">
        <f>B30/F30</f>
        <v>5.4130000000000003</v>
      </c>
      <c r="H30" s="8">
        <v>7</v>
      </c>
      <c r="I30" s="230">
        <f>B30/H30</f>
        <v>7.7328571428571431</v>
      </c>
    </row>
    <row r="31" spans="1:9" x14ac:dyDescent="0.25">
      <c r="A31" s="8" t="s">
        <v>336</v>
      </c>
      <c r="B31" s="8">
        <v>27.63</v>
      </c>
      <c r="C31" s="8">
        <v>2.88</v>
      </c>
      <c r="D31" s="230">
        <f>B31/C31</f>
        <v>9.59375</v>
      </c>
      <c r="F31" s="8">
        <v>14</v>
      </c>
      <c r="G31" s="230">
        <f>B31/F31</f>
        <v>1.9735714285714285</v>
      </c>
      <c r="H31" s="8">
        <v>14</v>
      </c>
      <c r="I31" s="230">
        <f>B31/H31</f>
        <v>1.9735714285714285</v>
      </c>
    </row>
    <row r="32" spans="1:9" x14ac:dyDescent="0.25">
      <c r="F32" s="231" t="s">
        <v>571</v>
      </c>
      <c r="G32" s="231"/>
      <c r="H32" s="231" t="s">
        <v>572</v>
      </c>
      <c r="I32" s="231"/>
    </row>
    <row r="33" spans="3:9" x14ac:dyDescent="0.25">
      <c r="F33" s="8">
        <v>8</v>
      </c>
      <c r="G33" s="230">
        <f>B28/F33</f>
        <v>6.7662500000000003</v>
      </c>
      <c r="H33" s="8">
        <v>7</v>
      </c>
      <c r="I33" s="230">
        <f>B28/H33</f>
        <v>7.7328571428571431</v>
      </c>
    </row>
    <row r="34" spans="3:9" x14ac:dyDescent="0.25">
      <c r="F34" s="8">
        <v>14</v>
      </c>
      <c r="G34" s="230">
        <f>B29/F34</f>
        <v>1.9735714285714285</v>
      </c>
      <c r="H34" s="8">
        <v>14</v>
      </c>
      <c r="I34" s="230">
        <f>B29/H34</f>
        <v>1.9735714285714285</v>
      </c>
    </row>
    <row r="35" spans="3:9" x14ac:dyDescent="0.25">
      <c r="F35" s="8">
        <v>8</v>
      </c>
      <c r="G35" s="230">
        <f>B30/F35</f>
        <v>6.7662500000000003</v>
      </c>
      <c r="H35" s="8">
        <v>7</v>
      </c>
      <c r="I35" s="230">
        <f>B30/H35</f>
        <v>7.7328571428571431</v>
      </c>
    </row>
    <row r="36" spans="3:9" x14ac:dyDescent="0.25">
      <c r="F36" s="8">
        <v>14</v>
      </c>
      <c r="G36" s="230">
        <f>B31/F36</f>
        <v>1.9735714285714285</v>
      </c>
      <c r="H36" s="8">
        <v>14</v>
      </c>
      <c r="I36" s="230">
        <f>B31/H36</f>
        <v>1.9735714285714285</v>
      </c>
    </row>
    <row r="37" spans="3:9" x14ac:dyDescent="0.25">
      <c r="F37" s="231" t="s">
        <v>573</v>
      </c>
      <c r="G37" s="231"/>
      <c r="H37" s="231" t="s">
        <v>574</v>
      </c>
      <c r="I37" s="231"/>
    </row>
    <row r="38" spans="3:9" x14ac:dyDescent="0.25">
      <c r="F38" s="8">
        <v>8</v>
      </c>
      <c r="G38" s="230">
        <f>B28/F38</f>
        <v>6.7662500000000003</v>
      </c>
      <c r="H38" s="8">
        <v>7</v>
      </c>
      <c r="I38" s="230">
        <f>B28/H38</f>
        <v>7.7328571428571431</v>
      </c>
    </row>
    <row r="39" spans="3:9" x14ac:dyDescent="0.25">
      <c r="F39" s="8">
        <v>12</v>
      </c>
      <c r="G39" s="230">
        <f>B29/F39</f>
        <v>2.3024999999999998</v>
      </c>
      <c r="H39" s="8">
        <v>12</v>
      </c>
      <c r="I39" s="230">
        <f>B28/H39</f>
        <v>4.5108333333333333</v>
      </c>
    </row>
    <row r="40" spans="3:9" x14ac:dyDescent="0.25">
      <c r="F40" s="8">
        <v>8</v>
      </c>
      <c r="G40" s="230">
        <f>B30/F40</f>
        <v>6.7662500000000003</v>
      </c>
      <c r="H40" s="8">
        <v>7</v>
      </c>
      <c r="I40" s="230">
        <f>B30/H40</f>
        <v>7.7328571428571431</v>
      </c>
    </row>
    <row r="41" spans="3:9" x14ac:dyDescent="0.25">
      <c r="F41" s="8">
        <v>12</v>
      </c>
      <c r="G41" s="230">
        <f>B31/F41</f>
        <v>2.3024999999999998</v>
      </c>
      <c r="H41" s="8">
        <v>12</v>
      </c>
      <c r="I41" s="230">
        <f>B31/H41</f>
        <v>2.3024999999999998</v>
      </c>
    </row>
    <row r="42" spans="3:9" x14ac:dyDescent="0.25">
      <c r="F42" s="231" t="s">
        <v>575</v>
      </c>
      <c r="G42" s="231"/>
      <c r="H42" s="231" t="s">
        <v>576</v>
      </c>
      <c r="I42" s="231"/>
    </row>
    <row r="43" spans="3:9" x14ac:dyDescent="0.25">
      <c r="F43" s="8">
        <v>8</v>
      </c>
      <c r="G43" s="230">
        <f>B28/F43</f>
        <v>6.7662500000000003</v>
      </c>
      <c r="H43" s="8">
        <v>7</v>
      </c>
      <c r="I43" s="230">
        <f>B28/H43</f>
        <v>7.7328571428571431</v>
      </c>
    </row>
    <row r="44" spans="3:9" x14ac:dyDescent="0.25">
      <c r="F44" s="8">
        <v>12</v>
      </c>
      <c r="G44" s="230">
        <f>B29/F44</f>
        <v>2.3024999999999998</v>
      </c>
      <c r="H44" s="8">
        <v>12</v>
      </c>
      <c r="I44" s="230">
        <f>B29/H44</f>
        <v>2.3024999999999998</v>
      </c>
    </row>
    <row r="45" spans="3:9" x14ac:dyDescent="0.25">
      <c r="F45" s="8">
        <v>8</v>
      </c>
      <c r="G45" s="230">
        <f>B30/F45</f>
        <v>6.7662500000000003</v>
      </c>
      <c r="H45" s="8">
        <v>7</v>
      </c>
      <c r="I45" s="230">
        <f>B30/H45</f>
        <v>7.7328571428571431</v>
      </c>
    </row>
    <row r="46" spans="3:9" x14ac:dyDescent="0.25">
      <c r="F46" s="8">
        <v>12</v>
      </c>
      <c r="G46" s="230">
        <f>B31/F46</f>
        <v>2.3024999999999998</v>
      </c>
      <c r="H46" s="8">
        <v>12</v>
      </c>
      <c r="I46" s="230">
        <f>B31/H46</f>
        <v>2.3024999999999998</v>
      </c>
    </row>
    <row r="47" spans="3:9" x14ac:dyDescent="0.25">
      <c r="C47" s="231" t="s">
        <v>577</v>
      </c>
      <c r="F47" s="231" t="s">
        <v>578</v>
      </c>
      <c r="G47" s="231"/>
      <c r="H47" s="231" t="s">
        <v>579</v>
      </c>
      <c r="I47" s="231"/>
    </row>
    <row r="48" spans="3:9" x14ac:dyDescent="0.25">
      <c r="C48" s="8">
        <v>1.68</v>
      </c>
      <c r="F48" s="8">
        <v>4</v>
      </c>
      <c r="G48" s="230">
        <f>C48*D28/F48</f>
        <v>7.893958333333333</v>
      </c>
      <c r="H48" s="8">
        <v>3</v>
      </c>
      <c r="I48" s="230">
        <f>C48*D28/H48</f>
        <v>10.525277777777777</v>
      </c>
    </row>
    <row r="49" spans="3:9" x14ac:dyDescent="0.25">
      <c r="C49" s="8">
        <v>1.68</v>
      </c>
      <c r="F49" s="8">
        <v>6</v>
      </c>
      <c r="G49" s="230">
        <f>C49*D29/F49</f>
        <v>2.6862499999999998</v>
      </c>
      <c r="H49" s="8">
        <v>6</v>
      </c>
      <c r="I49" s="230">
        <f>C49*D29/H49</f>
        <v>2.6862499999999998</v>
      </c>
    </row>
    <row r="50" spans="3:9" x14ac:dyDescent="0.25">
      <c r="C50" s="8">
        <v>1.68</v>
      </c>
      <c r="F50" s="8">
        <v>4</v>
      </c>
      <c r="G50" s="230">
        <f>C50*D30/F50</f>
        <v>7.893958333333333</v>
      </c>
      <c r="H50" s="8">
        <v>3</v>
      </c>
      <c r="I50" s="230">
        <f>C50*D30/H50</f>
        <v>10.525277777777777</v>
      </c>
    </row>
    <row r="51" spans="3:9" x14ac:dyDescent="0.25">
      <c r="C51" s="8">
        <v>1.68</v>
      </c>
      <c r="F51" s="8">
        <v>6</v>
      </c>
      <c r="G51" s="230">
        <f>C51*D31/F51</f>
        <v>2.6862499999999998</v>
      </c>
      <c r="H51" s="8">
        <v>6</v>
      </c>
      <c r="I51" s="230">
        <f>C51*D31/H51</f>
        <v>2.6862499999999998</v>
      </c>
    </row>
    <row r="52" spans="3:9" x14ac:dyDescent="0.25">
      <c r="F52" s="231" t="s">
        <v>580</v>
      </c>
      <c r="G52" s="231"/>
      <c r="H52" s="231" t="s">
        <v>581</v>
      </c>
      <c r="I52" s="231"/>
    </row>
    <row r="53" spans="3:9" x14ac:dyDescent="0.25">
      <c r="C53" s="8">
        <v>1.92</v>
      </c>
      <c r="F53" s="8">
        <v>4</v>
      </c>
      <c r="G53" s="230">
        <f>C53*D28/F53</f>
        <v>9.0216666666666665</v>
      </c>
      <c r="H53" s="8">
        <v>3</v>
      </c>
      <c r="I53" s="230">
        <f>C53*D28/H53</f>
        <v>12.028888888888888</v>
      </c>
    </row>
    <row r="54" spans="3:9" x14ac:dyDescent="0.25">
      <c r="C54" s="8">
        <v>1.92</v>
      </c>
      <c r="F54" s="8">
        <v>6</v>
      </c>
      <c r="G54" s="230">
        <f>C54*D29/F54</f>
        <v>3.07</v>
      </c>
      <c r="H54" s="8">
        <v>6</v>
      </c>
      <c r="I54" s="230">
        <f>C54*D29/H54</f>
        <v>3.07</v>
      </c>
    </row>
    <row r="55" spans="3:9" x14ac:dyDescent="0.25">
      <c r="C55" s="8">
        <v>1.92</v>
      </c>
      <c r="F55" s="8">
        <v>4</v>
      </c>
      <c r="G55" s="230">
        <f>C55*D30/F55</f>
        <v>9.0216666666666665</v>
      </c>
      <c r="H55" s="8">
        <v>3</v>
      </c>
      <c r="I55" s="230">
        <f>C55*D30/H55</f>
        <v>12.028888888888888</v>
      </c>
    </row>
    <row r="56" spans="3:9" x14ac:dyDescent="0.25">
      <c r="C56" s="8">
        <v>1.92</v>
      </c>
      <c r="F56" s="8">
        <v>6</v>
      </c>
      <c r="G56" s="230">
        <f>C56*D31/F56</f>
        <v>3.07</v>
      </c>
      <c r="H56" s="8">
        <v>6</v>
      </c>
      <c r="I56" s="230">
        <f>C56*D31/H56</f>
        <v>3.07</v>
      </c>
    </row>
    <row r="57" spans="3:9" x14ac:dyDescent="0.25">
      <c r="F57" s="231" t="s">
        <v>582</v>
      </c>
      <c r="G57" s="231"/>
      <c r="H57" s="231" t="s">
        <v>583</v>
      </c>
      <c r="I57" s="231"/>
    </row>
    <row r="58" spans="3:9" x14ac:dyDescent="0.25">
      <c r="C58" s="8">
        <v>2.4</v>
      </c>
      <c r="F58" s="8">
        <v>4</v>
      </c>
      <c r="G58" s="230">
        <f>C58*D28/F58</f>
        <v>11.277083333333334</v>
      </c>
      <c r="H58" s="8">
        <v>3</v>
      </c>
      <c r="I58" s="230">
        <f>C58*D28/H58</f>
        <v>15.036111111111111</v>
      </c>
    </row>
    <row r="59" spans="3:9" x14ac:dyDescent="0.25">
      <c r="C59" s="8">
        <v>2.4</v>
      </c>
      <c r="F59" s="8">
        <v>6</v>
      </c>
      <c r="G59" s="230">
        <f>C59*D29/F59</f>
        <v>3.8374999999999999</v>
      </c>
      <c r="H59" s="8">
        <v>6</v>
      </c>
      <c r="I59" s="230">
        <f>C59*D29/H59</f>
        <v>3.8374999999999999</v>
      </c>
    </row>
    <row r="60" spans="3:9" x14ac:dyDescent="0.25">
      <c r="C60" s="8">
        <v>2.4</v>
      </c>
      <c r="F60" s="8">
        <v>4</v>
      </c>
      <c r="G60" s="230">
        <f>C60*D30/F60</f>
        <v>11.277083333333334</v>
      </c>
      <c r="H60" s="8">
        <v>3</v>
      </c>
      <c r="I60" s="230">
        <f>C60*D30/H60</f>
        <v>15.036111111111111</v>
      </c>
    </row>
    <row r="61" spans="3:9" x14ac:dyDescent="0.25">
      <c r="C61" s="8">
        <v>2.4</v>
      </c>
      <c r="F61" s="8">
        <v>6</v>
      </c>
      <c r="G61" s="230">
        <f>C61*D31/F61</f>
        <v>3.8374999999999999</v>
      </c>
      <c r="H61" s="8">
        <v>6</v>
      </c>
      <c r="I61" s="230">
        <f>C61*D31/H61</f>
        <v>3.8374999999999999</v>
      </c>
    </row>
    <row r="62" spans="3:9" x14ac:dyDescent="0.25">
      <c r="F62" s="231" t="s">
        <v>584</v>
      </c>
      <c r="G62" s="231"/>
      <c r="H62" s="231" t="s">
        <v>585</v>
      </c>
      <c r="I62" s="231"/>
    </row>
    <row r="63" spans="3:9" x14ac:dyDescent="0.25">
      <c r="C63" s="8">
        <v>2.88</v>
      </c>
      <c r="F63" s="8">
        <v>4</v>
      </c>
      <c r="G63" s="230">
        <f>C63*D28/F63</f>
        <v>13.532500000000001</v>
      </c>
      <c r="H63" s="8">
        <v>3</v>
      </c>
      <c r="I63" s="230">
        <f>C63*D28/H63</f>
        <v>18.043333333333333</v>
      </c>
    </row>
    <row r="64" spans="3:9" x14ac:dyDescent="0.25">
      <c r="C64" s="8">
        <v>2.88</v>
      </c>
      <c r="F64" s="8">
        <v>6</v>
      </c>
      <c r="G64" s="230">
        <f>C64*D29/F64</f>
        <v>4.6049999999999995</v>
      </c>
      <c r="H64" s="8">
        <v>6</v>
      </c>
      <c r="I64" s="230">
        <f>C64*D29/H64</f>
        <v>4.6049999999999995</v>
      </c>
    </row>
    <row r="65" spans="1:9" x14ac:dyDescent="0.25">
      <c r="C65" s="8">
        <v>2.88</v>
      </c>
      <c r="F65" s="8">
        <v>4</v>
      </c>
      <c r="G65" s="230">
        <f>C65*D30/F65</f>
        <v>13.532500000000001</v>
      </c>
      <c r="H65" s="8">
        <v>3</v>
      </c>
      <c r="I65" s="230">
        <f>C65*D30/H65</f>
        <v>18.043333333333333</v>
      </c>
    </row>
    <row r="66" spans="1:9" x14ac:dyDescent="0.25">
      <c r="C66" s="8">
        <v>2.88</v>
      </c>
      <c r="F66" s="8">
        <v>6</v>
      </c>
      <c r="G66" s="230">
        <f>C66*D31/F66</f>
        <v>4.6049999999999995</v>
      </c>
      <c r="H66" s="8">
        <v>6</v>
      </c>
      <c r="I66" s="230">
        <f>C66*D31/H66</f>
        <v>4.6049999999999995</v>
      </c>
    </row>
    <row r="69" spans="1:9" x14ac:dyDescent="0.25">
      <c r="A69" s="319" t="s">
        <v>564</v>
      </c>
      <c r="B69" s="320"/>
      <c r="C69" s="320"/>
      <c r="D69" s="320"/>
      <c r="F69" s="231" t="s">
        <v>132</v>
      </c>
      <c r="G69" s="231" t="s">
        <v>565</v>
      </c>
      <c r="H69" s="231" t="s">
        <v>132</v>
      </c>
      <c r="I69" s="231" t="s">
        <v>565</v>
      </c>
    </row>
    <row r="70" spans="1:9" x14ac:dyDescent="0.25">
      <c r="A70" s="8" t="s">
        <v>452</v>
      </c>
      <c r="B70" s="8" t="s">
        <v>566</v>
      </c>
      <c r="C70" s="8" t="s">
        <v>567</v>
      </c>
      <c r="D70" s="8" t="s">
        <v>568</v>
      </c>
      <c r="F70" s="231" t="s">
        <v>569</v>
      </c>
      <c r="G70" s="231"/>
      <c r="H70" s="231" t="s">
        <v>570</v>
      </c>
      <c r="I70" s="231"/>
    </row>
    <row r="71" spans="1:9" x14ac:dyDescent="0.25">
      <c r="A71" s="8" t="s">
        <v>586</v>
      </c>
      <c r="B71" s="8">
        <v>58</v>
      </c>
      <c r="C71" s="8">
        <v>2.88</v>
      </c>
      <c r="D71" s="230">
        <f>B71/C71</f>
        <v>20.138888888888889</v>
      </c>
      <c r="F71" s="8">
        <v>10</v>
      </c>
      <c r="G71" s="230">
        <f>B71/F71</f>
        <v>5.8</v>
      </c>
      <c r="H71" s="8">
        <v>7</v>
      </c>
      <c r="I71" s="230">
        <f>B71/H71</f>
        <v>8.2857142857142865</v>
      </c>
    </row>
    <row r="72" spans="1:9" x14ac:dyDescent="0.25">
      <c r="A72" s="8" t="s">
        <v>587</v>
      </c>
      <c r="B72" s="8">
        <v>34</v>
      </c>
      <c r="C72" s="8">
        <v>2.88</v>
      </c>
      <c r="D72" s="230">
        <f>B72/C72</f>
        <v>11.805555555555555</v>
      </c>
      <c r="F72" s="8">
        <v>14</v>
      </c>
      <c r="G72" s="230">
        <f>B72/F72</f>
        <v>2.4285714285714284</v>
      </c>
      <c r="H72" s="8">
        <v>14</v>
      </c>
      <c r="I72" s="230">
        <f>B72/H72</f>
        <v>2.4285714285714284</v>
      </c>
    </row>
    <row r="73" spans="1:9" x14ac:dyDescent="0.25">
      <c r="A73" s="8" t="s">
        <v>588</v>
      </c>
      <c r="B73" s="8">
        <v>84</v>
      </c>
      <c r="C73" s="8">
        <v>2.88</v>
      </c>
      <c r="D73" s="230">
        <f>B73/C73</f>
        <v>29.166666666666668</v>
      </c>
      <c r="F73" s="8">
        <v>10</v>
      </c>
      <c r="G73" s="230">
        <f>B73/F73</f>
        <v>8.4</v>
      </c>
      <c r="H73" s="8">
        <v>7</v>
      </c>
      <c r="I73" s="230">
        <f>B73/H73</f>
        <v>12</v>
      </c>
    </row>
    <row r="74" spans="1:9" x14ac:dyDescent="0.25">
      <c r="A74" s="8" t="s">
        <v>589</v>
      </c>
      <c r="B74" s="8">
        <v>48</v>
      </c>
      <c r="C74" s="8">
        <v>2.88</v>
      </c>
      <c r="D74" s="230">
        <f>B74/C74</f>
        <v>16.666666666666668</v>
      </c>
      <c r="F74" s="8">
        <v>14</v>
      </c>
      <c r="G74" s="230">
        <f>B74/F74</f>
        <v>3.4285714285714284</v>
      </c>
      <c r="H74" s="8">
        <v>14</v>
      </c>
      <c r="I74" s="230">
        <f>B74/H74</f>
        <v>3.4285714285714284</v>
      </c>
    </row>
    <row r="75" spans="1:9" x14ac:dyDescent="0.25">
      <c r="F75" s="231" t="s">
        <v>571</v>
      </c>
      <c r="G75" s="231"/>
      <c r="H75" s="231" t="s">
        <v>572</v>
      </c>
      <c r="I75" s="231"/>
    </row>
    <row r="76" spans="1:9" x14ac:dyDescent="0.25">
      <c r="F76" s="8">
        <v>8</v>
      </c>
      <c r="G76" s="230">
        <f>B71/F76</f>
        <v>7.25</v>
      </c>
      <c r="H76" s="8">
        <v>7</v>
      </c>
      <c r="I76" s="230">
        <f>B71/H76</f>
        <v>8.2857142857142865</v>
      </c>
    </row>
    <row r="77" spans="1:9" x14ac:dyDescent="0.25">
      <c r="F77" s="8">
        <v>14</v>
      </c>
      <c r="G77" s="230">
        <f>B72/F77</f>
        <v>2.4285714285714284</v>
      </c>
      <c r="H77" s="8">
        <v>14</v>
      </c>
      <c r="I77" s="230">
        <f>B72/H77</f>
        <v>2.4285714285714284</v>
      </c>
    </row>
    <row r="78" spans="1:9" x14ac:dyDescent="0.25">
      <c r="F78" s="8">
        <v>8</v>
      </c>
      <c r="G78" s="230">
        <f>B73/F78</f>
        <v>10.5</v>
      </c>
      <c r="H78" s="8">
        <v>7</v>
      </c>
      <c r="I78" s="230">
        <f>B73/H78</f>
        <v>12</v>
      </c>
    </row>
    <row r="79" spans="1:9" x14ac:dyDescent="0.25">
      <c r="F79" s="8">
        <v>14</v>
      </c>
      <c r="G79" s="230">
        <f>B74/F79</f>
        <v>3.4285714285714284</v>
      </c>
      <c r="H79" s="8">
        <v>14</v>
      </c>
      <c r="I79" s="230">
        <f>B74/H79</f>
        <v>3.4285714285714284</v>
      </c>
    </row>
    <row r="80" spans="1:9" x14ac:dyDescent="0.25">
      <c r="F80" s="231" t="s">
        <v>573</v>
      </c>
      <c r="G80" s="231"/>
      <c r="H80" s="231" t="s">
        <v>574</v>
      </c>
      <c r="I80" s="231"/>
    </row>
    <row r="81" spans="3:9" x14ac:dyDescent="0.25">
      <c r="F81" s="8">
        <v>8</v>
      </c>
      <c r="G81" s="230">
        <f>B71/F81</f>
        <v>7.25</v>
      </c>
      <c r="H81" s="8">
        <v>7</v>
      </c>
      <c r="I81" s="230">
        <f>B71/H81</f>
        <v>8.2857142857142865</v>
      </c>
    </row>
    <row r="82" spans="3:9" x14ac:dyDescent="0.25">
      <c r="F82" s="8">
        <v>12</v>
      </c>
      <c r="G82" s="230">
        <f>B72/F82</f>
        <v>2.8333333333333335</v>
      </c>
      <c r="H82" s="8">
        <v>12</v>
      </c>
      <c r="I82" s="230">
        <f>B72/H82</f>
        <v>2.8333333333333335</v>
      </c>
    </row>
    <row r="83" spans="3:9" x14ac:dyDescent="0.25">
      <c r="F83" s="8">
        <v>8</v>
      </c>
      <c r="G83" s="230">
        <f>B73/F83</f>
        <v>10.5</v>
      </c>
      <c r="H83" s="8">
        <v>7</v>
      </c>
      <c r="I83" s="230">
        <f>B73/H83</f>
        <v>12</v>
      </c>
    </row>
    <row r="84" spans="3:9" x14ac:dyDescent="0.25">
      <c r="F84" s="8">
        <v>12</v>
      </c>
      <c r="G84" s="230">
        <f>B74/F84</f>
        <v>4</v>
      </c>
      <c r="H84" s="8">
        <v>12</v>
      </c>
      <c r="I84" s="230">
        <f>B74/H84</f>
        <v>4</v>
      </c>
    </row>
    <row r="85" spans="3:9" x14ac:dyDescent="0.25">
      <c r="F85" s="231" t="s">
        <v>575</v>
      </c>
      <c r="G85" s="231"/>
      <c r="H85" s="231" t="s">
        <v>576</v>
      </c>
      <c r="I85" s="231"/>
    </row>
    <row r="86" spans="3:9" x14ac:dyDescent="0.25">
      <c r="F86" s="8">
        <v>8</v>
      </c>
      <c r="G86" s="230">
        <f>B71/F86</f>
        <v>7.25</v>
      </c>
      <c r="H86" s="8">
        <v>7</v>
      </c>
      <c r="I86" s="230">
        <f>B71/H86</f>
        <v>8.2857142857142865</v>
      </c>
    </row>
    <row r="87" spans="3:9" x14ac:dyDescent="0.25">
      <c r="F87" s="8">
        <v>12</v>
      </c>
      <c r="G87" s="230">
        <f>B72/F87</f>
        <v>2.8333333333333335</v>
      </c>
      <c r="H87" s="8">
        <v>12</v>
      </c>
      <c r="I87" s="230">
        <f>B72/H87</f>
        <v>2.8333333333333335</v>
      </c>
    </row>
    <row r="88" spans="3:9" x14ac:dyDescent="0.25">
      <c r="F88" s="8">
        <v>8</v>
      </c>
      <c r="G88" s="230">
        <f>B73/F88</f>
        <v>10.5</v>
      </c>
      <c r="H88" s="8">
        <v>7</v>
      </c>
      <c r="I88" s="230">
        <f>B73/H88</f>
        <v>12</v>
      </c>
    </row>
    <row r="89" spans="3:9" x14ac:dyDescent="0.25">
      <c r="F89" s="8">
        <v>12</v>
      </c>
      <c r="G89" s="230">
        <f>B74/F89</f>
        <v>4</v>
      </c>
      <c r="H89" s="8">
        <v>12</v>
      </c>
      <c r="I89" s="230">
        <f>B74/H89</f>
        <v>4</v>
      </c>
    </row>
    <row r="90" spans="3:9" x14ac:dyDescent="0.25">
      <c r="C90" s="231" t="s">
        <v>577</v>
      </c>
      <c r="F90" s="231" t="s">
        <v>578</v>
      </c>
      <c r="G90" s="231"/>
      <c r="H90" s="231" t="s">
        <v>579</v>
      </c>
      <c r="I90" s="231"/>
    </row>
    <row r="91" spans="3:9" x14ac:dyDescent="0.25">
      <c r="C91" s="8">
        <v>1.68</v>
      </c>
      <c r="F91" s="8">
        <v>4</v>
      </c>
      <c r="G91" s="230">
        <f>C91*D71/F91</f>
        <v>8.4583333333333339</v>
      </c>
      <c r="H91" s="8">
        <v>3</v>
      </c>
      <c r="I91" s="230">
        <f>C91*D71/H91</f>
        <v>11.277777777777779</v>
      </c>
    </row>
    <row r="92" spans="3:9" x14ac:dyDescent="0.25">
      <c r="C92" s="8">
        <v>1.68</v>
      </c>
      <c r="F92" s="8">
        <v>6</v>
      </c>
      <c r="G92" s="230">
        <f>C92*D72/F92</f>
        <v>3.3055555555555554</v>
      </c>
      <c r="H92" s="8">
        <v>6</v>
      </c>
      <c r="I92" s="230">
        <f>C92*D72/H92</f>
        <v>3.3055555555555554</v>
      </c>
    </row>
    <row r="93" spans="3:9" x14ac:dyDescent="0.25">
      <c r="C93" s="8">
        <v>1.68</v>
      </c>
      <c r="F93" s="8">
        <v>4</v>
      </c>
      <c r="G93" s="230">
        <f>C93*D73/F93</f>
        <v>12.25</v>
      </c>
      <c r="H93" s="8">
        <v>3</v>
      </c>
      <c r="I93" s="230">
        <f>C93*D73/H93</f>
        <v>16.333333333333332</v>
      </c>
    </row>
    <row r="94" spans="3:9" x14ac:dyDescent="0.25">
      <c r="C94" s="8">
        <v>1.68</v>
      </c>
      <c r="F94" s="8">
        <v>6</v>
      </c>
      <c r="G94" s="230">
        <f>C94*D74/F94</f>
        <v>4.666666666666667</v>
      </c>
      <c r="H94" s="8">
        <v>6</v>
      </c>
      <c r="I94" s="230">
        <f>C94*D74/H94</f>
        <v>4.666666666666667</v>
      </c>
    </row>
    <row r="95" spans="3:9" x14ac:dyDescent="0.25">
      <c r="F95" s="231" t="s">
        <v>580</v>
      </c>
      <c r="G95" s="231"/>
      <c r="H95" s="231" t="s">
        <v>581</v>
      </c>
      <c r="I95" s="231"/>
    </row>
    <row r="96" spans="3:9" x14ac:dyDescent="0.25">
      <c r="C96" s="8">
        <v>1.92</v>
      </c>
      <c r="F96" s="8">
        <v>4</v>
      </c>
      <c r="G96" s="230">
        <f>C96*D71/F96</f>
        <v>9.6666666666666661</v>
      </c>
      <c r="H96" s="8">
        <v>3</v>
      </c>
      <c r="I96" s="230">
        <f>C96*D71/H96</f>
        <v>12.888888888888888</v>
      </c>
    </row>
    <row r="97" spans="3:9" x14ac:dyDescent="0.25">
      <c r="C97" s="8">
        <v>1.92</v>
      </c>
      <c r="F97" s="8">
        <v>6</v>
      </c>
      <c r="G97" s="230">
        <f>C97*D72/F97</f>
        <v>3.7777777777777772</v>
      </c>
      <c r="H97" s="8">
        <v>6</v>
      </c>
      <c r="I97" s="230">
        <f>C97*D72/H97</f>
        <v>3.7777777777777772</v>
      </c>
    </row>
    <row r="98" spans="3:9" x14ac:dyDescent="0.25">
      <c r="C98" s="8">
        <v>1.92</v>
      </c>
      <c r="F98" s="8">
        <v>4</v>
      </c>
      <c r="G98" s="230">
        <f>C98*D73/F98</f>
        <v>14</v>
      </c>
      <c r="H98" s="8">
        <v>3</v>
      </c>
      <c r="I98" s="230">
        <f>C98*D73/H98</f>
        <v>18.666666666666668</v>
      </c>
    </row>
    <row r="99" spans="3:9" x14ac:dyDescent="0.25">
      <c r="C99" s="8">
        <v>1.92</v>
      </c>
      <c r="F99" s="8">
        <v>6</v>
      </c>
      <c r="G99" s="230">
        <f>C99*D74/F99</f>
        <v>5.333333333333333</v>
      </c>
      <c r="H99" s="8">
        <v>6</v>
      </c>
      <c r="I99" s="230">
        <f>C99*D74/H99</f>
        <v>5.333333333333333</v>
      </c>
    </row>
    <row r="100" spans="3:9" x14ac:dyDescent="0.25">
      <c r="F100" s="231" t="s">
        <v>582</v>
      </c>
      <c r="G100" s="231"/>
      <c r="H100" s="231" t="s">
        <v>583</v>
      </c>
      <c r="I100" s="231"/>
    </row>
    <row r="101" spans="3:9" x14ac:dyDescent="0.25">
      <c r="C101" s="8">
        <v>2.4</v>
      </c>
      <c r="F101" s="8">
        <v>4</v>
      </c>
      <c r="G101" s="230">
        <f>C101*D71/F101</f>
        <v>12.083333333333334</v>
      </c>
      <c r="H101" s="8">
        <v>3</v>
      </c>
      <c r="I101" s="230">
        <f>C101*D71/H101</f>
        <v>16.111111111111111</v>
      </c>
    </row>
    <row r="102" spans="3:9" x14ac:dyDescent="0.25">
      <c r="C102" s="8">
        <v>2.4</v>
      </c>
      <c r="F102" s="8">
        <v>6</v>
      </c>
      <c r="G102" s="230">
        <f>C102*D72/F102</f>
        <v>4.7222222222222223</v>
      </c>
      <c r="H102" s="8">
        <v>6</v>
      </c>
      <c r="I102" s="230">
        <f>C102*D72/H102</f>
        <v>4.7222222222222223</v>
      </c>
    </row>
    <row r="103" spans="3:9" x14ac:dyDescent="0.25">
      <c r="C103" s="8">
        <v>2.4</v>
      </c>
      <c r="F103" s="8">
        <v>4</v>
      </c>
      <c r="G103" s="230">
        <f>C103*D73/F103</f>
        <v>17.5</v>
      </c>
      <c r="H103" s="8">
        <v>3</v>
      </c>
      <c r="I103" s="230">
        <f>C103*D73/H103</f>
        <v>23.333333333333332</v>
      </c>
    </row>
    <row r="104" spans="3:9" x14ac:dyDescent="0.25">
      <c r="C104" s="8">
        <v>2.4</v>
      </c>
      <c r="F104" s="8">
        <v>6</v>
      </c>
      <c r="G104" s="230">
        <f>C104*D74/F104</f>
        <v>6.666666666666667</v>
      </c>
      <c r="H104" s="8">
        <v>6</v>
      </c>
      <c r="I104" s="230">
        <f>C104*D74/H104</f>
        <v>6.666666666666667</v>
      </c>
    </row>
    <row r="105" spans="3:9" x14ac:dyDescent="0.25">
      <c r="F105" s="231" t="s">
        <v>584</v>
      </c>
      <c r="G105" s="231"/>
      <c r="H105" s="231" t="s">
        <v>585</v>
      </c>
      <c r="I105" s="231"/>
    </row>
    <row r="106" spans="3:9" x14ac:dyDescent="0.25">
      <c r="C106" s="8">
        <v>2.88</v>
      </c>
      <c r="F106" s="8">
        <v>4</v>
      </c>
      <c r="G106" s="230">
        <f>C106*D71/F106</f>
        <v>14.5</v>
      </c>
      <c r="H106" s="8">
        <v>3</v>
      </c>
      <c r="I106" s="230">
        <f>C106*D71/H106</f>
        <v>19.333333333333332</v>
      </c>
    </row>
    <row r="107" spans="3:9" x14ac:dyDescent="0.25">
      <c r="C107" s="8">
        <v>2.88</v>
      </c>
      <c r="F107" s="8">
        <v>6</v>
      </c>
      <c r="G107" s="230">
        <f>C107*D72/F107</f>
        <v>5.666666666666667</v>
      </c>
      <c r="H107" s="8">
        <v>6</v>
      </c>
      <c r="I107" s="230">
        <f>C107*D72/H107</f>
        <v>5.666666666666667</v>
      </c>
    </row>
    <row r="108" spans="3:9" x14ac:dyDescent="0.25">
      <c r="C108" s="8">
        <v>2.88</v>
      </c>
      <c r="F108" s="8">
        <v>4</v>
      </c>
      <c r="G108" s="230">
        <f>C108*D73/F108</f>
        <v>21</v>
      </c>
      <c r="H108" s="8">
        <v>3</v>
      </c>
      <c r="I108" s="230">
        <f>C108*D73/H108</f>
        <v>28</v>
      </c>
    </row>
    <row r="109" spans="3:9" x14ac:dyDescent="0.25">
      <c r="C109" s="8">
        <v>2.88</v>
      </c>
      <c r="F109" s="8">
        <v>6</v>
      </c>
      <c r="G109" s="230">
        <f>C109*D74/F109</f>
        <v>8</v>
      </c>
      <c r="H109" s="8">
        <v>6</v>
      </c>
      <c r="I109" s="230">
        <f>C109*D74/H109</f>
        <v>8</v>
      </c>
    </row>
  </sheetData>
  <mergeCells count="17">
    <mergeCell ref="A69:D69"/>
    <mergeCell ref="F18:I18"/>
    <mergeCell ref="F19:I19"/>
    <mergeCell ref="F20:I20"/>
    <mergeCell ref="F21:I21"/>
    <mergeCell ref="F22:I22"/>
    <mergeCell ref="F23:I23"/>
    <mergeCell ref="A1:C1"/>
    <mergeCell ref="A3:C3"/>
    <mergeCell ref="A14:C14"/>
    <mergeCell ref="F7:I7"/>
    <mergeCell ref="A26:D26"/>
    <mergeCell ref="F8:I8"/>
    <mergeCell ref="F9:I9"/>
    <mergeCell ref="F10:I10"/>
    <mergeCell ref="F11:I11"/>
    <mergeCell ref="F12:I1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4C19-686E-49DF-9A63-EB5753D0A439}">
  <sheetPr codeName="Sheet29">
    <tabColor rgb="FFFF0000"/>
  </sheetPr>
  <dimension ref="A1:V23"/>
  <sheetViews>
    <sheetView workbookViewId="0">
      <selection activeCell="E12" sqref="E12"/>
    </sheetView>
  </sheetViews>
  <sheetFormatPr defaultRowHeight="15" x14ac:dyDescent="0.25"/>
  <cols>
    <col min="12" max="12" width="1.5703125" customWidth="1"/>
    <col min="13" max="13" width="10.85546875" customWidth="1"/>
    <col min="15" max="15" width="18.85546875" customWidth="1"/>
    <col min="16" max="16" width="1.5703125" customWidth="1"/>
  </cols>
  <sheetData>
    <row r="1" spans="1:22" ht="21" x14ac:dyDescent="0.25">
      <c r="A1" s="318" t="s">
        <v>590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M1" s="318" t="s">
        <v>591</v>
      </c>
      <c r="N1" s="318"/>
      <c r="O1" s="318"/>
      <c r="Q1" s="318" t="s">
        <v>592</v>
      </c>
      <c r="R1" s="318"/>
      <c r="S1" s="318"/>
      <c r="T1" s="318"/>
      <c r="U1" s="318"/>
    </row>
    <row r="2" spans="1:22" ht="6" customHeight="1" x14ac:dyDescent="0.25">
      <c r="A2" s="189"/>
      <c r="B2" s="189"/>
      <c r="C2" s="189"/>
      <c r="D2" s="189"/>
      <c r="E2" s="189"/>
      <c r="F2" s="189"/>
      <c r="G2" s="189"/>
      <c r="H2" s="189"/>
      <c r="I2" s="189"/>
      <c r="J2" s="189"/>
      <c r="K2" s="189"/>
      <c r="M2" s="189"/>
      <c r="N2" s="189"/>
      <c r="O2" s="189"/>
      <c r="Q2" s="189"/>
      <c r="R2" s="189"/>
      <c r="S2" s="189"/>
      <c r="T2" s="189"/>
      <c r="U2" s="189"/>
    </row>
    <row r="3" spans="1:22" x14ac:dyDescent="0.25">
      <c r="A3" s="153" t="s">
        <v>593</v>
      </c>
      <c r="B3" s="153" t="s">
        <v>594</v>
      </c>
      <c r="C3" s="153"/>
      <c r="D3" s="153" t="s">
        <v>593</v>
      </c>
      <c r="E3" s="153" t="s">
        <v>594</v>
      </c>
      <c r="F3" s="153"/>
      <c r="G3" s="153" t="s">
        <v>593</v>
      </c>
      <c r="H3" s="153" t="s">
        <v>594</v>
      </c>
      <c r="I3" s="153"/>
      <c r="J3" s="153" t="s">
        <v>593</v>
      </c>
      <c r="K3" s="153" t="s">
        <v>594</v>
      </c>
      <c r="M3" s="192" t="s">
        <v>131</v>
      </c>
      <c r="N3" s="31">
        <v>1</v>
      </c>
      <c r="O3" s="31" t="s">
        <v>595</v>
      </c>
      <c r="Q3" s="53">
        <f>N4*N5</f>
        <v>7.4999999999999997E-3</v>
      </c>
      <c r="R3" s="8" t="s">
        <v>596</v>
      </c>
      <c r="S3" s="8"/>
      <c r="T3" s="8"/>
      <c r="U3" s="8"/>
      <c r="V3" s="8"/>
    </row>
    <row r="4" spans="1:22" x14ac:dyDescent="0.25">
      <c r="A4" s="31" t="s">
        <v>597</v>
      </c>
      <c r="B4" s="31">
        <v>800</v>
      </c>
      <c r="C4" s="8"/>
      <c r="D4" s="31" t="s">
        <v>598</v>
      </c>
      <c r="E4" s="31">
        <v>500</v>
      </c>
      <c r="F4" s="8"/>
      <c r="G4" s="31" t="s">
        <v>599</v>
      </c>
      <c r="H4" s="31">
        <v>200</v>
      </c>
      <c r="I4" s="8"/>
      <c r="J4" s="31" t="s">
        <v>600</v>
      </c>
      <c r="K4" s="31">
        <v>59.3</v>
      </c>
      <c r="M4" s="8" t="s">
        <v>601</v>
      </c>
      <c r="N4" s="31">
        <v>0.15</v>
      </c>
      <c r="O4" s="31" t="s">
        <v>602</v>
      </c>
      <c r="Q4" s="193">
        <f>1/Q3</f>
        <v>133.33333333333334</v>
      </c>
      <c r="R4" s="8" t="s">
        <v>603</v>
      </c>
      <c r="S4" s="8"/>
      <c r="T4" s="8"/>
      <c r="U4" s="8"/>
      <c r="V4" s="8"/>
    </row>
    <row r="5" spans="1:22" x14ac:dyDescent="0.25">
      <c r="A5" s="31" t="s">
        <v>604</v>
      </c>
      <c r="B5" s="31">
        <v>533</v>
      </c>
      <c r="C5" s="8"/>
      <c r="D5" s="31" t="s">
        <v>605</v>
      </c>
      <c r="E5" s="31">
        <v>333</v>
      </c>
      <c r="F5" s="8"/>
      <c r="G5" s="31" t="s">
        <v>606</v>
      </c>
      <c r="H5" s="31">
        <v>160</v>
      </c>
      <c r="I5" s="8"/>
      <c r="J5" s="31" t="s">
        <v>607</v>
      </c>
      <c r="K5" s="31">
        <v>53.3</v>
      </c>
      <c r="M5" s="8" t="s">
        <v>608</v>
      </c>
      <c r="N5" s="31">
        <v>0.05</v>
      </c>
      <c r="O5" s="31" t="s">
        <v>602</v>
      </c>
      <c r="Q5" s="194">
        <f>Q4*N6</f>
        <v>0</v>
      </c>
      <c r="R5" s="8" t="s">
        <v>609</v>
      </c>
      <c r="S5" s="8"/>
      <c r="T5" s="8"/>
      <c r="U5" s="8"/>
      <c r="V5" s="8"/>
    </row>
    <row r="6" spans="1:22" x14ac:dyDescent="0.25">
      <c r="A6" s="31" t="s">
        <v>610</v>
      </c>
      <c r="B6" s="31">
        <v>400</v>
      </c>
      <c r="C6" s="8"/>
      <c r="D6" s="31" t="s">
        <v>611</v>
      </c>
      <c r="E6" s="31">
        <v>250</v>
      </c>
      <c r="F6" s="8"/>
      <c r="G6" s="31" t="s">
        <v>501</v>
      </c>
      <c r="H6" s="31">
        <v>133</v>
      </c>
      <c r="I6" s="8"/>
      <c r="J6" s="31" t="s">
        <v>612</v>
      </c>
      <c r="K6" s="31">
        <v>444.4</v>
      </c>
      <c r="M6" s="8" t="s">
        <v>613</v>
      </c>
      <c r="N6" s="31"/>
      <c r="O6" s="31" t="s">
        <v>614</v>
      </c>
      <c r="Q6" s="188">
        <f>N7/Q4</f>
        <v>55.274999999999999</v>
      </c>
      <c r="R6" s="8" t="s">
        <v>615</v>
      </c>
      <c r="S6" s="8"/>
      <c r="T6" s="8"/>
      <c r="U6" s="8"/>
      <c r="V6" s="8"/>
    </row>
    <row r="7" spans="1:22" x14ac:dyDescent="0.25">
      <c r="A7" s="31" t="s">
        <v>616</v>
      </c>
      <c r="B7" s="31">
        <v>320</v>
      </c>
      <c r="C7" s="8"/>
      <c r="D7" s="31" t="s">
        <v>617</v>
      </c>
      <c r="E7" s="31">
        <v>200</v>
      </c>
      <c r="F7" s="8"/>
      <c r="G7" s="31" t="s">
        <v>490</v>
      </c>
      <c r="H7" s="31">
        <v>100</v>
      </c>
      <c r="I7" s="8"/>
      <c r="J7" s="31" t="s">
        <v>618</v>
      </c>
      <c r="K7" s="31">
        <v>133</v>
      </c>
      <c r="M7" s="8" t="s">
        <v>619</v>
      </c>
      <c r="N7" s="31">
        <v>7370</v>
      </c>
      <c r="O7" s="31" t="s">
        <v>620</v>
      </c>
    </row>
    <row r="8" spans="1:22" x14ac:dyDescent="0.25">
      <c r="A8" s="31" t="s">
        <v>621</v>
      </c>
      <c r="B8" s="31">
        <v>267</v>
      </c>
      <c r="C8" s="8"/>
      <c r="D8" s="31" t="s">
        <v>507</v>
      </c>
      <c r="E8" s="31">
        <v>167</v>
      </c>
      <c r="F8" s="8"/>
      <c r="G8" s="31" t="s">
        <v>622</v>
      </c>
      <c r="H8" s="31">
        <v>88.9</v>
      </c>
      <c r="I8" s="8"/>
      <c r="J8" s="31" t="s">
        <v>623</v>
      </c>
      <c r="K8" s="31">
        <v>100</v>
      </c>
    </row>
    <row r="9" spans="1:22" x14ac:dyDescent="0.25">
      <c r="A9" s="31" t="s">
        <v>511</v>
      </c>
      <c r="B9" s="31">
        <v>200</v>
      </c>
      <c r="C9" s="8"/>
      <c r="D9" s="31" t="s">
        <v>624</v>
      </c>
      <c r="E9" s="31">
        <v>125</v>
      </c>
      <c r="F9" s="8"/>
      <c r="G9" s="31" t="s">
        <v>625</v>
      </c>
      <c r="H9" s="31">
        <v>80</v>
      </c>
      <c r="I9" s="8"/>
      <c r="J9" s="31" t="s">
        <v>626</v>
      </c>
      <c r="K9" s="31">
        <v>80</v>
      </c>
    </row>
    <row r="10" spans="1:22" x14ac:dyDescent="0.25">
      <c r="A10" s="31" t="s">
        <v>627</v>
      </c>
      <c r="B10" s="31">
        <v>178</v>
      </c>
      <c r="C10" s="8"/>
      <c r="D10" s="31" t="s">
        <v>628</v>
      </c>
      <c r="E10" s="31">
        <v>111</v>
      </c>
      <c r="F10" s="8"/>
      <c r="G10" s="31" t="s">
        <v>493</v>
      </c>
      <c r="H10" s="31">
        <v>66.7</v>
      </c>
      <c r="I10" s="8"/>
      <c r="J10" s="31" t="s">
        <v>629</v>
      </c>
      <c r="K10" s="31">
        <v>66.7</v>
      </c>
    </row>
    <row r="11" spans="1:22" x14ac:dyDescent="0.25">
      <c r="A11" s="31" t="s">
        <v>630</v>
      </c>
      <c r="B11" s="31">
        <v>160</v>
      </c>
      <c r="C11" s="8"/>
      <c r="D11" s="31" t="s">
        <v>491</v>
      </c>
      <c r="E11" s="31">
        <v>100</v>
      </c>
      <c r="F11" s="8"/>
      <c r="G11" s="31" t="s">
        <v>631</v>
      </c>
      <c r="H11" s="31">
        <v>133</v>
      </c>
      <c r="I11" s="8"/>
      <c r="J11" s="31" t="s">
        <v>632</v>
      </c>
      <c r="K11" s="31">
        <v>50</v>
      </c>
    </row>
    <row r="12" spans="1:22" x14ac:dyDescent="0.25">
      <c r="A12" s="31" t="s">
        <v>633</v>
      </c>
      <c r="B12" s="31">
        <v>133</v>
      </c>
      <c r="C12" s="8"/>
      <c r="D12" s="31" t="s">
        <v>492</v>
      </c>
      <c r="E12" s="31">
        <v>83</v>
      </c>
      <c r="F12" s="8"/>
      <c r="G12" s="31" t="s">
        <v>634</v>
      </c>
      <c r="H12" s="31">
        <v>107</v>
      </c>
      <c r="I12" s="8"/>
      <c r="J12" s="31" t="s">
        <v>635</v>
      </c>
      <c r="K12" s="31">
        <v>44.4</v>
      </c>
    </row>
    <row r="13" spans="1:22" x14ac:dyDescent="0.25">
      <c r="A13" s="31" t="s">
        <v>636</v>
      </c>
      <c r="B13" s="31">
        <v>333</v>
      </c>
      <c r="C13" s="8"/>
      <c r="D13" s="31" t="s">
        <v>499</v>
      </c>
      <c r="E13" s="31">
        <v>400</v>
      </c>
      <c r="F13" s="8"/>
      <c r="G13" s="31" t="s">
        <v>637</v>
      </c>
      <c r="H13" s="31">
        <v>88.9</v>
      </c>
      <c r="I13" s="8"/>
      <c r="J13" s="31" t="s">
        <v>638</v>
      </c>
      <c r="K13" s="31">
        <v>40</v>
      </c>
    </row>
    <row r="14" spans="1:22" x14ac:dyDescent="0.25">
      <c r="A14" s="31" t="s">
        <v>639</v>
      </c>
      <c r="B14" s="31">
        <v>222</v>
      </c>
      <c r="C14" s="8"/>
      <c r="D14" s="31" t="s">
        <v>640</v>
      </c>
      <c r="E14" s="31">
        <v>267</v>
      </c>
      <c r="F14" s="8"/>
      <c r="G14" s="31" t="s">
        <v>641</v>
      </c>
      <c r="H14" s="31">
        <v>66.7</v>
      </c>
      <c r="I14" s="8"/>
      <c r="J14" s="31" t="s">
        <v>642</v>
      </c>
      <c r="K14" s="31">
        <v>33.299999999999997</v>
      </c>
    </row>
    <row r="22" spans="1:1" x14ac:dyDescent="0.25">
      <c r="A22" s="70"/>
    </row>
    <row r="23" spans="1:1" x14ac:dyDescent="0.25">
      <c r="A23" s="70"/>
    </row>
  </sheetData>
  <mergeCells count="3">
    <mergeCell ref="A1:K1"/>
    <mergeCell ref="Q1:U1"/>
    <mergeCell ref="M1:O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1C84-18F9-4BBD-8956-983CDE948D6E}">
  <sheetPr codeName="Sheet30">
    <tabColor rgb="FFFF0000"/>
  </sheetPr>
  <dimension ref="A1:K121"/>
  <sheetViews>
    <sheetView topLeftCell="A55" workbookViewId="0">
      <selection activeCell="N75" sqref="N75"/>
    </sheetView>
  </sheetViews>
  <sheetFormatPr defaultRowHeight="15" x14ac:dyDescent="0.25"/>
  <cols>
    <col min="1" max="1" width="59.140625" bestFit="1" customWidth="1"/>
    <col min="2" max="2" width="14.5703125" bestFit="1" customWidth="1"/>
    <col min="3" max="6" width="10.5703125" customWidth="1"/>
    <col min="7" max="7" width="15.42578125" customWidth="1"/>
    <col min="8" max="8" width="15.42578125" bestFit="1" customWidth="1"/>
    <col min="9" max="9" width="1.42578125" customWidth="1"/>
    <col min="10" max="10" width="9.5703125" bestFit="1" customWidth="1"/>
    <col min="11" max="11" width="11.5703125" bestFit="1" customWidth="1"/>
  </cols>
  <sheetData>
    <row r="1" spans="1:11" ht="21" x14ac:dyDescent="0.35">
      <c r="A1" s="328" t="s">
        <v>643</v>
      </c>
      <c r="B1" s="328"/>
      <c r="C1" s="328"/>
      <c r="D1" s="328"/>
      <c r="E1" s="328"/>
      <c r="F1" s="328"/>
      <c r="G1" s="328"/>
      <c r="H1" s="328"/>
      <c r="I1" s="195"/>
    </row>
    <row r="2" spans="1:11" ht="6" customHeight="1" x14ac:dyDescent="0.35">
      <c r="A2" s="195"/>
      <c r="B2" s="195"/>
      <c r="C2" s="195"/>
      <c r="D2" s="195"/>
      <c r="E2" s="195"/>
      <c r="F2" s="195"/>
      <c r="G2" s="195"/>
      <c r="H2" s="195"/>
      <c r="I2" s="195"/>
    </row>
    <row r="3" spans="1:11" x14ac:dyDescent="0.25">
      <c r="A3" s="153" t="s">
        <v>644</v>
      </c>
      <c r="B3" s="153" t="s">
        <v>645</v>
      </c>
      <c r="C3" s="153" t="s">
        <v>552</v>
      </c>
      <c r="D3" s="153" t="s">
        <v>562</v>
      </c>
      <c r="E3" s="153" t="s">
        <v>646</v>
      </c>
      <c r="F3" s="153" t="s">
        <v>647</v>
      </c>
      <c r="G3" s="153" t="s">
        <v>648</v>
      </c>
      <c r="H3" s="153" t="s">
        <v>649</v>
      </c>
      <c r="I3" s="191"/>
    </row>
    <row r="4" spans="1:11" x14ac:dyDescent="0.25">
      <c r="A4" s="192">
        <v>15</v>
      </c>
      <c r="B4" s="31">
        <v>30</v>
      </c>
      <c r="C4" s="31">
        <v>30</v>
      </c>
      <c r="D4" s="31">
        <v>15</v>
      </c>
      <c r="E4" s="31">
        <v>0</v>
      </c>
      <c r="F4" s="31">
        <v>30</v>
      </c>
      <c r="G4" s="200">
        <f>SUM(B4:F4)/60</f>
        <v>1.75</v>
      </c>
      <c r="H4" s="200">
        <f>SUM(B4:F4)/A4</f>
        <v>7</v>
      </c>
      <c r="I4" s="197"/>
    </row>
    <row r="7" spans="1:11" ht="21" x14ac:dyDescent="0.35">
      <c r="A7" s="327" t="s">
        <v>650</v>
      </c>
      <c r="B7" s="327"/>
      <c r="C7" s="327"/>
      <c r="D7" s="327"/>
      <c r="E7" s="327"/>
      <c r="F7" s="327"/>
      <c r="G7" s="327"/>
      <c r="H7" s="327"/>
      <c r="I7" s="195"/>
      <c r="J7" s="327" t="s">
        <v>22</v>
      </c>
      <c r="K7" s="327"/>
    </row>
    <row r="8" spans="1:11" ht="6" customHeight="1" x14ac:dyDescent="0.35">
      <c r="A8" s="195"/>
      <c r="B8" s="195"/>
      <c r="C8" s="195"/>
      <c r="D8" s="195"/>
      <c r="E8" s="195"/>
      <c r="F8" s="195"/>
      <c r="G8" s="195"/>
      <c r="H8" s="195"/>
      <c r="I8" s="195"/>
      <c r="J8" s="196"/>
      <c r="K8" s="196"/>
    </row>
    <row r="9" spans="1:11" x14ac:dyDescent="0.25">
      <c r="A9" s="153" t="s">
        <v>651</v>
      </c>
      <c r="B9" s="153" t="s">
        <v>645</v>
      </c>
      <c r="C9" s="153" t="s">
        <v>552</v>
      </c>
      <c r="D9" s="153" t="s">
        <v>562</v>
      </c>
      <c r="E9" s="153" t="s">
        <v>646</v>
      </c>
      <c r="F9" s="153" t="s">
        <v>647</v>
      </c>
      <c r="G9" s="153" t="s">
        <v>648</v>
      </c>
      <c r="H9" s="153" t="s">
        <v>649</v>
      </c>
      <c r="I9" s="191"/>
      <c r="J9" s="153" t="s">
        <v>652</v>
      </c>
      <c r="K9" s="153" t="s">
        <v>648</v>
      </c>
    </row>
    <row r="10" spans="1:11" x14ac:dyDescent="0.25">
      <c r="A10" s="8" t="s">
        <v>653</v>
      </c>
      <c r="B10" s="31">
        <v>30</v>
      </c>
      <c r="C10" s="31">
        <v>30</v>
      </c>
      <c r="D10" s="31">
        <v>15</v>
      </c>
      <c r="E10" s="31">
        <v>60</v>
      </c>
      <c r="F10" s="31">
        <v>20</v>
      </c>
      <c r="G10" s="200">
        <f>SUM(B10:F10)/60</f>
        <v>2.5833333333333335</v>
      </c>
      <c r="H10" s="200">
        <f>SUM(B10:F10)/15</f>
        <v>10.333333333333334</v>
      </c>
      <c r="I10" s="197"/>
      <c r="J10" s="31"/>
      <c r="K10" s="200">
        <f>(H10*J10)/60</f>
        <v>0</v>
      </c>
    </row>
    <row r="11" spans="1:11" ht="14.1" customHeight="1" x14ac:dyDescent="0.25">
      <c r="A11" s="8" t="s">
        <v>654</v>
      </c>
      <c r="B11" s="31">
        <v>80</v>
      </c>
      <c r="C11" s="31">
        <v>30</v>
      </c>
      <c r="D11" s="31">
        <v>15</v>
      </c>
      <c r="E11" s="31">
        <v>105</v>
      </c>
      <c r="F11" s="31">
        <v>30</v>
      </c>
      <c r="G11" s="200">
        <f>SUM(B11:F11)/60</f>
        <v>4.333333333333333</v>
      </c>
      <c r="H11" s="200">
        <f>SUM(B11:F11)/15</f>
        <v>17.333333333333332</v>
      </c>
      <c r="I11" s="197"/>
      <c r="J11" s="31"/>
      <c r="K11" s="200">
        <f>(H11*J11)/60</f>
        <v>0</v>
      </c>
    </row>
    <row r="12" spans="1:11" x14ac:dyDescent="0.25">
      <c r="A12" s="8" t="s">
        <v>655</v>
      </c>
      <c r="B12" s="31">
        <v>80</v>
      </c>
      <c r="C12" s="31">
        <v>30</v>
      </c>
      <c r="D12" s="31">
        <v>15</v>
      </c>
      <c r="E12" s="31">
        <v>120</v>
      </c>
      <c r="F12" s="31">
        <v>30</v>
      </c>
      <c r="G12" s="200">
        <f t="shared" ref="G12:G26" si="0">SUM(B12:F12)/60</f>
        <v>4.583333333333333</v>
      </c>
      <c r="H12" s="200">
        <f t="shared" ref="H12:H26" si="1">SUM(B12:F12)/15</f>
        <v>18.333333333333332</v>
      </c>
      <c r="I12" s="197"/>
      <c r="J12" s="31"/>
      <c r="K12" s="200">
        <f t="shared" ref="K12:K14" si="2">(H12*J12)/60</f>
        <v>0</v>
      </c>
    </row>
    <row r="13" spans="1:11" x14ac:dyDescent="0.25">
      <c r="A13" s="8" t="s">
        <v>656</v>
      </c>
      <c r="B13" s="31">
        <v>80</v>
      </c>
      <c r="C13" s="31">
        <v>30</v>
      </c>
      <c r="D13" s="31">
        <v>15</v>
      </c>
      <c r="E13" s="31">
        <v>150</v>
      </c>
      <c r="F13" s="31">
        <v>30</v>
      </c>
      <c r="G13" s="200">
        <f t="shared" si="0"/>
        <v>5.083333333333333</v>
      </c>
      <c r="H13" s="200">
        <f t="shared" si="1"/>
        <v>20.333333333333332</v>
      </c>
      <c r="I13" s="197"/>
      <c r="J13" s="31"/>
      <c r="K13" s="200">
        <f t="shared" si="2"/>
        <v>0</v>
      </c>
    </row>
    <row r="14" spans="1:11" x14ac:dyDescent="0.25">
      <c r="A14" s="8" t="s">
        <v>657</v>
      </c>
      <c r="B14" s="31">
        <v>80</v>
      </c>
      <c r="C14" s="31">
        <v>30</v>
      </c>
      <c r="D14" s="31">
        <v>15</v>
      </c>
      <c r="E14" s="31">
        <v>180</v>
      </c>
      <c r="F14" s="31">
        <v>30</v>
      </c>
      <c r="G14" s="200">
        <f t="shared" si="0"/>
        <v>5.583333333333333</v>
      </c>
      <c r="H14" s="200">
        <f t="shared" si="1"/>
        <v>22.333333333333332</v>
      </c>
      <c r="I14" s="197"/>
      <c r="J14" s="31"/>
      <c r="K14" s="200">
        <f t="shared" si="2"/>
        <v>0</v>
      </c>
    </row>
    <row r="15" spans="1:11" ht="7.35" customHeight="1" x14ac:dyDescent="0.25">
      <c r="A15" s="77"/>
      <c r="B15" s="77"/>
      <c r="C15" s="77"/>
      <c r="D15" s="77"/>
      <c r="E15" s="77"/>
      <c r="F15" s="77"/>
      <c r="G15" s="201"/>
      <c r="H15" s="201"/>
      <c r="I15" s="197"/>
      <c r="J15" s="77"/>
      <c r="K15" s="77"/>
    </row>
    <row r="16" spans="1:11" x14ac:dyDescent="0.25">
      <c r="A16" s="8" t="s">
        <v>658</v>
      </c>
      <c r="B16" s="31">
        <v>30</v>
      </c>
      <c r="C16" s="31">
        <v>45</v>
      </c>
      <c r="D16" s="31">
        <v>15</v>
      </c>
      <c r="E16" s="31">
        <v>90</v>
      </c>
      <c r="F16" s="31">
        <v>20</v>
      </c>
      <c r="G16" s="200">
        <f t="shared" si="0"/>
        <v>3.3333333333333335</v>
      </c>
      <c r="H16" s="200">
        <f t="shared" si="1"/>
        <v>13.333333333333334</v>
      </c>
      <c r="I16" s="197"/>
      <c r="J16" s="31"/>
      <c r="K16" s="200">
        <f>(H16*J16)/60</f>
        <v>0</v>
      </c>
    </row>
    <row r="17" spans="1:11" x14ac:dyDescent="0.25">
      <c r="A17" s="8" t="s">
        <v>659</v>
      </c>
      <c r="B17" s="31">
        <v>80</v>
      </c>
      <c r="C17" s="31">
        <v>45</v>
      </c>
      <c r="D17" s="31">
        <v>15</v>
      </c>
      <c r="E17" s="31">
        <v>135</v>
      </c>
      <c r="F17" s="31">
        <v>30</v>
      </c>
      <c r="G17" s="200">
        <f t="shared" ref="G17" si="3">SUM(B17:F17)/60</f>
        <v>5.083333333333333</v>
      </c>
      <c r="H17" s="200">
        <f t="shared" ref="H17" si="4">SUM(B17:F17)/15</f>
        <v>20.333333333333332</v>
      </c>
      <c r="I17" s="197"/>
      <c r="J17" s="31"/>
      <c r="K17" s="200">
        <f>(H17*J17)/60</f>
        <v>0</v>
      </c>
    </row>
    <row r="18" spans="1:11" x14ac:dyDescent="0.25">
      <c r="A18" s="8" t="s">
        <v>660</v>
      </c>
      <c r="B18" s="31">
        <v>80</v>
      </c>
      <c r="C18" s="31">
        <v>45</v>
      </c>
      <c r="D18" s="31">
        <v>15</v>
      </c>
      <c r="E18" s="31">
        <v>150</v>
      </c>
      <c r="F18" s="31">
        <v>30</v>
      </c>
      <c r="G18" s="200">
        <f t="shared" si="0"/>
        <v>5.333333333333333</v>
      </c>
      <c r="H18" s="200">
        <f t="shared" si="1"/>
        <v>21.333333333333332</v>
      </c>
      <c r="I18" s="197"/>
      <c r="J18" s="31"/>
      <c r="K18" s="200">
        <f t="shared" ref="K18:K20" si="5">(H18*J18)/60</f>
        <v>0</v>
      </c>
    </row>
    <row r="19" spans="1:11" x14ac:dyDescent="0.25">
      <c r="A19" s="8" t="s">
        <v>661</v>
      </c>
      <c r="B19" s="31">
        <v>80</v>
      </c>
      <c r="C19" s="31">
        <v>45</v>
      </c>
      <c r="D19" s="31">
        <v>15</v>
      </c>
      <c r="E19" s="31">
        <v>180</v>
      </c>
      <c r="F19" s="31">
        <v>30</v>
      </c>
      <c r="G19" s="200">
        <f t="shared" si="0"/>
        <v>5.833333333333333</v>
      </c>
      <c r="H19" s="200">
        <f t="shared" si="1"/>
        <v>23.333333333333332</v>
      </c>
      <c r="I19" s="197"/>
      <c r="J19" s="31"/>
      <c r="K19" s="200">
        <f t="shared" si="5"/>
        <v>0</v>
      </c>
    </row>
    <row r="20" spans="1:11" x14ac:dyDescent="0.25">
      <c r="A20" s="8" t="s">
        <v>662</v>
      </c>
      <c r="B20" s="31">
        <v>80</v>
      </c>
      <c r="C20" s="31">
        <v>45</v>
      </c>
      <c r="D20" s="31">
        <v>15</v>
      </c>
      <c r="E20" s="31">
        <v>210</v>
      </c>
      <c r="F20" s="31">
        <v>30</v>
      </c>
      <c r="G20" s="200">
        <f t="shared" si="0"/>
        <v>6.333333333333333</v>
      </c>
      <c r="H20" s="200">
        <f t="shared" si="1"/>
        <v>25.333333333333332</v>
      </c>
      <c r="I20" s="197"/>
      <c r="J20" s="31"/>
      <c r="K20" s="200">
        <f t="shared" si="5"/>
        <v>0</v>
      </c>
    </row>
    <row r="21" spans="1:11" ht="7.35" customHeight="1" x14ac:dyDescent="0.25">
      <c r="A21" s="77"/>
      <c r="B21" s="77"/>
      <c r="C21" s="77"/>
      <c r="D21" s="77"/>
      <c r="E21" s="77"/>
      <c r="F21" s="77"/>
      <c r="G21" s="201"/>
      <c r="H21" s="201"/>
      <c r="I21" s="197"/>
      <c r="J21" s="77"/>
      <c r="K21" s="77"/>
    </row>
    <row r="22" spans="1:11" x14ac:dyDescent="0.25">
      <c r="A22" s="8" t="s">
        <v>663</v>
      </c>
      <c r="B22" s="31">
        <v>40</v>
      </c>
      <c r="C22" s="31">
        <v>75</v>
      </c>
      <c r="D22" s="31">
        <v>15</v>
      </c>
      <c r="E22" s="31">
        <v>180</v>
      </c>
      <c r="F22" s="31">
        <v>30</v>
      </c>
      <c r="G22" s="200">
        <f t="shared" si="0"/>
        <v>5.666666666666667</v>
      </c>
      <c r="H22" s="200">
        <f t="shared" si="1"/>
        <v>22.666666666666668</v>
      </c>
      <c r="I22" s="197"/>
      <c r="J22" s="31"/>
      <c r="K22" s="200">
        <f>(H22*J22)/60</f>
        <v>0</v>
      </c>
    </row>
    <row r="23" spans="1:11" x14ac:dyDescent="0.25">
      <c r="A23" s="8" t="s">
        <v>664</v>
      </c>
      <c r="B23" s="31">
        <v>90</v>
      </c>
      <c r="C23" s="31">
        <v>75</v>
      </c>
      <c r="D23" s="31">
        <v>15</v>
      </c>
      <c r="E23" s="31">
        <v>225</v>
      </c>
      <c r="F23" s="31">
        <v>40</v>
      </c>
      <c r="G23" s="200">
        <f t="shared" si="0"/>
        <v>7.416666666666667</v>
      </c>
      <c r="H23" s="200">
        <f t="shared" si="1"/>
        <v>29.666666666666668</v>
      </c>
      <c r="I23" s="197"/>
      <c r="J23" s="31"/>
      <c r="K23" s="200">
        <f>(H23*J23)/60</f>
        <v>0</v>
      </c>
    </row>
    <row r="24" spans="1:11" x14ac:dyDescent="0.25">
      <c r="A24" s="8" t="s">
        <v>665</v>
      </c>
      <c r="B24" s="31">
        <v>90</v>
      </c>
      <c r="C24" s="31">
        <v>75</v>
      </c>
      <c r="D24" s="31">
        <v>15</v>
      </c>
      <c r="E24" s="31">
        <v>240</v>
      </c>
      <c r="F24" s="31">
        <v>40</v>
      </c>
      <c r="G24" s="200">
        <f t="shared" si="0"/>
        <v>7.666666666666667</v>
      </c>
      <c r="H24" s="200">
        <f t="shared" si="1"/>
        <v>30.666666666666668</v>
      </c>
      <c r="I24" s="197"/>
      <c r="J24" s="31"/>
      <c r="K24" s="200">
        <f t="shared" ref="K24:K26" si="6">(H24*J24)/60</f>
        <v>0</v>
      </c>
    </row>
    <row r="25" spans="1:11" x14ac:dyDescent="0.25">
      <c r="A25" s="8" t="s">
        <v>666</v>
      </c>
      <c r="B25" s="31">
        <v>90</v>
      </c>
      <c r="C25" s="31">
        <v>75</v>
      </c>
      <c r="D25" s="31">
        <v>15</v>
      </c>
      <c r="E25" s="31">
        <v>270</v>
      </c>
      <c r="F25" s="31">
        <v>40</v>
      </c>
      <c r="G25" s="200">
        <f t="shared" si="0"/>
        <v>8.1666666666666661</v>
      </c>
      <c r="H25" s="200">
        <f t="shared" si="1"/>
        <v>32.666666666666664</v>
      </c>
      <c r="I25" s="197"/>
      <c r="J25" s="31"/>
      <c r="K25" s="200">
        <f t="shared" si="6"/>
        <v>0</v>
      </c>
    </row>
    <row r="26" spans="1:11" x14ac:dyDescent="0.25">
      <c r="A26" s="8" t="s">
        <v>667</v>
      </c>
      <c r="B26" s="31">
        <v>90</v>
      </c>
      <c r="C26" s="31">
        <v>75</v>
      </c>
      <c r="D26" s="31">
        <v>15</v>
      </c>
      <c r="E26" s="31">
        <v>300</v>
      </c>
      <c r="F26" s="31">
        <v>40</v>
      </c>
      <c r="G26" s="200">
        <f t="shared" si="0"/>
        <v>8.6666666666666661</v>
      </c>
      <c r="H26" s="200">
        <f t="shared" si="1"/>
        <v>34.666666666666664</v>
      </c>
      <c r="I26" s="197"/>
      <c r="J26" s="31"/>
      <c r="K26" s="200">
        <f t="shared" si="6"/>
        <v>0</v>
      </c>
    </row>
    <row r="29" spans="1:11" ht="21" x14ac:dyDescent="0.35">
      <c r="A29" s="326" t="s">
        <v>668</v>
      </c>
      <c r="B29" s="326"/>
      <c r="C29" s="326"/>
      <c r="D29" s="326"/>
      <c r="E29" s="326"/>
      <c r="F29" s="326"/>
      <c r="G29" s="326"/>
      <c r="H29" s="326"/>
      <c r="I29" s="195" t="s">
        <v>669</v>
      </c>
      <c r="J29" s="327" t="s">
        <v>22</v>
      </c>
      <c r="K29" s="327"/>
    </row>
    <row r="30" spans="1:11" ht="6" customHeight="1" x14ac:dyDescent="0.35">
      <c r="A30" s="195"/>
      <c r="B30" s="195"/>
      <c r="C30" s="195"/>
      <c r="D30" s="195"/>
      <c r="E30" s="195"/>
      <c r="F30" s="195"/>
      <c r="G30" s="195"/>
      <c r="H30" s="195"/>
      <c r="I30" s="195"/>
      <c r="J30" s="196"/>
      <c r="K30" s="196"/>
    </row>
    <row r="31" spans="1:11" x14ac:dyDescent="0.25">
      <c r="A31" s="153" t="s">
        <v>651</v>
      </c>
      <c r="B31" s="153" t="s">
        <v>645</v>
      </c>
      <c r="C31" s="153" t="s">
        <v>552</v>
      </c>
      <c r="D31" s="153" t="s">
        <v>562</v>
      </c>
      <c r="E31" s="153" t="s">
        <v>646</v>
      </c>
      <c r="F31" s="153" t="s">
        <v>647</v>
      </c>
      <c r="G31" s="153" t="s">
        <v>648</v>
      </c>
      <c r="H31" s="153" t="s">
        <v>649</v>
      </c>
      <c r="I31" s="191"/>
      <c r="J31" s="153" t="s">
        <v>652</v>
      </c>
      <c r="K31" s="153" t="s">
        <v>648</v>
      </c>
    </row>
    <row r="32" spans="1:11" x14ac:dyDescent="0.25">
      <c r="A32" s="8" t="s">
        <v>653</v>
      </c>
      <c r="B32" s="31">
        <v>30</v>
      </c>
      <c r="C32" s="31">
        <v>150</v>
      </c>
      <c r="D32" s="31">
        <v>40</v>
      </c>
      <c r="E32" s="31">
        <v>75</v>
      </c>
      <c r="F32" s="31">
        <v>20</v>
      </c>
      <c r="G32" s="200">
        <f>SUM(B32:F32)/60</f>
        <v>5.25</v>
      </c>
      <c r="H32" s="200">
        <f>SUM(B32:F32)/15</f>
        <v>21</v>
      </c>
      <c r="I32" s="197"/>
      <c r="J32" s="31"/>
      <c r="K32" s="200">
        <f>(H32*J32)/60</f>
        <v>0</v>
      </c>
    </row>
    <row r="33" spans="1:11" x14ac:dyDescent="0.25">
      <c r="A33" s="8" t="s">
        <v>654</v>
      </c>
      <c r="B33" s="31">
        <v>80</v>
      </c>
      <c r="C33" s="31">
        <v>180</v>
      </c>
      <c r="D33" s="31">
        <v>40</v>
      </c>
      <c r="E33" s="31">
        <v>135</v>
      </c>
      <c r="F33" s="31">
        <v>30</v>
      </c>
      <c r="G33" s="200">
        <f>SUM(B33:F33)/60</f>
        <v>7.75</v>
      </c>
      <c r="H33" s="200">
        <f>SUM(B33:F33)/15</f>
        <v>31</v>
      </c>
      <c r="I33" s="197"/>
      <c r="J33" s="31"/>
      <c r="K33" s="200">
        <f>(H33*J33)/60</f>
        <v>0</v>
      </c>
    </row>
    <row r="34" spans="1:11" x14ac:dyDescent="0.25">
      <c r="A34" s="8" t="s">
        <v>655</v>
      </c>
      <c r="B34" s="31">
        <v>80</v>
      </c>
      <c r="C34" s="31">
        <v>210</v>
      </c>
      <c r="D34" s="31">
        <v>40</v>
      </c>
      <c r="E34" s="31">
        <v>165</v>
      </c>
      <c r="F34" s="31">
        <v>30</v>
      </c>
      <c r="G34" s="200">
        <f t="shared" ref="G34:G35" si="7">SUM(B34:F34)/60</f>
        <v>8.75</v>
      </c>
      <c r="H34" s="200">
        <f t="shared" ref="H34:H35" si="8">SUM(B34:F34)/15</f>
        <v>35</v>
      </c>
      <c r="I34" s="197"/>
      <c r="J34" s="31"/>
      <c r="K34" s="200">
        <f>(H34*J34)/60</f>
        <v>0</v>
      </c>
    </row>
    <row r="35" spans="1:11" x14ac:dyDescent="0.25">
      <c r="A35" s="8" t="s">
        <v>657</v>
      </c>
      <c r="B35" s="31">
        <v>80</v>
      </c>
      <c r="C35" s="31">
        <v>210</v>
      </c>
      <c r="D35" s="31">
        <v>40</v>
      </c>
      <c r="E35" s="31">
        <v>225</v>
      </c>
      <c r="F35" s="31">
        <v>30</v>
      </c>
      <c r="G35" s="200">
        <f t="shared" si="7"/>
        <v>9.75</v>
      </c>
      <c r="H35" s="200">
        <f t="shared" si="8"/>
        <v>39</v>
      </c>
      <c r="I35" s="197"/>
      <c r="J35" s="31"/>
      <c r="K35" s="200">
        <f t="shared" ref="K35" si="9">(H35*J35)/60</f>
        <v>0</v>
      </c>
    </row>
    <row r="36" spans="1:11" ht="7.35" customHeight="1" x14ac:dyDescent="0.25">
      <c r="A36" s="77"/>
      <c r="B36" s="77"/>
      <c r="C36" s="77"/>
      <c r="D36" s="77"/>
      <c r="E36" s="77"/>
      <c r="F36" s="77"/>
      <c r="G36" s="201"/>
      <c r="H36" s="201"/>
      <c r="I36" s="197"/>
      <c r="J36" s="77"/>
      <c r="K36" s="77"/>
    </row>
    <row r="37" spans="1:11" x14ac:dyDescent="0.25">
      <c r="A37" s="8" t="s">
        <v>658</v>
      </c>
      <c r="B37" s="31">
        <v>30</v>
      </c>
      <c r="C37" s="31">
        <v>165</v>
      </c>
      <c r="D37" s="31">
        <v>40</v>
      </c>
      <c r="E37" s="31">
        <v>105</v>
      </c>
      <c r="F37" s="31">
        <v>20</v>
      </c>
      <c r="G37" s="200">
        <f t="shared" ref="G37:G40" si="10">SUM(B37:F37)/60</f>
        <v>6</v>
      </c>
      <c r="H37" s="200">
        <f t="shared" ref="H37:H40" si="11">SUM(B37:F37)/15</f>
        <v>24</v>
      </c>
      <c r="I37" s="197"/>
      <c r="J37" s="31"/>
      <c r="K37" s="200">
        <f>(H37*J37)/60</f>
        <v>0</v>
      </c>
    </row>
    <row r="38" spans="1:11" x14ac:dyDescent="0.25">
      <c r="A38" s="8" t="s">
        <v>659</v>
      </c>
      <c r="B38" s="31">
        <v>80</v>
      </c>
      <c r="C38" s="31">
        <v>195</v>
      </c>
      <c r="D38" s="31">
        <v>40</v>
      </c>
      <c r="E38" s="31">
        <v>165</v>
      </c>
      <c r="F38" s="31">
        <v>30</v>
      </c>
      <c r="G38" s="200">
        <f>SUM(B38:F38)/60</f>
        <v>8.5</v>
      </c>
      <c r="H38" s="200">
        <f>SUM(B38:F38)/15</f>
        <v>34</v>
      </c>
      <c r="I38" s="197"/>
      <c r="J38" s="31"/>
      <c r="K38" s="200">
        <f>(H38*J38)/60</f>
        <v>0</v>
      </c>
    </row>
    <row r="39" spans="1:11" x14ac:dyDescent="0.25">
      <c r="A39" s="8" t="s">
        <v>660</v>
      </c>
      <c r="B39" s="31">
        <v>80</v>
      </c>
      <c r="C39" s="31">
        <v>225</v>
      </c>
      <c r="D39" s="31">
        <v>40</v>
      </c>
      <c r="E39" s="31">
        <v>195</v>
      </c>
      <c r="F39" s="31">
        <v>30</v>
      </c>
      <c r="G39" s="200">
        <f t="shared" si="10"/>
        <v>9.5</v>
      </c>
      <c r="H39" s="200">
        <f t="shared" si="11"/>
        <v>38</v>
      </c>
      <c r="I39" s="197"/>
      <c r="J39" s="31"/>
      <c r="K39" s="200">
        <f>(H39*J39)/60</f>
        <v>0</v>
      </c>
    </row>
    <row r="40" spans="1:11" x14ac:dyDescent="0.25">
      <c r="A40" s="8" t="s">
        <v>662</v>
      </c>
      <c r="B40" s="31">
        <v>80</v>
      </c>
      <c r="C40" s="31">
        <v>225</v>
      </c>
      <c r="D40" s="31">
        <v>40</v>
      </c>
      <c r="E40" s="31">
        <v>255</v>
      </c>
      <c r="F40" s="31">
        <v>30</v>
      </c>
      <c r="G40" s="200">
        <f t="shared" si="10"/>
        <v>10.5</v>
      </c>
      <c r="H40" s="200">
        <f t="shared" si="11"/>
        <v>42</v>
      </c>
      <c r="I40" s="197"/>
      <c r="J40" s="31"/>
      <c r="K40" s="200">
        <f t="shared" ref="K40" si="12">(H40*J40)/60</f>
        <v>0</v>
      </c>
    </row>
    <row r="41" spans="1:11" ht="7.35" customHeight="1" x14ac:dyDescent="0.25">
      <c r="A41" s="77"/>
      <c r="B41" s="77"/>
      <c r="C41" s="77"/>
      <c r="D41" s="77"/>
      <c r="E41" s="77"/>
      <c r="F41" s="77"/>
      <c r="G41" s="201"/>
      <c r="H41" s="201"/>
      <c r="I41" s="197"/>
      <c r="J41" s="77"/>
      <c r="K41" s="77"/>
    </row>
    <row r="42" spans="1:11" x14ac:dyDescent="0.25">
      <c r="A42" s="8" t="s">
        <v>663</v>
      </c>
      <c r="B42" s="31">
        <v>40</v>
      </c>
      <c r="C42" s="31">
        <v>180</v>
      </c>
      <c r="D42" s="31">
        <v>40</v>
      </c>
      <c r="E42" s="31">
        <v>135</v>
      </c>
      <c r="F42" s="31">
        <v>30</v>
      </c>
      <c r="G42" s="200">
        <f t="shared" ref="G42:G45" si="13">SUM(B42:F42)/60</f>
        <v>7.083333333333333</v>
      </c>
      <c r="H42" s="200">
        <f t="shared" ref="H42:H45" si="14">SUM(B42:F42)/15</f>
        <v>28.333333333333332</v>
      </c>
      <c r="I42" s="197"/>
      <c r="J42" s="31"/>
      <c r="K42" s="200">
        <f>(H42*J42)/60</f>
        <v>0</v>
      </c>
    </row>
    <row r="43" spans="1:11" x14ac:dyDescent="0.25">
      <c r="A43" s="8" t="s">
        <v>670</v>
      </c>
      <c r="B43" s="31">
        <v>80</v>
      </c>
      <c r="C43" s="31">
        <v>210</v>
      </c>
      <c r="D43" s="31">
        <v>40</v>
      </c>
      <c r="E43" s="31">
        <v>195</v>
      </c>
      <c r="F43" s="31">
        <v>30</v>
      </c>
      <c r="G43" s="200">
        <f>SUM(B43:F43)/60</f>
        <v>9.25</v>
      </c>
      <c r="H43" s="200">
        <f>SUM(B43:F43)/15</f>
        <v>37</v>
      </c>
      <c r="I43" s="197"/>
      <c r="J43" s="31"/>
      <c r="K43" s="200">
        <f>(H43*J43)/60</f>
        <v>0</v>
      </c>
    </row>
    <row r="44" spans="1:11" x14ac:dyDescent="0.25">
      <c r="A44" s="8" t="s">
        <v>665</v>
      </c>
      <c r="B44" s="31">
        <v>90</v>
      </c>
      <c r="C44" s="31">
        <v>240</v>
      </c>
      <c r="D44" s="31">
        <v>40</v>
      </c>
      <c r="E44" s="31">
        <v>225</v>
      </c>
      <c r="F44" s="31">
        <v>40</v>
      </c>
      <c r="G44" s="200">
        <f t="shared" si="13"/>
        <v>10.583333333333334</v>
      </c>
      <c r="H44" s="200">
        <f t="shared" si="14"/>
        <v>42.333333333333336</v>
      </c>
      <c r="I44" s="197"/>
      <c r="J44" s="31"/>
      <c r="K44" s="200">
        <f>(H44*J44)/60</f>
        <v>0</v>
      </c>
    </row>
    <row r="45" spans="1:11" x14ac:dyDescent="0.25">
      <c r="A45" s="8" t="s">
        <v>667</v>
      </c>
      <c r="B45" s="31">
        <v>90</v>
      </c>
      <c r="C45" s="31">
        <v>240</v>
      </c>
      <c r="D45" s="31">
        <v>40</v>
      </c>
      <c r="E45" s="31">
        <v>285</v>
      </c>
      <c r="F45" s="31">
        <v>40</v>
      </c>
      <c r="G45" s="200">
        <f t="shared" si="13"/>
        <v>11.583333333333334</v>
      </c>
      <c r="H45" s="200">
        <f t="shared" si="14"/>
        <v>46.333333333333336</v>
      </c>
      <c r="I45" s="197"/>
      <c r="J45" s="31"/>
      <c r="K45" s="200">
        <f t="shared" ref="K45" si="15">(H45*J45)/60</f>
        <v>0</v>
      </c>
    </row>
    <row r="48" spans="1:11" ht="21" x14ac:dyDescent="0.25">
      <c r="A48" s="326" t="s">
        <v>671</v>
      </c>
      <c r="B48" s="326"/>
      <c r="C48" s="326"/>
      <c r="D48" s="326"/>
      <c r="E48" s="326"/>
      <c r="F48" s="326"/>
      <c r="G48" s="326"/>
      <c r="H48" s="326"/>
      <c r="I48" s="196"/>
      <c r="J48" s="326" t="s">
        <v>22</v>
      </c>
      <c r="K48" s="326"/>
    </row>
    <row r="49" spans="1:11" ht="6" customHeight="1" x14ac:dyDescent="0.25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</row>
    <row r="50" spans="1:11" x14ac:dyDescent="0.25">
      <c r="A50" s="153" t="s">
        <v>651</v>
      </c>
      <c r="B50" s="153" t="s">
        <v>645</v>
      </c>
      <c r="C50" s="153" t="s">
        <v>552</v>
      </c>
      <c r="D50" s="153" t="s">
        <v>562</v>
      </c>
      <c r="E50" s="153" t="s">
        <v>646</v>
      </c>
      <c r="F50" s="153" t="s">
        <v>647</v>
      </c>
      <c r="G50" s="153" t="s">
        <v>648</v>
      </c>
      <c r="H50" s="153" t="s">
        <v>649</v>
      </c>
      <c r="I50" s="191"/>
      <c r="J50" s="153" t="s">
        <v>652</v>
      </c>
      <c r="K50" s="153" t="s">
        <v>648</v>
      </c>
    </row>
    <row r="51" spans="1:11" x14ac:dyDescent="0.25">
      <c r="A51" s="8" t="s">
        <v>653</v>
      </c>
      <c r="B51" s="31">
        <v>30</v>
      </c>
      <c r="C51" s="31">
        <v>60</v>
      </c>
      <c r="D51" s="31">
        <v>25</v>
      </c>
      <c r="E51" s="31">
        <v>60</v>
      </c>
      <c r="F51" s="31">
        <v>20</v>
      </c>
      <c r="G51" s="200">
        <f>SUM(B51:F51)/60</f>
        <v>3.25</v>
      </c>
      <c r="H51" s="200">
        <f>SUM(B51:F51)/15</f>
        <v>13</v>
      </c>
      <c r="I51" s="197"/>
      <c r="J51" s="31"/>
      <c r="K51" s="200">
        <f>(H51*J51)/60</f>
        <v>0</v>
      </c>
    </row>
    <row r="52" spans="1:11" x14ac:dyDescent="0.25">
      <c r="A52" s="8" t="s">
        <v>654</v>
      </c>
      <c r="B52" s="31">
        <v>80</v>
      </c>
      <c r="C52" s="31">
        <v>90</v>
      </c>
      <c r="D52" s="31">
        <v>25</v>
      </c>
      <c r="E52" s="31">
        <v>120</v>
      </c>
      <c r="F52" s="31">
        <v>30</v>
      </c>
      <c r="G52" s="200">
        <f>SUM(B52:F52)/60</f>
        <v>5.75</v>
      </c>
      <c r="H52" s="200">
        <f>SUM(B52:F52)/15</f>
        <v>23</v>
      </c>
      <c r="I52" s="197"/>
      <c r="J52" s="31"/>
      <c r="K52" s="200">
        <f>(H52*J52)/60</f>
        <v>0</v>
      </c>
    </row>
    <row r="53" spans="1:11" x14ac:dyDescent="0.25">
      <c r="A53" s="8" t="s">
        <v>655</v>
      </c>
      <c r="B53" s="31">
        <v>80</v>
      </c>
      <c r="C53" s="31">
        <v>120</v>
      </c>
      <c r="D53" s="31">
        <v>25</v>
      </c>
      <c r="E53" s="31">
        <v>150</v>
      </c>
      <c r="F53" s="31">
        <v>30</v>
      </c>
      <c r="G53" s="200">
        <f t="shared" ref="G53:G55" si="16">SUM(B53:F53)/60</f>
        <v>6.75</v>
      </c>
      <c r="H53" s="200">
        <f t="shared" ref="H53:H55" si="17">SUM(B53:F53)/15</f>
        <v>27</v>
      </c>
      <c r="I53" s="197"/>
      <c r="J53" s="31"/>
      <c r="K53" s="200">
        <f t="shared" ref="K53:K55" si="18">(H53*J53)/60</f>
        <v>0</v>
      </c>
    </row>
    <row r="54" spans="1:11" x14ac:dyDescent="0.25">
      <c r="A54" s="8" t="s">
        <v>656</v>
      </c>
      <c r="B54" s="31">
        <v>80</v>
      </c>
      <c r="C54" s="31">
        <v>120</v>
      </c>
      <c r="D54" s="31">
        <v>25</v>
      </c>
      <c r="E54" s="31">
        <v>180</v>
      </c>
      <c r="F54" s="31">
        <v>30</v>
      </c>
      <c r="G54" s="200">
        <f t="shared" si="16"/>
        <v>7.25</v>
      </c>
      <c r="H54" s="200">
        <f t="shared" si="17"/>
        <v>29</v>
      </c>
      <c r="I54" s="197"/>
      <c r="J54" s="31"/>
      <c r="K54" s="200">
        <f t="shared" si="18"/>
        <v>0</v>
      </c>
    </row>
    <row r="55" spans="1:11" x14ac:dyDescent="0.25">
      <c r="A55" s="8" t="s">
        <v>657</v>
      </c>
      <c r="B55" s="31">
        <v>80</v>
      </c>
      <c r="C55" s="31">
        <v>180</v>
      </c>
      <c r="D55" s="31">
        <v>25</v>
      </c>
      <c r="E55" s="31">
        <v>210</v>
      </c>
      <c r="F55" s="31">
        <v>30</v>
      </c>
      <c r="G55" s="200">
        <f t="shared" si="16"/>
        <v>8.75</v>
      </c>
      <c r="H55" s="200">
        <f t="shared" si="17"/>
        <v>35</v>
      </c>
      <c r="I55" s="197"/>
      <c r="J55" s="31"/>
      <c r="K55" s="200">
        <f t="shared" si="18"/>
        <v>0</v>
      </c>
    </row>
    <row r="56" spans="1:11" ht="7.35" customHeight="1" x14ac:dyDescent="0.25">
      <c r="A56" s="77"/>
      <c r="B56" s="77"/>
      <c r="C56" s="77"/>
      <c r="D56" s="77"/>
      <c r="E56" s="77"/>
      <c r="F56" s="77"/>
      <c r="G56" s="201"/>
      <c r="H56" s="201"/>
      <c r="I56" s="197"/>
      <c r="J56" s="77"/>
      <c r="K56" s="77"/>
    </row>
    <row r="57" spans="1:11" x14ac:dyDescent="0.25">
      <c r="A57" s="8" t="s">
        <v>658</v>
      </c>
      <c r="B57" s="31">
        <v>30</v>
      </c>
      <c r="C57" s="31">
        <v>75</v>
      </c>
      <c r="D57" s="31">
        <v>25</v>
      </c>
      <c r="E57" s="31">
        <v>90</v>
      </c>
      <c r="F57" s="31">
        <v>20</v>
      </c>
      <c r="G57" s="200">
        <f t="shared" ref="G57:G61" si="19">SUM(B57:F57)/60</f>
        <v>4</v>
      </c>
      <c r="H57" s="200">
        <f t="shared" ref="H57:H61" si="20">SUM(B57:F57)/15</f>
        <v>16</v>
      </c>
      <c r="I57" s="197"/>
      <c r="J57" s="31"/>
      <c r="K57" s="200">
        <f>(H57*J57)/60</f>
        <v>0</v>
      </c>
    </row>
    <row r="58" spans="1:11" x14ac:dyDescent="0.25">
      <c r="A58" s="8" t="s">
        <v>659</v>
      </c>
      <c r="B58" s="31">
        <v>80</v>
      </c>
      <c r="C58" s="31">
        <v>105</v>
      </c>
      <c r="D58" s="31">
        <v>25</v>
      </c>
      <c r="E58" s="31">
        <v>150</v>
      </c>
      <c r="F58" s="31">
        <v>30</v>
      </c>
      <c r="G58" s="200">
        <f t="shared" si="19"/>
        <v>6.5</v>
      </c>
      <c r="H58" s="200">
        <f t="shared" si="20"/>
        <v>26</v>
      </c>
      <c r="I58" s="197"/>
      <c r="J58" s="31"/>
      <c r="K58" s="200">
        <f>(H58*J58)/60</f>
        <v>0</v>
      </c>
    </row>
    <row r="59" spans="1:11" x14ac:dyDescent="0.25">
      <c r="A59" s="8" t="s">
        <v>660</v>
      </c>
      <c r="B59" s="31">
        <v>80</v>
      </c>
      <c r="C59" s="31">
        <v>135</v>
      </c>
      <c r="D59" s="31">
        <v>25</v>
      </c>
      <c r="E59" s="31">
        <v>180</v>
      </c>
      <c r="F59" s="31">
        <v>30</v>
      </c>
      <c r="G59" s="200">
        <f t="shared" si="19"/>
        <v>7.5</v>
      </c>
      <c r="H59" s="200">
        <f t="shared" si="20"/>
        <v>30</v>
      </c>
      <c r="I59" s="197"/>
      <c r="J59" s="31"/>
      <c r="K59" s="200">
        <f t="shared" ref="K59:K61" si="21">(H59*J59)/60</f>
        <v>0</v>
      </c>
    </row>
    <row r="60" spans="1:11" x14ac:dyDescent="0.25">
      <c r="A60" s="8" t="s">
        <v>661</v>
      </c>
      <c r="B60" s="31">
        <v>80</v>
      </c>
      <c r="C60" s="31">
        <v>135</v>
      </c>
      <c r="D60" s="31">
        <v>25</v>
      </c>
      <c r="E60" s="31">
        <v>210</v>
      </c>
      <c r="F60" s="31">
        <v>30</v>
      </c>
      <c r="G60" s="200">
        <f t="shared" si="19"/>
        <v>8</v>
      </c>
      <c r="H60" s="200">
        <f t="shared" si="20"/>
        <v>32</v>
      </c>
      <c r="I60" s="197"/>
      <c r="J60" s="31"/>
      <c r="K60" s="200">
        <f t="shared" si="21"/>
        <v>0</v>
      </c>
    </row>
    <row r="61" spans="1:11" x14ac:dyDescent="0.25">
      <c r="A61" s="8" t="s">
        <v>662</v>
      </c>
      <c r="B61" s="31">
        <v>80</v>
      </c>
      <c r="C61" s="31">
        <v>195</v>
      </c>
      <c r="D61" s="31">
        <v>25</v>
      </c>
      <c r="E61" s="31">
        <v>240</v>
      </c>
      <c r="F61" s="31">
        <v>30</v>
      </c>
      <c r="G61" s="200">
        <f t="shared" si="19"/>
        <v>9.5</v>
      </c>
      <c r="H61" s="200">
        <f t="shared" si="20"/>
        <v>38</v>
      </c>
      <c r="I61" s="197"/>
      <c r="J61" s="31"/>
      <c r="K61" s="200">
        <f t="shared" si="21"/>
        <v>0</v>
      </c>
    </row>
    <row r="62" spans="1:11" ht="7.35" customHeight="1" x14ac:dyDescent="0.25">
      <c r="A62" s="77"/>
      <c r="B62" s="77"/>
      <c r="C62" s="77"/>
      <c r="D62" s="77"/>
      <c r="E62" s="77"/>
      <c r="F62" s="77"/>
      <c r="G62" s="201"/>
      <c r="H62" s="201"/>
      <c r="I62" s="197"/>
      <c r="J62" s="77"/>
      <c r="K62" s="77"/>
    </row>
    <row r="63" spans="1:11" x14ac:dyDescent="0.25">
      <c r="A63" s="8" t="s">
        <v>663</v>
      </c>
      <c r="B63" s="31">
        <v>40</v>
      </c>
      <c r="C63" s="31">
        <v>105</v>
      </c>
      <c r="D63" s="31">
        <v>25</v>
      </c>
      <c r="E63" s="31">
        <v>180</v>
      </c>
      <c r="F63" s="31">
        <v>30</v>
      </c>
      <c r="G63" s="200">
        <f t="shared" ref="G63:G67" si="22">SUM(B63:F63)/60</f>
        <v>6.333333333333333</v>
      </c>
      <c r="H63" s="200">
        <f t="shared" ref="H63:H67" si="23">SUM(B63:F63)/15</f>
        <v>25.333333333333332</v>
      </c>
      <c r="I63" s="197"/>
      <c r="J63" s="31"/>
      <c r="K63" s="200">
        <f>(H63*J63)/60</f>
        <v>0</v>
      </c>
    </row>
    <row r="64" spans="1:11" x14ac:dyDescent="0.25">
      <c r="A64" s="8" t="s">
        <v>664</v>
      </c>
      <c r="B64" s="31">
        <v>90</v>
      </c>
      <c r="C64" s="31">
        <v>135</v>
      </c>
      <c r="D64" s="31">
        <v>25</v>
      </c>
      <c r="E64" s="31">
        <v>240</v>
      </c>
      <c r="F64" s="31">
        <v>40</v>
      </c>
      <c r="G64" s="200">
        <f t="shared" si="22"/>
        <v>8.8333333333333339</v>
      </c>
      <c r="H64" s="200">
        <f t="shared" si="23"/>
        <v>35.333333333333336</v>
      </c>
      <c r="I64" s="197"/>
      <c r="J64" s="31"/>
      <c r="K64" s="200">
        <f>(H64*J64)/60</f>
        <v>0</v>
      </c>
    </row>
    <row r="65" spans="1:11" x14ac:dyDescent="0.25">
      <c r="A65" s="8" t="s">
        <v>665</v>
      </c>
      <c r="B65" s="31">
        <v>90</v>
      </c>
      <c r="C65" s="31">
        <v>165</v>
      </c>
      <c r="D65" s="31">
        <v>25</v>
      </c>
      <c r="E65" s="31">
        <v>270</v>
      </c>
      <c r="F65" s="31">
        <v>40</v>
      </c>
      <c r="G65" s="200">
        <f t="shared" si="22"/>
        <v>9.8333333333333339</v>
      </c>
      <c r="H65" s="200">
        <f t="shared" si="23"/>
        <v>39.333333333333336</v>
      </c>
      <c r="I65" s="197"/>
      <c r="J65" s="31"/>
      <c r="K65" s="200">
        <f t="shared" ref="K65:K67" si="24">(H65*J65)/60</f>
        <v>0</v>
      </c>
    </row>
    <row r="66" spans="1:11" x14ac:dyDescent="0.25">
      <c r="A66" s="8" t="s">
        <v>666</v>
      </c>
      <c r="B66" s="31">
        <v>90</v>
      </c>
      <c r="C66" s="31">
        <v>165</v>
      </c>
      <c r="D66" s="31">
        <v>25</v>
      </c>
      <c r="E66" s="31">
        <v>300</v>
      </c>
      <c r="F66" s="31">
        <v>40</v>
      </c>
      <c r="G66" s="200">
        <f t="shared" si="22"/>
        <v>10.333333333333334</v>
      </c>
      <c r="H66" s="200">
        <f t="shared" si="23"/>
        <v>41.333333333333336</v>
      </c>
      <c r="I66" s="197"/>
      <c r="J66" s="31"/>
      <c r="K66" s="200">
        <f t="shared" si="24"/>
        <v>0</v>
      </c>
    </row>
    <row r="67" spans="1:11" x14ac:dyDescent="0.25">
      <c r="A67" s="8" t="s">
        <v>667</v>
      </c>
      <c r="B67" s="31">
        <v>90</v>
      </c>
      <c r="C67" s="31">
        <v>225</v>
      </c>
      <c r="D67" s="31">
        <v>25</v>
      </c>
      <c r="E67" s="31">
        <v>330</v>
      </c>
      <c r="F67" s="31">
        <v>40</v>
      </c>
      <c r="G67" s="200">
        <f t="shared" si="22"/>
        <v>11.833333333333334</v>
      </c>
      <c r="H67" s="200">
        <f t="shared" si="23"/>
        <v>47.333333333333336</v>
      </c>
      <c r="I67" s="197"/>
      <c r="J67" s="31"/>
      <c r="K67" s="200">
        <f t="shared" si="24"/>
        <v>0</v>
      </c>
    </row>
    <row r="70" spans="1:11" ht="21" x14ac:dyDescent="0.35">
      <c r="A70" s="326" t="s">
        <v>672</v>
      </c>
      <c r="B70" s="326"/>
      <c r="C70" s="326"/>
      <c r="D70" s="326"/>
      <c r="E70" s="326"/>
      <c r="F70" s="326"/>
      <c r="G70" s="326"/>
      <c r="H70" s="326"/>
      <c r="I70" s="195" t="s">
        <v>669</v>
      </c>
      <c r="J70" s="327" t="s">
        <v>22</v>
      </c>
      <c r="K70" s="327"/>
    </row>
    <row r="71" spans="1:11" ht="6" customHeight="1" x14ac:dyDescent="0.35">
      <c r="A71" s="195"/>
      <c r="B71" s="195"/>
      <c r="C71" s="195"/>
      <c r="D71" s="195"/>
      <c r="E71" s="195"/>
      <c r="F71" s="195"/>
      <c r="G71" s="195"/>
      <c r="H71" s="195"/>
      <c r="I71" s="195"/>
      <c r="J71" s="196"/>
      <c r="K71" s="196"/>
    </row>
    <row r="72" spans="1:11" x14ac:dyDescent="0.25">
      <c r="A72" s="153" t="s">
        <v>651</v>
      </c>
      <c r="B72" s="153" t="s">
        <v>673</v>
      </c>
      <c r="C72" s="153" t="s">
        <v>552</v>
      </c>
      <c r="D72" s="153" t="s">
        <v>562</v>
      </c>
      <c r="E72" s="153" t="s">
        <v>646</v>
      </c>
      <c r="F72" s="153" t="s">
        <v>647</v>
      </c>
      <c r="G72" s="153" t="s">
        <v>648</v>
      </c>
      <c r="H72" s="153" t="s">
        <v>649</v>
      </c>
      <c r="I72" s="191"/>
      <c r="J72" s="153" t="s">
        <v>652</v>
      </c>
      <c r="K72" s="153" t="s">
        <v>648</v>
      </c>
    </row>
    <row r="73" spans="1:11" x14ac:dyDescent="0.25">
      <c r="A73" s="8" t="s">
        <v>653</v>
      </c>
      <c r="B73" s="31">
        <v>210</v>
      </c>
      <c r="C73" s="31">
        <v>728</v>
      </c>
      <c r="D73" s="31">
        <v>60</v>
      </c>
      <c r="E73" s="31">
        <v>120</v>
      </c>
      <c r="F73" s="31">
        <v>20</v>
      </c>
      <c r="G73" s="200">
        <f>SUM(B73:F73)/60</f>
        <v>18.966666666666665</v>
      </c>
      <c r="H73" s="200">
        <f>SUM(B73:F73)/15</f>
        <v>75.86666666666666</v>
      </c>
      <c r="I73" s="197"/>
      <c r="J73" s="31"/>
      <c r="K73" s="200">
        <f>(H73*J73)/60</f>
        <v>0</v>
      </c>
    </row>
    <row r="74" spans="1:11" x14ac:dyDescent="0.25">
      <c r="A74" s="8" t="s">
        <v>654</v>
      </c>
      <c r="B74" s="31">
        <v>315</v>
      </c>
      <c r="C74" s="31">
        <v>781</v>
      </c>
      <c r="D74" s="31">
        <v>60</v>
      </c>
      <c r="E74" s="31">
        <v>180</v>
      </c>
      <c r="F74" s="31">
        <v>30</v>
      </c>
      <c r="G74" s="200">
        <f>SUM(B74:F74)/60</f>
        <v>22.766666666666666</v>
      </c>
      <c r="H74" s="200">
        <f>SUM(B74:F74)/15</f>
        <v>91.066666666666663</v>
      </c>
      <c r="I74" s="197"/>
      <c r="J74" s="31"/>
      <c r="K74" s="200">
        <f>(H74*J74)/60</f>
        <v>0</v>
      </c>
    </row>
    <row r="75" spans="1:11" x14ac:dyDescent="0.25">
      <c r="A75" s="8" t="s">
        <v>655</v>
      </c>
      <c r="B75" s="31">
        <v>335</v>
      </c>
      <c r="C75" s="31">
        <v>834</v>
      </c>
      <c r="D75" s="31">
        <v>60</v>
      </c>
      <c r="E75" s="31">
        <v>360</v>
      </c>
      <c r="F75" s="31">
        <v>30</v>
      </c>
      <c r="G75" s="200">
        <f t="shared" ref="G75:G76" si="25">SUM(B75:F75)/60</f>
        <v>26.983333333333334</v>
      </c>
      <c r="H75" s="200">
        <f t="shared" ref="H75:H76" si="26">SUM(B75:F75)/15</f>
        <v>107.93333333333334</v>
      </c>
      <c r="I75" s="197"/>
      <c r="J75" s="31"/>
      <c r="K75" s="200">
        <f>(H75*J75)/60</f>
        <v>0</v>
      </c>
    </row>
    <row r="76" spans="1:11" x14ac:dyDescent="0.25">
      <c r="A76" s="8" t="s">
        <v>657</v>
      </c>
      <c r="B76" s="31">
        <v>415</v>
      </c>
      <c r="C76" s="31">
        <v>900</v>
      </c>
      <c r="D76" s="31">
        <v>60</v>
      </c>
      <c r="E76" s="31">
        <v>400</v>
      </c>
      <c r="F76" s="31">
        <v>30</v>
      </c>
      <c r="G76" s="200">
        <f t="shared" si="25"/>
        <v>30.083333333333332</v>
      </c>
      <c r="H76" s="200">
        <f t="shared" si="26"/>
        <v>120.33333333333333</v>
      </c>
      <c r="I76" s="197"/>
      <c r="J76" s="31"/>
      <c r="K76" s="200">
        <f t="shared" ref="K76" si="27">(H76*J76)/60</f>
        <v>0</v>
      </c>
    </row>
    <row r="77" spans="1:11" ht="7.35" customHeight="1" x14ac:dyDescent="0.25">
      <c r="A77" s="77"/>
      <c r="B77" s="77"/>
      <c r="C77" s="77"/>
      <c r="D77" s="77"/>
      <c r="E77" s="77"/>
      <c r="F77" s="77"/>
      <c r="G77" s="201"/>
      <c r="H77" s="201"/>
      <c r="I77" s="197"/>
      <c r="J77" s="77"/>
      <c r="K77" s="77"/>
    </row>
    <row r="78" spans="1:11" x14ac:dyDescent="0.25">
      <c r="A78" s="8" t="s">
        <v>658</v>
      </c>
      <c r="B78" s="31">
        <v>210</v>
      </c>
      <c r="C78" s="31">
        <f>C73+30</f>
        <v>758</v>
      </c>
      <c r="D78" s="31">
        <v>60</v>
      </c>
      <c r="E78" s="31">
        <f>E73+30</f>
        <v>150</v>
      </c>
      <c r="F78" s="31">
        <v>20</v>
      </c>
      <c r="G78" s="200">
        <f t="shared" ref="G78" si="28">SUM(B78:F78)/60</f>
        <v>19.966666666666665</v>
      </c>
      <c r="H78" s="200">
        <f t="shared" ref="H78" si="29">SUM(B78:F78)/15</f>
        <v>79.86666666666666</v>
      </c>
      <c r="I78" s="197"/>
      <c r="J78" s="31"/>
      <c r="K78" s="200">
        <f>(H78*J78)/60</f>
        <v>0</v>
      </c>
    </row>
    <row r="79" spans="1:11" x14ac:dyDescent="0.25">
      <c r="A79" s="8" t="s">
        <v>659</v>
      </c>
      <c r="B79" s="31">
        <v>315</v>
      </c>
      <c r="C79" s="31">
        <f>C74+30</f>
        <v>811</v>
      </c>
      <c r="D79" s="31">
        <v>60</v>
      </c>
      <c r="E79" s="31">
        <f>E74+30</f>
        <v>210</v>
      </c>
      <c r="F79" s="31">
        <v>30</v>
      </c>
      <c r="G79" s="200">
        <f>SUM(B79:F79)/60</f>
        <v>23.766666666666666</v>
      </c>
      <c r="H79" s="200">
        <f>SUM(B79:F79)/15</f>
        <v>95.066666666666663</v>
      </c>
      <c r="I79" s="197"/>
      <c r="J79" s="31"/>
      <c r="K79" s="200">
        <f>(H79*J79)/60</f>
        <v>0</v>
      </c>
    </row>
    <row r="80" spans="1:11" x14ac:dyDescent="0.25">
      <c r="A80" s="8" t="s">
        <v>660</v>
      </c>
      <c r="B80" s="31">
        <v>335</v>
      </c>
      <c r="C80" s="31">
        <f>C75+30</f>
        <v>864</v>
      </c>
      <c r="D80" s="31">
        <v>60</v>
      </c>
      <c r="E80" s="31">
        <f>E75+30</f>
        <v>390</v>
      </c>
      <c r="F80" s="31">
        <v>30</v>
      </c>
      <c r="G80" s="200">
        <f t="shared" ref="G80:G81" si="30">SUM(B80:F80)/60</f>
        <v>27.983333333333334</v>
      </c>
      <c r="H80" s="200">
        <f t="shared" ref="H80:H81" si="31">SUM(B80:F80)/15</f>
        <v>111.93333333333334</v>
      </c>
      <c r="I80" s="197"/>
      <c r="J80" s="31"/>
      <c r="K80" s="200">
        <f>(H80*J80)/60</f>
        <v>0</v>
      </c>
    </row>
    <row r="81" spans="1:11" x14ac:dyDescent="0.25">
      <c r="A81" s="8" t="s">
        <v>662</v>
      </c>
      <c r="B81" s="31">
        <v>415</v>
      </c>
      <c r="C81" s="31">
        <f>C76+30</f>
        <v>930</v>
      </c>
      <c r="D81" s="31">
        <v>60</v>
      </c>
      <c r="E81" s="31">
        <f>E76+30</f>
        <v>430</v>
      </c>
      <c r="F81" s="31">
        <v>30</v>
      </c>
      <c r="G81" s="200">
        <f t="shared" si="30"/>
        <v>31.083333333333332</v>
      </c>
      <c r="H81" s="200">
        <f t="shared" si="31"/>
        <v>124.33333333333333</v>
      </c>
      <c r="I81" s="197"/>
      <c r="J81" s="31"/>
      <c r="K81" s="200">
        <f t="shared" ref="K81" si="32">(H81*J81)/60</f>
        <v>0</v>
      </c>
    </row>
    <row r="82" spans="1:11" ht="7.35" customHeight="1" x14ac:dyDescent="0.25">
      <c r="A82" s="77"/>
      <c r="B82" s="77"/>
      <c r="C82" s="77"/>
      <c r="D82" s="77"/>
      <c r="E82" s="77"/>
      <c r="F82" s="77"/>
      <c r="G82" s="201"/>
      <c r="H82" s="201"/>
      <c r="I82" s="197"/>
      <c r="J82" s="77"/>
      <c r="K82" s="77"/>
    </row>
    <row r="83" spans="1:11" x14ac:dyDescent="0.25">
      <c r="A83" s="8" t="s">
        <v>663</v>
      </c>
      <c r="B83" s="31">
        <v>225</v>
      </c>
      <c r="C83" s="31">
        <f>C78+60</f>
        <v>818</v>
      </c>
      <c r="D83" s="31">
        <v>60</v>
      </c>
      <c r="E83" s="31">
        <f>E78+30</f>
        <v>180</v>
      </c>
      <c r="F83" s="31">
        <v>30</v>
      </c>
      <c r="G83" s="200">
        <f t="shared" ref="G83" si="33">SUM(B83:F83)/60</f>
        <v>21.883333333333333</v>
      </c>
      <c r="H83" s="200">
        <f t="shared" ref="H83" si="34">SUM(B83:F83)/15</f>
        <v>87.533333333333331</v>
      </c>
      <c r="I83" s="197"/>
      <c r="J83" s="31"/>
      <c r="K83" s="200">
        <f>(H83*J83)/60</f>
        <v>0</v>
      </c>
    </row>
    <row r="84" spans="1:11" x14ac:dyDescent="0.25">
      <c r="A84" s="8" t="s">
        <v>670</v>
      </c>
      <c r="B84" s="31">
        <v>330</v>
      </c>
      <c r="C84" s="31">
        <f t="shared" ref="C84:C86" si="35">C79+60</f>
        <v>871</v>
      </c>
      <c r="D84" s="31">
        <v>60</v>
      </c>
      <c r="E84" s="31">
        <f>E79+30</f>
        <v>240</v>
      </c>
      <c r="F84" s="31">
        <v>30</v>
      </c>
      <c r="G84" s="200">
        <f>SUM(B84:F84)/60</f>
        <v>25.516666666666666</v>
      </c>
      <c r="H84" s="200">
        <f>SUM(B84:F84)/15</f>
        <v>102.06666666666666</v>
      </c>
      <c r="I84" s="197"/>
      <c r="J84" s="31"/>
      <c r="K84" s="200">
        <f>(H84*J84)/60</f>
        <v>0</v>
      </c>
    </row>
    <row r="85" spans="1:11" x14ac:dyDescent="0.25">
      <c r="A85" s="8" t="s">
        <v>665</v>
      </c>
      <c r="B85" s="31">
        <v>350</v>
      </c>
      <c r="C85" s="31">
        <f t="shared" si="35"/>
        <v>924</v>
      </c>
      <c r="D85" s="31">
        <v>60</v>
      </c>
      <c r="E85" s="31">
        <f>E80+30</f>
        <v>420</v>
      </c>
      <c r="F85" s="31">
        <v>40</v>
      </c>
      <c r="G85" s="200">
        <f t="shared" ref="G85:G86" si="36">SUM(B85:F85)/60</f>
        <v>29.9</v>
      </c>
      <c r="H85" s="200">
        <f t="shared" ref="H85:H86" si="37">SUM(B85:F85)/15</f>
        <v>119.6</v>
      </c>
      <c r="I85" s="197"/>
      <c r="J85" s="31"/>
      <c r="K85" s="200">
        <f>(H85*J85)/60</f>
        <v>0</v>
      </c>
    </row>
    <row r="86" spans="1:11" x14ac:dyDescent="0.25">
      <c r="A86" s="8" t="s">
        <v>667</v>
      </c>
      <c r="B86" s="31">
        <v>430</v>
      </c>
      <c r="C86" s="31">
        <f t="shared" si="35"/>
        <v>990</v>
      </c>
      <c r="D86" s="31">
        <v>60</v>
      </c>
      <c r="E86" s="31">
        <f>E81+30</f>
        <v>460</v>
      </c>
      <c r="F86" s="31">
        <v>40</v>
      </c>
      <c r="G86" s="200">
        <f t="shared" si="36"/>
        <v>33</v>
      </c>
      <c r="H86" s="200">
        <f t="shared" si="37"/>
        <v>132</v>
      </c>
      <c r="I86" s="197"/>
      <c r="J86" s="31"/>
      <c r="K86" s="200">
        <f t="shared" ref="K86" si="38">(H86*J86)/60</f>
        <v>0</v>
      </c>
    </row>
    <row r="89" spans="1:11" ht="21" x14ac:dyDescent="0.25">
      <c r="A89" s="326" t="s">
        <v>674</v>
      </c>
      <c r="B89" s="326"/>
      <c r="C89" s="326"/>
    </row>
    <row r="90" spans="1:11" ht="6" customHeight="1" x14ac:dyDescent="0.25">
      <c r="A90" s="196"/>
      <c r="B90" s="196"/>
      <c r="C90" s="196"/>
    </row>
    <row r="91" spans="1:11" x14ac:dyDescent="0.25">
      <c r="A91" s="153" t="s">
        <v>675</v>
      </c>
      <c r="B91" s="153" t="s">
        <v>676</v>
      </c>
      <c r="C91" s="153" t="s">
        <v>677</v>
      </c>
    </row>
    <row r="92" spans="1:11" x14ac:dyDescent="0.25">
      <c r="A92" s="8" t="s">
        <v>678</v>
      </c>
      <c r="B92" s="8">
        <v>2</v>
      </c>
      <c r="C92" s="8"/>
    </row>
    <row r="93" spans="1:11" x14ac:dyDescent="0.25">
      <c r="A93" s="8" t="s">
        <v>679</v>
      </c>
      <c r="B93" s="8">
        <v>10</v>
      </c>
      <c r="C93" s="8"/>
    </row>
    <row r="94" spans="1:11" x14ac:dyDescent="0.25">
      <c r="A94" s="8" t="s">
        <v>680</v>
      </c>
      <c r="B94" s="8">
        <v>5</v>
      </c>
      <c r="C94" s="8"/>
    </row>
    <row r="95" spans="1:11" x14ac:dyDescent="0.25">
      <c r="A95" s="8" t="s">
        <v>681</v>
      </c>
      <c r="B95" s="8">
        <v>10</v>
      </c>
      <c r="C95" s="8"/>
    </row>
    <row r="96" spans="1:11" x14ac:dyDescent="0.25">
      <c r="A96" s="8" t="s">
        <v>680</v>
      </c>
      <c r="B96" s="8">
        <v>5</v>
      </c>
      <c r="C96" s="8"/>
    </row>
    <row r="97" spans="1:3" x14ac:dyDescent="0.25">
      <c r="A97" s="8" t="s">
        <v>682</v>
      </c>
      <c r="B97" s="8">
        <v>10</v>
      </c>
      <c r="C97" s="8"/>
    </row>
    <row r="98" spans="1:3" x14ac:dyDescent="0.25">
      <c r="A98" s="8" t="s">
        <v>683</v>
      </c>
      <c r="B98" s="8">
        <v>10</v>
      </c>
      <c r="C98" s="8"/>
    </row>
    <row r="99" spans="1:3" x14ac:dyDescent="0.25">
      <c r="A99" s="198" t="s">
        <v>12</v>
      </c>
      <c r="B99" s="198">
        <f>SUM(B92:B98)</f>
        <v>52</v>
      </c>
      <c r="C99" s="199">
        <f>B99/60</f>
        <v>0.8666666666666667</v>
      </c>
    </row>
    <row r="101" spans="1:3" ht="21" x14ac:dyDescent="0.25">
      <c r="A101" s="326" t="s">
        <v>684</v>
      </c>
      <c r="B101" s="326"/>
      <c r="C101" s="326"/>
    </row>
    <row r="102" spans="1:3" ht="6" customHeight="1" x14ac:dyDescent="0.25">
      <c r="A102" s="196"/>
      <c r="B102" s="196"/>
      <c r="C102" s="196"/>
    </row>
    <row r="103" spans="1:3" x14ac:dyDescent="0.25">
      <c r="A103" s="153" t="s">
        <v>675</v>
      </c>
      <c r="B103" s="153" t="s">
        <v>676</v>
      </c>
      <c r="C103" s="153" t="s">
        <v>677</v>
      </c>
    </row>
    <row r="104" spans="1:3" x14ac:dyDescent="0.25">
      <c r="A104" s="8" t="s">
        <v>678</v>
      </c>
      <c r="B104" s="8">
        <v>15</v>
      </c>
      <c r="C104" s="8"/>
    </row>
    <row r="105" spans="1:3" x14ac:dyDescent="0.25">
      <c r="A105" s="8" t="s">
        <v>680</v>
      </c>
      <c r="B105" s="8">
        <v>20</v>
      </c>
      <c r="C105" s="8"/>
    </row>
    <row r="106" spans="1:3" x14ac:dyDescent="0.25">
      <c r="A106" s="8" t="s">
        <v>681</v>
      </c>
      <c r="B106" s="8">
        <v>20</v>
      </c>
      <c r="C106" s="8"/>
    </row>
    <row r="107" spans="1:3" x14ac:dyDescent="0.25">
      <c r="A107" s="8" t="s">
        <v>680</v>
      </c>
      <c r="B107" s="8">
        <v>5</v>
      </c>
      <c r="C107" s="8"/>
    </row>
    <row r="108" spans="1:3" x14ac:dyDescent="0.25">
      <c r="A108" s="8" t="s">
        <v>682</v>
      </c>
      <c r="B108" s="8">
        <v>10</v>
      </c>
      <c r="C108" s="8"/>
    </row>
    <row r="109" spans="1:3" x14ac:dyDescent="0.25">
      <c r="A109" s="8" t="s">
        <v>683</v>
      </c>
      <c r="B109" s="8">
        <v>10</v>
      </c>
      <c r="C109" s="8"/>
    </row>
    <row r="110" spans="1:3" x14ac:dyDescent="0.25">
      <c r="A110" s="198" t="s">
        <v>12</v>
      </c>
      <c r="B110" s="198">
        <f>SUM(B104:B109)</f>
        <v>80</v>
      </c>
      <c r="C110" s="199">
        <f>B110/60</f>
        <v>1.3333333333333333</v>
      </c>
    </row>
    <row r="112" spans="1:3" ht="21" x14ac:dyDescent="0.25">
      <c r="A112" s="326" t="s">
        <v>685</v>
      </c>
      <c r="B112" s="326"/>
      <c r="C112" s="326"/>
    </row>
    <row r="113" spans="1:3" ht="6" customHeight="1" x14ac:dyDescent="0.25">
      <c r="A113" s="196"/>
      <c r="B113" s="196"/>
      <c r="C113" s="196"/>
    </row>
    <row r="114" spans="1:3" x14ac:dyDescent="0.25">
      <c r="A114" s="153" t="s">
        <v>675</v>
      </c>
      <c r="B114" s="153" t="s">
        <v>676</v>
      </c>
      <c r="C114" s="153" t="s">
        <v>677</v>
      </c>
    </row>
    <row r="115" spans="1:3" x14ac:dyDescent="0.25">
      <c r="A115" s="8" t="s">
        <v>678</v>
      </c>
      <c r="B115" s="8">
        <v>15</v>
      </c>
      <c r="C115" s="8"/>
    </row>
    <row r="116" spans="1:3" x14ac:dyDescent="0.25">
      <c r="A116" s="8" t="s">
        <v>680</v>
      </c>
      <c r="B116" s="8">
        <v>20</v>
      </c>
      <c r="C116" s="8"/>
    </row>
    <row r="117" spans="1:3" x14ac:dyDescent="0.25">
      <c r="A117" s="8" t="s">
        <v>681</v>
      </c>
      <c r="B117" s="8">
        <v>30</v>
      </c>
      <c r="C117" s="8"/>
    </row>
    <row r="118" spans="1:3" x14ac:dyDescent="0.25">
      <c r="A118" s="8" t="s">
        <v>680</v>
      </c>
      <c r="B118" s="8">
        <v>5</v>
      </c>
      <c r="C118" s="8"/>
    </row>
    <row r="119" spans="1:3" x14ac:dyDescent="0.25">
      <c r="A119" s="8" t="s">
        <v>682</v>
      </c>
      <c r="B119" s="8">
        <v>10</v>
      </c>
      <c r="C119" s="8"/>
    </row>
    <row r="120" spans="1:3" x14ac:dyDescent="0.25">
      <c r="A120" s="8" t="s">
        <v>683</v>
      </c>
      <c r="B120" s="8">
        <v>10</v>
      </c>
      <c r="C120" s="8"/>
    </row>
    <row r="121" spans="1:3" x14ac:dyDescent="0.25">
      <c r="A121" s="198" t="s">
        <v>12</v>
      </c>
      <c r="B121" s="198">
        <f>SUM(B115:B120)</f>
        <v>90</v>
      </c>
      <c r="C121" s="199">
        <f>B121/60</f>
        <v>1.5</v>
      </c>
    </row>
  </sheetData>
  <mergeCells count="12">
    <mergeCell ref="A1:H1"/>
    <mergeCell ref="A29:H29"/>
    <mergeCell ref="A89:C89"/>
    <mergeCell ref="A48:H48"/>
    <mergeCell ref="J48:K48"/>
    <mergeCell ref="A112:C112"/>
    <mergeCell ref="A101:C101"/>
    <mergeCell ref="J29:K29"/>
    <mergeCell ref="J7:K7"/>
    <mergeCell ref="A7:H7"/>
    <mergeCell ref="A70:H70"/>
    <mergeCell ref="J70:K70"/>
  </mergeCells>
  <pageMargins left="0.7" right="0.7" top="0.75" bottom="0.75" header="0.3" footer="0.3"/>
  <ignoredErrors>
    <ignoredError sqref="G4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0269-A708-4987-A875-62CC9D89AA77}">
  <sheetPr codeName="Sheet31">
    <tabColor rgb="FFFFFF00"/>
  </sheetPr>
  <dimension ref="A1:L19"/>
  <sheetViews>
    <sheetView workbookViewId="0">
      <selection activeCell="K29" sqref="K29"/>
    </sheetView>
  </sheetViews>
  <sheetFormatPr defaultRowHeight="15" x14ac:dyDescent="0.25"/>
  <cols>
    <col min="1" max="1" width="10" bestFit="1" customWidth="1"/>
    <col min="2" max="2" width="11.42578125" bestFit="1" customWidth="1"/>
    <col min="3" max="3" width="10.140625" bestFit="1" customWidth="1"/>
    <col min="4" max="4" width="10" bestFit="1" customWidth="1"/>
    <col min="5" max="5" width="11.42578125" bestFit="1" customWidth="1"/>
    <col min="6" max="6" width="10.140625" bestFit="1" customWidth="1"/>
    <col min="8" max="9" width="12.140625" bestFit="1" customWidth="1"/>
    <col min="10" max="10" width="12.5703125" bestFit="1" customWidth="1"/>
    <col min="11" max="11" width="13.140625" bestFit="1" customWidth="1"/>
    <col min="12" max="12" width="16.140625" bestFit="1" customWidth="1"/>
  </cols>
  <sheetData>
    <row r="1" spans="1:12" x14ac:dyDescent="0.25">
      <c r="A1" s="305" t="s">
        <v>686</v>
      </c>
      <c r="B1" s="305"/>
      <c r="C1" s="305"/>
      <c r="D1" s="305" t="s">
        <v>687</v>
      </c>
      <c r="E1" s="305"/>
      <c r="F1" s="305"/>
      <c r="H1" s="4" t="s">
        <v>688</v>
      </c>
      <c r="I1" s="4" t="s">
        <v>689</v>
      </c>
      <c r="J1" s="4" t="s">
        <v>690</v>
      </c>
      <c r="K1" s="4" t="s">
        <v>691</v>
      </c>
      <c r="L1" s="4" t="s">
        <v>692</v>
      </c>
    </row>
    <row r="2" spans="1:12" x14ac:dyDescent="0.25">
      <c r="A2" s="4" t="s">
        <v>693</v>
      </c>
      <c r="B2" s="4" t="s">
        <v>694</v>
      </c>
      <c r="C2" s="4" t="s">
        <v>124</v>
      </c>
      <c r="D2" s="4" t="s">
        <v>693</v>
      </c>
      <c r="E2" s="4" t="s">
        <v>694</v>
      </c>
      <c r="F2" s="4" t="s">
        <v>124</v>
      </c>
      <c r="H2" s="26">
        <v>750</v>
      </c>
      <c r="I2" s="26">
        <v>375</v>
      </c>
      <c r="J2" s="26">
        <v>136.36363636363637</v>
      </c>
      <c r="K2" s="26">
        <v>2.7272727272727275</v>
      </c>
      <c r="L2" s="26">
        <v>1.3636363636363638</v>
      </c>
    </row>
    <row r="3" spans="1:12" x14ac:dyDescent="0.25">
      <c r="A3" s="9">
        <v>2</v>
      </c>
      <c r="B3" s="9">
        <v>100</v>
      </c>
      <c r="C3" s="12">
        <v>3680.4</v>
      </c>
      <c r="D3" s="9">
        <v>4</v>
      </c>
      <c r="E3" s="9">
        <v>50</v>
      </c>
      <c r="F3" s="12">
        <v>3680.4</v>
      </c>
      <c r="H3" s="1"/>
      <c r="I3" s="1"/>
      <c r="J3" s="1"/>
      <c r="K3" s="1"/>
      <c r="L3" s="1"/>
    </row>
    <row r="4" spans="1:12" x14ac:dyDescent="0.25">
      <c r="A4" s="9">
        <v>3</v>
      </c>
      <c r="B4" s="9">
        <v>50</v>
      </c>
      <c r="C4" s="12">
        <v>4012.0499999999997</v>
      </c>
      <c r="D4" s="9">
        <v>6</v>
      </c>
      <c r="E4" s="9">
        <v>50</v>
      </c>
      <c r="F4" s="12">
        <v>8024.0999999999995</v>
      </c>
      <c r="H4" s="1"/>
      <c r="I4" s="1"/>
      <c r="J4" s="1"/>
      <c r="K4" s="1"/>
      <c r="L4" s="1"/>
    </row>
    <row r="5" spans="1:12" x14ac:dyDescent="0.25">
      <c r="A5" s="9">
        <v>3</v>
      </c>
      <c r="B5" s="9">
        <v>25</v>
      </c>
      <c r="C5" s="12">
        <v>2746.0874999999996</v>
      </c>
      <c r="D5" s="9">
        <v>6</v>
      </c>
      <c r="E5" s="9">
        <v>25</v>
      </c>
      <c r="F5" s="12">
        <v>5492.1749999999993</v>
      </c>
      <c r="H5" s="1"/>
      <c r="I5" s="1"/>
      <c r="J5" s="1"/>
      <c r="K5" s="1"/>
      <c r="L5" s="1"/>
    </row>
    <row r="6" spans="1:12" x14ac:dyDescent="0.25">
      <c r="A6" s="9">
        <v>3</v>
      </c>
      <c r="B6" s="9">
        <v>25</v>
      </c>
      <c r="C6" s="12">
        <v>3455.1750000000002</v>
      </c>
      <c r="D6" s="9">
        <v>6</v>
      </c>
      <c r="E6" s="9">
        <v>25</v>
      </c>
      <c r="F6" s="12">
        <v>6910.35</v>
      </c>
      <c r="H6" s="4" t="s">
        <v>688</v>
      </c>
      <c r="I6" s="4" t="s">
        <v>689</v>
      </c>
      <c r="J6" s="4" t="s">
        <v>695</v>
      </c>
      <c r="K6" s="4" t="s">
        <v>691</v>
      </c>
      <c r="L6" s="4" t="s">
        <v>692</v>
      </c>
    </row>
    <row r="7" spans="1:12" x14ac:dyDescent="0.25">
      <c r="A7" s="9">
        <v>2.5</v>
      </c>
      <c r="B7" s="9">
        <v>25</v>
      </c>
      <c r="C7" s="12">
        <v>3489</v>
      </c>
      <c r="D7" s="9">
        <v>5</v>
      </c>
      <c r="E7" s="9">
        <v>25</v>
      </c>
      <c r="F7" s="12">
        <v>6978</v>
      </c>
      <c r="H7" s="26">
        <v>1100</v>
      </c>
      <c r="I7" s="26">
        <v>550</v>
      </c>
      <c r="J7" s="26">
        <v>91.666666666666671</v>
      </c>
      <c r="K7" s="26">
        <v>1.8333333333333335</v>
      </c>
      <c r="L7" s="26">
        <v>0.91666666666666674</v>
      </c>
    </row>
    <row r="8" spans="1:12" x14ac:dyDescent="0.25">
      <c r="A8" s="9">
        <v>1.5</v>
      </c>
      <c r="B8" s="9">
        <v>25</v>
      </c>
      <c r="C8" s="12">
        <v>2455.6875</v>
      </c>
      <c r="D8" s="9">
        <v>3</v>
      </c>
      <c r="E8" s="9">
        <v>25</v>
      </c>
      <c r="F8" s="12">
        <v>4911.375</v>
      </c>
      <c r="H8" s="1"/>
      <c r="I8" s="1"/>
      <c r="J8" s="1"/>
      <c r="K8" s="1"/>
      <c r="L8" s="1"/>
    </row>
    <row r="9" spans="1:12" x14ac:dyDescent="0.25">
      <c r="A9" s="9">
        <v>1</v>
      </c>
      <c r="B9" s="9">
        <v>25</v>
      </c>
      <c r="C9" s="12">
        <v>1879.825</v>
      </c>
      <c r="D9" s="9">
        <v>2</v>
      </c>
      <c r="E9" s="9">
        <v>25</v>
      </c>
      <c r="F9" s="12">
        <v>3759.65</v>
      </c>
      <c r="H9" s="1"/>
      <c r="I9" s="1"/>
      <c r="J9" s="1"/>
      <c r="K9" s="1"/>
      <c r="L9" s="1"/>
    </row>
    <row r="10" spans="1:12" x14ac:dyDescent="0.25">
      <c r="A10" s="9">
        <v>0.5</v>
      </c>
      <c r="B10" s="9">
        <v>25</v>
      </c>
      <c r="C10" s="12">
        <v>1061.2625</v>
      </c>
      <c r="D10" s="9">
        <v>1</v>
      </c>
      <c r="E10" s="9">
        <v>25</v>
      </c>
      <c r="F10" s="12">
        <v>2122.5250000000001</v>
      </c>
      <c r="H10" s="1"/>
      <c r="I10" s="1"/>
      <c r="J10" s="1"/>
      <c r="K10" s="1"/>
      <c r="L10" s="1"/>
    </row>
    <row r="11" spans="1:12" x14ac:dyDescent="0.25">
      <c r="A11" s="9">
        <v>0.5</v>
      </c>
      <c r="B11" s="9">
        <v>25</v>
      </c>
      <c r="C11" s="12">
        <v>1182.0249999999999</v>
      </c>
      <c r="D11" s="9">
        <v>1</v>
      </c>
      <c r="E11" s="9">
        <v>25</v>
      </c>
      <c r="F11" s="12">
        <v>2364.0499999999997</v>
      </c>
      <c r="H11" s="1"/>
      <c r="I11" s="1"/>
      <c r="J11" s="1"/>
      <c r="K11" s="1"/>
      <c r="L11" s="2"/>
    </row>
    <row r="12" spans="1:12" x14ac:dyDescent="0.25">
      <c r="A12" s="9">
        <v>0.3</v>
      </c>
      <c r="B12" s="9">
        <v>25</v>
      </c>
      <c r="C12" s="12">
        <v>781.6724999999999</v>
      </c>
      <c r="D12" s="9">
        <v>0.6</v>
      </c>
      <c r="E12" s="9">
        <v>25</v>
      </c>
      <c r="F12" s="12">
        <v>1563.3449999999998</v>
      </c>
      <c r="H12" s="1"/>
      <c r="I12" s="1"/>
      <c r="J12" s="2"/>
      <c r="K12" s="1"/>
      <c r="L12" s="1"/>
    </row>
    <row r="13" spans="1:12" x14ac:dyDescent="0.25">
      <c r="A13" s="9">
        <v>0.3</v>
      </c>
      <c r="B13" s="9">
        <v>25</v>
      </c>
      <c r="C13" s="12">
        <v>854.13</v>
      </c>
      <c r="D13" s="9">
        <v>0.6</v>
      </c>
      <c r="E13" s="9">
        <v>25</v>
      </c>
      <c r="F13" s="12">
        <v>1708.26</v>
      </c>
      <c r="H13" s="1"/>
      <c r="I13" s="1"/>
      <c r="J13" s="48"/>
      <c r="K13" s="1"/>
      <c r="L13" s="1"/>
    </row>
    <row r="14" spans="1:12" x14ac:dyDescent="0.25">
      <c r="A14" s="9">
        <v>0.3</v>
      </c>
      <c r="B14" s="9">
        <v>25</v>
      </c>
      <c r="C14" s="12">
        <v>927.01050000000009</v>
      </c>
      <c r="D14" s="9">
        <v>0.6</v>
      </c>
      <c r="E14" s="9">
        <v>25</v>
      </c>
      <c r="F14" s="12">
        <v>1854.0210000000002</v>
      </c>
      <c r="H14" s="1"/>
      <c r="I14" s="1"/>
      <c r="J14" s="1"/>
      <c r="K14" s="1"/>
      <c r="L14" s="1"/>
    </row>
    <row r="15" spans="1:12" x14ac:dyDescent="0.25">
      <c r="A15" s="9">
        <v>0.3</v>
      </c>
      <c r="B15" s="9">
        <v>25</v>
      </c>
      <c r="C15" s="12">
        <v>999.60899999999992</v>
      </c>
      <c r="D15" s="9">
        <v>0.6</v>
      </c>
      <c r="E15" s="9">
        <v>25</v>
      </c>
      <c r="F15" s="12">
        <v>1999.2179999999998</v>
      </c>
      <c r="H15" s="1"/>
      <c r="I15" s="1"/>
      <c r="J15" s="1"/>
      <c r="K15" s="1"/>
      <c r="L15" s="1"/>
    </row>
    <row r="16" spans="1:12" x14ac:dyDescent="0.25">
      <c r="A16" s="9">
        <v>0.2</v>
      </c>
      <c r="B16" s="9">
        <v>25</v>
      </c>
      <c r="C16" s="12">
        <v>714.80499999999995</v>
      </c>
      <c r="D16" s="9">
        <v>0.4</v>
      </c>
      <c r="E16" s="9">
        <v>25</v>
      </c>
      <c r="F16" s="12">
        <v>1429.61</v>
      </c>
      <c r="H16" s="1"/>
      <c r="I16" s="1"/>
      <c r="J16" s="1"/>
      <c r="K16" s="1"/>
      <c r="L16" s="1"/>
    </row>
    <row r="17" spans="1:12" x14ac:dyDescent="0.25">
      <c r="A17" s="9">
        <v>0.2</v>
      </c>
      <c r="B17" s="9">
        <v>25</v>
      </c>
      <c r="C17" s="12">
        <v>763.11000000000013</v>
      </c>
      <c r="D17" s="9">
        <v>0.4</v>
      </c>
      <c r="E17" s="9">
        <v>25</v>
      </c>
      <c r="F17" s="12">
        <v>1526.2200000000003</v>
      </c>
      <c r="H17" s="1"/>
      <c r="I17" s="1"/>
      <c r="J17" s="1"/>
      <c r="K17" s="1"/>
      <c r="L17" s="1"/>
    </row>
    <row r="18" spans="1:12" x14ac:dyDescent="0.25">
      <c r="A18" s="9">
        <v>0.2</v>
      </c>
      <c r="B18" s="9">
        <v>25</v>
      </c>
      <c r="C18" s="12">
        <v>811.41500000000008</v>
      </c>
      <c r="D18" s="9">
        <v>0.4</v>
      </c>
      <c r="E18" s="9">
        <v>25</v>
      </c>
      <c r="F18" s="12">
        <v>1622.8300000000002</v>
      </c>
      <c r="H18" s="1"/>
      <c r="I18" s="1"/>
      <c r="J18" s="1"/>
      <c r="K18" s="1"/>
      <c r="L18" s="1"/>
    </row>
    <row r="19" spans="1:12" x14ac:dyDescent="0.25">
      <c r="A19" s="1"/>
      <c r="B19" s="1"/>
      <c r="C19" s="47">
        <v>29813.264500000005</v>
      </c>
      <c r="D19" s="1"/>
      <c r="E19" s="1"/>
      <c r="F19" s="47">
        <v>55946.129000000001</v>
      </c>
      <c r="H19" s="1"/>
      <c r="I19" s="1"/>
      <c r="J19" s="1"/>
      <c r="K19" s="1"/>
      <c r="L19" s="1"/>
    </row>
  </sheetData>
  <mergeCells count="2">
    <mergeCell ref="A1:C1"/>
    <mergeCell ref="D1:F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2D34-7102-4A05-94E4-CE0B6871B7B5}">
  <sheetPr>
    <tabColor rgb="FFFF0000"/>
  </sheetPr>
  <dimension ref="A1:O45"/>
  <sheetViews>
    <sheetView topLeftCell="B1" zoomScaleNormal="100" workbookViewId="0">
      <selection activeCell="A20" sqref="A20:XFD20"/>
    </sheetView>
  </sheetViews>
  <sheetFormatPr defaultRowHeight="15" x14ac:dyDescent="0.25"/>
  <cols>
    <col min="1" max="1" width="7.85546875" bestFit="1" customWidth="1"/>
    <col min="2" max="2" width="22.140625" style="1" bestFit="1" customWidth="1"/>
    <col min="3" max="3" width="19.140625" style="1" bestFit="1" customWidth="1"/>
    <col min="4" max="4" width="18.140625" style="1" bestFit="1" customWidth="1"/>
    <col min="5" max="5" width="18.140625" style="1" customWidth="1"/>
    <col min="6" max="6" width="15.85546875" style="1" bestFit="1" customWidth="1"/>
    <col min="7" max="7" width="31.85546875" style="1" bestFit="1" customWidth="1"/>
    <col min="8" max="8" width="8.7109375" bestFit="1" customWidth="1"/>
    <col min="9" max="9" width="7.85546875" bestFit="1" customWidth="1"/>
    <col min="10" max="10" width="22.140625" bestFit="1" customWidth="1"/>
    <col min="11" max="11" width="19.140625" bestFit="1" customWidth="1"/>
    <col min="12" max="12" width="18.140625" bestFit="1" customWidth="1"/>
    <col min="13" max="13" width="18.140625" customWidth="1"/>
    <col min="14" max="14" width="15.85546875" bestFit="1" customWidth="1"/>
    <col min="15" max="15" width="31.85546875" bestFit="1" customWidth="1"/>
  </cols>
  <sheetData>
    <row r="1" spans="1:15" ht="18.75" customHeight="1" x14ac:dyDescent="0.3">
      <c r="A1" s="303" t="s">
        <v>696</v>
      </c>
      <c r="B1" s="303"/>
      <c r="C1" s="303"/>
      <c r="D1" s="303"/>
      <c r="E1" s="303"/>
      <c r="F1" s="303"/>
      <c r="G1" s="303"/>
      <c r="I1" s="303" t="s">
        <v>696</v>
      </c>
      <c r="J1" s="303"/>
      <c r="K1" s="303"/>
      <c r="L1" s="303"/>
      <c r="M1" s="303"/>
      <c r="N1" s="303"/>
      <c r="O1" s="303"/>
    </row>
    <row r="2" spans="1:15" ht="6" customHeight="1" x14ac:dyDescent="0.25">
      <c r="J2" s="1"/>
      <c r="K2" s="1"/>
      <c r="L2" s="1"/>
      <c r="M2" s="1"/>
      <c r="N2" s="1"/>
      <c r="O2" s="1"/>
    </row>
    <row r="3" spans="1:15" x14ac:dyDescent="0.25">
      <c r="A3" s="290" t="s">
        <v>69</v>
      </c>
      <c r="B3" s="290"/>
      <c r="C3" s="290"/>
      <c r="D3" s="290"/>
      <c r="E3" s="290"/>
      <c r="F3" s="290"/>
      <c r="G3" s="290"/>
      <c r="I3" s="290" t="s">
        <v>69</v>
      </c>
      <c r="J3" s="290"/>
      <c r="K3" s="290"/>
      <c r="L3" s="290"/>
      <c r="M3" s="290"/>
      <c r="N3" s="290"/>
      <c r="O3" s="290"/>
    </row>
    <row r="4" spans="1:15" x14ac:dyDescent="0.25">
      <c r="A4" s="304" t="s">
        <v>253</v>
      </c>
      <c r="B4" s="4" t="s">
        <v>292</v>
      </c>
      <c r="C4" s="4" t="s">
        <v>318</v>
      </c>
      <c r="D4" s="4" t="s">
        <v>319</v>
      </c>
      <c r="E4" s="4" t="s">
        <v>295</v>
      </c>
      <c r="F4" s="4" t="s">
        <v>296</v>
      </c>
      <c r="G4" s="4" t="s">
        <v>297</v>
      </c>
      <c r="I4" s="304" t="s">
        <v>253</v>
      </c>
      <c r="J4" s="4" t="s">
        <v>305</v>
      </c>
      <c r="K4" s="4" t="s">
        <v>318</v>
      </c>
      <c r="L4" s="4" t="s">
        <v>319</v>
      </c>
      <c r="M4" s="4" t="s">
        <v>306</v>
      </c>
      <c r="N4" s="4" t="s">
        <v>296</v>
      </c>
      <c r="O4" s="4" t="s">
        <v>297</v>
      </c>
    </row>
    <row r="5" spans="1:15" x14ac:dyDescent="0.25">
      <c r="A5" s="304"/>
      <c r="B5" s="5">
        <v>130.07</v>
      </c>
      <c r="C5" s="33">
        <v>98.17</v>
      </c>
      <c r="D5" s="33">
        <v>34.93</v>
      </c>
      <c r="E5" s="5">
        <v>12.17</v>
      </c>
      <c r="F5" s="7">
        <f>'Labour Rate'!$C$7</f>
        <v>48.39991666666667</v>
      </c>
      <c r="G5" s="4">
        <v>15</v>
      </c>
      <c r="I5" s="304"/>
      <c r="J5" s="5">
        <v>130.07</v>
      </c>
      <c r="K5" s="33">
        <v>98.17</v>
      </c>
      <c r="L5" s="33">
        <v>34.93</v>
      </c>
      <c r="M5" s="5">
        <v>15.14</v>
      </c>
      <c r="N5" s="7">
        <f>'Labour Rate'!$C$7</f>
        <v>48.39991666666667</v>
      </c>
      <c r="O5" s="4">
        <v>15</v>
      </c>
    </row>
    <row r="6" spans="1:15" x14ac:dyDescent="0.25">
      <c r="A6" s="34" t="s">
        <v>16</v>
      </c>
      <c r="B6" s="9">
        <v>12</v>
      </c>
      <c r="C6" s="9">
        <v>13.86</v>
      </c>
      <c r="D6" s="9">
        <v>14.85</v>
      </c>
      <c r="E6" s="9">
        <v>0</v>
      </c>
      <c r="F6" s="9">
        <v>19</v>
      </c>
      <c r="G6" s="15">
        <f t="shared" ref="G6:G12" si="0">(($B$5*B6)+($C$5*C6)+($D$5*D6)+($E$5*E6)+($F$5*F6))/$G$5</f>
        <v>290.65234111111113</v>
      </c>
      <c r="I6" s="34" t="s">
        <v>16</v>
      </c>
      <c r="J6" s="9">
        <v>12</v>
      </c>
      <c r="K6" s="9">
        <v>13.86</v>
      </c>
      <c r="L6" s="9">
        <v>14.85</v>
      </c>
      <c r="M6" s="9">
        <v>0</v>
      </c>
      <c r="N6" s="9">
        <v>19</v>
      </c>
      <c r="O6" s="15">
        <f t="shared" ref="O6:O12" si="1">(($J$5*J6)+($K$5*K6)+($L$5*L6)+($M$5*M6)+($N$5*N6))/$O$5</f>
        <v>290.65234111111113</v>
      </c>
    </row>
    <row r="7" spans="1:15" x14ac:dyDescent="0.25">
      <c r="A7" s="34" t="s">
        <v>70</v>
      </c>
      <c r="B7" s="9">
        <v>12</v>
      </c>
      <c r="C7" s="9">
        <v>15.400000000000002</v>
      </c>
      <c r="D7" s="9">
        <v>16.5</v>
      </c>
      <c r="E7" s="9">
        <v>0</v>
      </c>
      <c r="F7" s="9">
        <v>19</v>
      </c>
      <c r="G7" s="15">
        <f t="shared" si="0"/>
        <v>304.57342777777779</v>
      </c>
      <c r="I7" s="34" t="s">
        <v>70</v>
      </c>
      <c r="J7" s="9">
        <v>12</v>
      </c>
      <c r="K7" s="9">
        <v>15.400000000000002</v>
      </c>
      <c r="L7" s="9">
        <v>16.5</v>
      </c>
      <c r="M7" s="9">
        <v>0</v>
      </c>
      <c r="N7" s="9">
        <v>19</v>
      </c>
      <c r="O7" s="15">
        <f t="shared" si="1"/>
        <v>304.57342777777779</v>
      </c>
    </row>
    <row r="8" spans="1:15" x14ac:dyDescent="0.25">
      <c r="A8" s="34" t="s">
        <v>87</v>
      </c>
      <c r="B8" s="9">
        <v>12</v>
      </c>
      <c r="C8" s="9">
        <v>16.939999999999998</v>
      </c>
      <c r="D8" s="9">
        <v>18.149999999999999</v>
      </c>
      <c r="E8" s="9">
        <v>0</v>
      </c>
      <c r="F8" s="9">
        <v>19</v>
      </c>
      <c r="G8" s="15">
        <f t="shared" si="0"/>
        <v>318.49451444444446</v>
      </c>
      <c r="I8" s="34" t="s">
        <v>87</v>
      </c>
      <c r="J8" s="9">
        <v>12</v>
      </c>
      <c r="K8" s="9">
        <v>16.939999999999998</v>
      </c>
      <c r="L8" s="9">
        <v>18.149999999999999</v>
      </c>
      <c r="M8" s="9">
        <v>0</v>
      </c>
      <c r="N8" s="9">
        <v>19</v>
      </c>
      <c r="O8" s="15">
        <f t="shared" si="1"/>
        <v>318.49451444444446</v>
      </c>
    </row>
    <row r="9" spans="1:15" x14ac:dyDescent="0.25">
      <c r="A9" s="34" t="s">
        <v>88</v>
      </c>
      <c r="B9" s="9">
        <v>12</v>
      </c>
      <c r="C9" s="9">
        <v>18.48</v>
      </c>
      <c r="D9" s="9">
        <v>19.799999999999997</v>
      </c>
      <c r="E9" s="9">
        <v>0</v>
      </c>
      <c r="F9" s="9">
        <v>19</v>
      </c>
      <c r="G9" s="15">
        <f t="shared" si="0"/>
        <v>332.41560111111113</v>
      </c>
      <c r="I9" s="34" t="s">
        <v>88</v>
      </c>
      <c r="J9" s="9">
        <v>12</v>
      </c>
      <c r="K9" s="10">
        <v>18.48</v>
      </c>
      <c r="L9" s="9">
        <v>19.799999999999997</v>
      </c>
      <c r="M9" s="9">
        <v>0</v>
      </c>
      <c r="N9" s="9">
        <v>19</v>
      </c>
      <c r="O9" s="15">
        <f t="shared" si="1"/>
        <v>332.41560111111113</v>
      </c>
    </row>
    <row r="10" spans="1:15" x14ac:dyDescent="0.25">
      <c r="A10" s="34" t="s">
        <v>68</v>
      </c>
      <c r="B10" s="9">
        <v>12</v>
      </c>
      <c r="C10" s="9">
        <v>21.560000000000002</v>
      </c>
      <c r="D10" s="9">
        <v>23.1</v>
      </c>
      <c r="E10" s="9">
        <v>6</v>
      </c>
      <c r="F10" s="9">
        <v>20</v>
      </c>
      <c r="G10" s="15">
        <f t="shared" si="0"/>
        <v>368.35243555555559</v>
      </c>
      <c r="I10" s="34" t="s">
        <v>68</v>
      </c>
      <c r="J10" s="9">
        <v>12</v>
      </c>
      <c r="K10" s="9">
        <v>21.560000000000002</v>
      </c>
      <c r="L10" s="9">
        <v>23.1</v>
      </c>
      <c r="M10" s="9">
        <v>6</v>
      </c>
      <c r="N10" s="9">
        <v>20</v>
      </c>
      <c r="O10" s="15">
        <f t="shared" si="1"/>
        <v>369.54043555555558</v>
      </c>
    </row>
    <row r="11" spans="1:15" x14ac:dyDescent="0.25">
      <c r="A11" s="34" t="s">
        <v>56</v>
      </c>
      <c r="B11" s="9">
        <v>12</v>
      </c>
      <c r="C11" s="9">
        <v>24.64</v>
      </c>
      <c r="D11" s="9">
        <v>26.400000000000002</v>
      </c>
      <c r="E11" s="9">
        <v>6</v>
      </c>
      <c r="F11" s="9">
        <v>21</v>
      </c>
      <c r="G11" s="15">
        <f t="shared" si="0"/>
        <v>399.42127000000005</v>
      </c>
      <c r="I11" s="34" t="s">
        <v>56</v>
      </c>
      <c r="J11" s="9">
        <v>12</v>
      </c>
      <c r="K11" s="9">
        <v>24.64</v>
      </c>
      <c r="L11" s="9">
        <v>26.400000000000002</v>
      </c>
      <c r="M11" s="9">
        <v>6</v>
      </c>
      <c r="N11" s="9">
        <v>21</v>
      </c>
      <c r="O11" s="15">
        <f t="shared" si="1"/>
        <v>400.60927000000004</v>
      </c>
    </row>
    <row r="12" spans="1:15" x14ac:dyDescent="0.25">
      <c r="A12" s="34" t="s">
        <v>89</v>
      </c>
      <c r="B12" s="9">
        <v>12</v>
      </c>
      <c r="C12" s="9">
        <v>30.800000000000004</v>
      </c>
      <c r="D12" s="9">
        <v>33</v>
      </c>
      <c r="E12" s="9">
        <v>6</v>
      </c>
      <c r="F12" s="9">
        <v>21.9</v>
      </c>
      <c r="G12" s="15">
        <f t="shared" si="0"/>
        <v>458.00961166666673</v>
      </c>
      <c r="I12" s="34" t="s">
        <v>89</v>
      </c>
      <c r="J12" s="9">
        <v>12</v>
      </c>
      <c r="K12" s="9">
        <v>30.800000000000004</v>
      </c>
      <c r="L12" s="9">
        <v>33</v>
      </c>
      <c r="M12" s="9">
        <v>6</v>
      </c>
      <c r="N12" s="9">
        <v>21.9</v>
      </c>
      <c r="O12" s="15">
        <f t="shared" si="1"/>
        <v>459.19761166666672</v>
      </c>
    </row>
    <row r="13" spans="1:15" ht="6" customHeight="1" x14ac:dyDescent="0.25">
      <c r="J13" s="1"/>
      <c r="K13" s="1"/>
      <c r="L13" s="1"/>
      <c r="M13" s="1"/>
      <c r="N13" s="1"/>
      <c r="O13" s="1"/>
    </row>
    <row r="14" spans="1:15" x14ac:dyDescent="0.25">
      <c r="A14" s="157" t="s">
        <v>67</v>
      </c>
      <c r="B14" s="157"/>
      <c r="C14" s="157"/>
      <c r="D14" s="157"/>
      <c r="E14" s="157"/>
      <c r="F14" s="157"/>
      <c r="G14" s="157"/>
      <c r="I14" s="157" t="s">
        <v>67</v>
      </c>
      <c r="J14" s="157"/>
      <c r="K14" s="157"/>
      <c r="L14" s="157"/>
      <c r="M14" s="157"/>
      <c r="N14" s="157"/>
      <c r="O14" s="157"/>
    </row>
    <row r="15" spans="1:15" x14ac:dyDescent="0.25">
      <c r="A15" s="35" t="s">
        <v>253</v>
      </c>
      <c r="B15" s="4" t="s">
        <v>292</v>
      </c>
      <c r="C15" s="4" t="s">
        <v>318</v>
      </c>
      <c r="D15" s="4" t="s">
        <v>319</v>
      </c>
      <c r="E15" s="4" t="s">
        <v>295</v>
      </c>
      <c r="F15" s="4" t="s">
        <v>296</v>
      </c>
      <c r="G15" s="4" t="s">
        <v>297</v>
      </c>
      <c r="I15" s="35" t="s">
        <v>253</v>
      </c>
      <c r="J15" s="4" t="s">
        <v>305</v>
      </c>
      <c r="K15" s="4" t="s">
        <v>318</v>
      </c>
      <c r="L15" s="4" t="s">
        <v>319</v>
      </c>
      <c r="M15" s="4" t="s">
        <v>306</v>
      </c>
      <c r="N15" s="4" t="s">
        <v>296</v>
      </c>
      <c r="O15" s="4" t="s">
        <v>297</v>
      </c>
    </row>
    <row r="16" spans="1:15" x14ac:dyDescent="0.25">
      <c r="A16" s="35"/>
      <c r="B16" s="5">
        <v>130.07</v>
      </c>
      <c r="C16" s="33">
        <v>114.07</v>
      </c>
      <c r="D16" s="33">
        <v>34.93</v>
      </c>
      <c r="E16" s="5">
        <v>12.17</v>
      </c>
      <c r="F16" s="7">
        <f>'Labour Rate'!$C$7</f>
        <v>48.39991666666667</v>
      </c>
      <c r="G16" s="4">
        <v>15</v>
      </c>
      <c r="I16" s="35"/>
      <c r="J16" s="5">
        <v>130.07</v>
      </c>
      <c r="K16" s="33">
        <v>114.07</v>
      </c>
      <c r="L16" s="33">
        <v>34.93</v>
      </c>
      <c r="M16" s="5">
        <v>15.14</v>
      </c>
      <c r="N16" s="7">
        <f>'Labour Rate'!$C$7</f>
        <v>48.39991666666667</v>
      </c>
      <c r="O16" s="4">
        <v>15</v>
      </c>
    </row>
    <row r="17" spans="1:15" x14ac:dyDescent="0.25">
      <c r="A17" s="34" t="s">
        <v>16</v>
      </c>
      <c r="B17" s="9">
        <v>12</v>
      </c>
      <c r="C17" s="9">
        <v>13.86</v>
      </c>
      <c r="D17" s="9">
        <v>14.85</v>
      </c>
      <c r="E17" s="9">
        <v>0</v>
      </c>
      <c r="F17" s="9">
        <v>19</v>
      </c>
      <c r="G17" s="15">
        <f t="shared" ref="G17:G23" si="2">(($B$16*B17)+($C$16*C17)+($D$16*D17)+($E$16*E17)+($F$16*F17))/$G$16</f>
        <v>305.34394111111112</v>
      </c>
      <c r="I17" s="34" t="s">
        <v>16</v>
      </c>
      <c r="J17" s="9">
        <v>12</v>
      </c>
      <c r="K17" s="9">
        <v>13.86</v>
      </c>
      <c r="L17" s="9">
        <v>14.85</v>
      </c>
      <c r="M17" s="9">
        <v>0</v>
      </c>
      <c r="N17" s="9">
        <v>19</v>
      </c>
      <c r="O17" s="15">
        <f t="shared" ref="O17:O23" si="3">(($J$16*J17)+($K$16*K17)+($L$16*L17)+($M$16*M17)+($N$16*N17))/$O$16</f>
        <v>305.34394111111112</v>
      </c>
    </row>
    <row r="18" spans="1:15" x14ac:dyDescent="0.25">
      <c r="A18" s="34" t="s">
        <v>70</v>
      </c>
      <c r="B18" s="9">
        <v>12</v>
      </c>
      <c r="C18" s="9">
        <v>15.400000000000002</v>
      </c>
      <c r="D18" s="9">
        <v>16.5</v>
      </c>
      <c r="E18" s="9">
        <v>0</v>
      </c>
      <c r="F18" s="9">
        <v>19</v>
      </c>
      <c r="G18" s="15">
        <f t="shared" si="2"/>
        <v>320.89742777777781</v>
      </c>
      <c r="I18" s="34" t="s">
        <v>70</v>
      </c>
      <c r="J18" s="9">
        <v>12</v>
      </c>
      <c r="K18" s="9">
        <v>15.400000000000002</v>
      </c>
      <c r="L18" s="9">
        <v>16.5</v>
      </c>
      <c r="M18" s="9">
        <v>0</v>
      </c>
      <c r="N18" s="9">
        <v>19</v>
      </c>
      <c r="O18" s="15">
        <f t="shared" si="3"/>
        <v>320.89742777777781</v>
      </c>
    </row>
    <row r="19" spans="1:15" x14ac:dyDescent="0.25">
      <c r="A19" s="34" t="s">
        <v>87</v>
      </c>
      <c r="B19" s="9">
        <v>12</v>
      </c>
      <c r="C19" s="9">
        <v>16.939999999999998</v>
      </c>
      <c r="D19" s="9">
        <v>18.149999999999999</v>
      </c>
      <c r="E19" s="9">
        <v>0</v>
      </c>
      <c r="F19" s="9">
        <v>19</v>
      </c>
      <c r="G19" s="15">
        <f t="shared" si="2"/>
        <v>336.45091444444438</v>
      </c>
      <c r="I19" s="34" t="s">
        <v>87</v>
      </c>
      <c r="J19" s="9">
        <v>12</v>
      </c>
      <c r="K19" s="9">
        <v>16.939999999999998</v>
      </c>
      <c r="L19" s="9">
        <v>18.149999999999999</v>
      </c>
      <c r="M19" s="9">
        <v>0</v>
      </c>
      <c r="N19" s="9">
        <v>19</v>
      </c>
      <c r="O19" s="15">
        <f t="shared" si="3"/>
        <v>336.45091444444438</v>
      </c>
    </row>
    <row r="20" spans="1:15" x14ac:dyDescent="0.25">
      <c r="A20" s="34" t="s">
        <v>88</v>
      </c>
      <c r="B20" s="9">
        <v>12</v>
      </c>
      <c r="C20" s="9">
        <v>18.48</v>
      </c>
      <c r="D20" s="9">
        <v>19.799999999999997</v>
      </c>
      <c r="E20" s="9">
        <v>0</v>
      </c>
      <c r="F20" s="9">
        <v>19</v>
      </c>
      <c r="G20" s="15">
        <f t="shared" si="2"/>
        <v>352.00440111111106</v>
      </c>
      <c r="I20" s="34" t="s">
        <v>88</v>
      </c>
      <c r="J20" s="9">
        <v>12</v>
      </c>
      <c r="K20" s="9">
        <v>18.48</v>
      </c>
      <c r="L20" s="9">
        <v>19.799999999999997</v>
      </c>
      <c r="M20" s="9">
        <v>0</v>
      </c>
      <c r="N20" s="9">
        <v>19</v>
      </c>
      <c r="O20" s="15">
        <f t="shared" si="3"/>
        <v>352.00440111111106</v>
      </c>
    </row>
    <row r="21" spans="1:15" x14ac:dyDescent="0.25">
      <c r="A21" s="34" t="s">
        <v>68</v>
      </c>
      <c r="B21" s="9">
        <v>12</v>
      </c>
      <c r="C21" s="9">
        <v>21.560000000000002</v>
      </c>
      <c r="D21" s="9">
        <v>23.1</v>
      </c>
      <c r="E21" s="9">
        <v>6</v>
      </c>
      <c r="F21" s="9">
        <v>20</v>
      </c>
      <c r="G21" s="15">
        <f t="shared" si="2"/>
        <v>391.20603555555562</v>
      </c>
      <c r="I21" s="34" t="s">
        <v>68</v>
      </c>
      <c r="J21" s="9">
        <v>12</v>
      </c>
      <c r="K21" s="9">
        <v>21.560000000000002</v>
      </c>
      <c r="L21" s="9">
        <v>23.1</v>
      </c>
      <c r="M21" s="9">
        <v>6</v>
      </c>
      <c r="N21" s="9">
        <v>20</v>
      </c>
      <c r="O21" s="15">
        <f t="shared" si="3"/>
        <v>392.3940355555556</v>
      </c>
    </row>
    <row r="22" spans="1:15" x14ac:dyDescent="0.25">
      <c r="A22" s="34" t="s">
        <v>56</v>
      </c>
      <c r="B22" s="9">
        <v>12</v>
      </c>
      <c r="C22" s="9">
        <v>24.64</v>
      </c>
      <c r="D22" s="9">
        <v>26.400000000000002</v>
      </c>
      <c r="E22" s="9">
        <v>6</v>
      </c>
      <c r="F22" s="9">
        <v>21</v>
      </c>
      <c r="G22" s="15">
        <f t="shared" si="2"/>
        <v>425.53967000000006</v>
      </c>
      <c r="I22" s="34" t="s">
        <v>56</v>
      </c>
      <c r="J22" s="9">
        <v>12</v>
      </c>
      <c r="K22" s="9">
        <v>24.64</v>
      </c>
      <c r="L22" s="9">
        <v>26.400000000000002</v>
      </c>
      <c r="M22" s="9">
        <v>6</v>
      </c>
      <c r="N22" s="9">
        <v>21</v>
      </c>
      <c r="O22" s="15">
        <f t="shared" si="3"/>
        <v>426.72767000000005</v>
      </c>
    </row>
    <row r="23" spans="1:15" x14ac:dyDescent="0.25">
      <c r="A23" s="34" t="s">
        <v>89</v>
      </c>
      <c r="B23" s="9">
        <v>12</v>
      </c>
      <c r="C23" s="9">
        <v>30.800000000000004</v>
      </c>
      <c r="D23" s="9">
        <v>33</v>
      </c>
      <c r="E23" s="9">
        <v>6</v>
      </c>
      <c r="F23" s="9">
        <v>21.9</v>
      </c>
      <c r="G23" s="15">
        <f t="shared" si="2"/>
        <v>490.6576116666667</v>
      </c>
      <c r="I23" s="34" t="s">
        <v>89</v>
      </c>
      <c r="J23" s="9">
        <v>12</v>
      </c>
      <c r="K23" s="9">
        <v>30.800000000000004</v>
      </c>
      <c r="L23" s="9">
        <v>33</v>
      </c>
      <c r="M23" s="9">
        <v>6</v>
      </c>
      <c r="N23" s="9">
        <v>21.9</v>
      </c>
      <c r="O23" s="15">
        <f t="shared" si="3"/>
        <v>491.84561166666668</v>
      </c>
    </row>
    <row r="24" spans="1:15" ht="6" customHeight="1" x14ac:dyDescent="0.25"/>
    <row r="25" spans="1:15" x14ac:dyDescent="0.25">
      <c r="I25" s="157" t="s">
        <v>69</v>
      </c>
      <c r="J25" s="157"/>
      <c r="K25" s="157"/>
      <c r="L25" s="157"/>
      <c r="M25" s="157"/>
      <c r="N25" s="157"/>
      <c r="O25" s="157"/>
    </row>
    <row r="26" spans="1:15" x14ac:dyDescent="0.25">
      <c r="I26" s="35" t="s">
        <v>253</v>
      </c>
      <c r="J26" s="4" t="s">
        <v>305</v>
      </c>
      <c r="K26" s="4" t="s">
        <v>320</v>
      </c>
      <c r="L26" s="4" t="s">
        <v>319</v>
      </c>
      <c r="M26" s="4" t="s">
        <v>306</v>
      </c>
      <c r="N26" s="4" t="s">
        <v>296</v>
      </c>
      <c r="O26" s="4" t="s">
        <v>297</v>
      </c>
    </row>
    <row r="27" spans="1:15" x14ac:dyDescent="0.25">
      <c r="I27" s="35"/>
      <c r="J27" s="5">
        <v>130.07</v>
      </c>
      <c r="K27" s="33">
        <v>130.07</v>
      </c>
      <c r="L27" s="33">
        <v>34.93</v>
      </c>
      <c r="M27" s="5">
        <v>15.14</v>
      </c>
      <c r="N27" s="7">
        <f>'Labour Rate'!$C$7</f>
        <v>48.39991666666667</v>
      </c>
      <c r="O27" s="4">
        <v>15</v>
      </c>
    </row>
    <row r="28" spans="1:15" x14ac:dyDescent="0.25">
      <c r="I28" s="34" t="s">
        <v>16</v>
      </c>
      <c r="J28" s="9">
        <v>12</v>
      </c>
      <c r="K28" s="9">
        <v>13.86</v>
      </c>
      <c r="L28" s="9">
        <v>14.85</v>
      </c>
      <c r="M28" s="9">
        <v>0</v>
      </c>
      <c r="N28" s="9">
        <v>19</v>
      </c>
      <c r="O28" s="15">
        <f t="shared" ref="O28:O34" si="4">(($J$27*J28)+($K$27*K28)+($L$27*L28)+($M$27*M28)+($N$27*N28))/$O$27</f>
        <v>320.12794111111111</v>
      </c>
    </row>
    <row r="29" spans="1:15" x14ac:dyDescent="0.25">
      <c r="I29" s="34" t="s">
        <v>70</v>
      </c>
      <c r="J29" s="9">
        <v>12</v>
      </c>
      <c r="K29" s="9">
        <v>15.400000000000002</v>
      </c>
      <c r="L29" s="9">
        <v>16.5</v>
      </c>
      <c r="M29" s="9">
        <v>0</v>
      </c>
      <c r="N29" s="9">
        <v>19</v>
      </c>
      <c r="O29" s="15">
        <f t="shared" si="4"/>
        <v>337.32409444444443</v>
      </c>
    </row>
    <row r="30" spans="1:15" x14ac:dyDescent="0.25">
      <c r="I30" s="34" t="s">
        <v>87</v>
      </c>
      <c r="J30" s="9">
        <v>12</v>
      </c>
      <c r="K30" s="9">
        <v>16.939999999999998</v>
      </c>
      <c r="L30" s="9">
        <v>18.149999999999999</v>
      </c>
      <c r="M30" s="9">
        <v>0</v>
      </c>
      <c r="N30" s="9">
        <v>19</v>
      </c>
      <c r="O30" s="15">
        <f t="shared" si="4"/>
        <v>354.52024777777774</v>
      </c>
    </row>
    <row r="31" spans="1:15" x14ac:dyDescent="0.25">
      <c r="I31" s="34" t="s">
        <v>88</v>
      </c>
      <c r="J31" s="9">
        <v>12</v>
      </c>
      <c r="K31" s="9">
        <v>18.48</v>
      </c>
      <c r="L31" s="9">
        <v>19.799999999999997</v>
      </c>
      <c r="M31" s="9">
        <v>0</v>
      </c>
      <c r="N31" s="9">
        <v>19</v>
      </c>
      <c r="O31" s="15">
        <f t="shared" si="4"/>
        <v>371.71640111111105</v>
      </c>
    </row>
    <row r="32" spans="1:15" x14ac:dyDescent="0.25">
      <c r="I32" s="34" t="s">
        <v>68</v>
      </c>
      <c r="J32" s="9">
        <v>12</v>
      </c>
      <c r="K32" s="9">
        <v>21.560000000000002</v>
      </c>
      <c r="L32" s="9">
        <v>23.1</v>
      </c>
      <c r="M32" s="9">
        <v>6</v>
      </c>
      <c r="N32" s="9">
        <v>20</v>
      </c>
      <c r="O32" s="15">
        <f t="shared" si="4"/>
        <v>415.39136888888885</v>
      </c>
    </row>
    <row r="33" spans="9:15" x14ac:dyDescent="0.25">
      <c r="I33" s="34" t="s">
        <v>56</v>
      </c>
      <c r="J33" s="9">
        <v>12</v>
      </c>
      <c r="K33" s="9">
        <v>24.64</v>
      </c>
      <c r="L33" s="9">
        <v>26.400000000000002</v>
      </c>
      <c r="M33" s="9">
        <v>6</v>
      </c>
      <c r="N33" s="9">
        <v>21</v>
      </c>
      <c r="O33" s="15">
        <f t="shared" si="4"/>
        <v>453.01033666666666</v>
      </c>
    </row>
    <row r="34" spans="9:15" x14ac:dyDescent="0.25">
      <c r="I34" s="34" t="s">
        <v>89</v>
      </c>
      <c r="J34" s="9">
        <v>12</v>
      </c>
      <c r="K34" s="9">
        <v>30.800000000000004</v>
      </c>
      <c r="L34" s="9">
        <v>33</v>
      </c>
      <c r="M34" s="9">
        <v>6</v>
      </c>
      <c r="N34" s="9">
        <v>21.9</v>
      </c>
      <c r="O34" s="15">
        <f t="shared" si="4"/>
        <v>524.69894499999998</v>
      </c>
    </row>
    <row r="35" spans="9:15" ht="6" customHeight="1" x14ac:dyDescent="0.25">
      <c r="J35" s="1"/>
      <c r="K35" s="1"/>
      <c r="L35" s="1"/>
      <c r="M35" s="1"/>
      <c r="N35" s="1"/>
      <c r="O35" s="1"/>
    </row>
    <row r="36" spans="9:15" x14ac:dyDescent="0.25">
      <c r="I36" s="157" t="s">
        <v>67</v>
      </c>
      <c r="J36" s="157"/>
      <c r="K36" s="157"/>
      <c r="L36" s="157"/>
      <c r="M36" s="157"/>
      <c r="N36" s="157"/>
      <c r="O36" s="157"/>
    </row>
    <row r="37" spans="9:15" x14ac:dyDescent="0.25">
      <c r="I37" s="35" t="s">
        <v>253</v>
      </c>
      <c r="J37" s="4" t="s">
        <v>305</v>
      </c>
      <c r="K37" s="4" t="s">
        <v>320</v>
      </c>
      <c r="L37" s="4" t="s">
        <v>319</v>
      </c>
      <c r="M37" s="4" t="s">
        <v>306</v>
      </c>
      <c r="N37" s="4" t="s">
        <v>296</v>
      </c>
      <c r="O37" s="4" t="s">
        <v>297</v>
      </c>
    </row>
    <row r="38" spans="9:15" x14ac:dyDescent="0.25">
      <c r="I38" s="35"/>
      <c r="J38" s="5">
        <v>130.07</v>
      </c>
      <c r="K38" s="33">
        <v>151.74</v>
      </c>
      <c r="L38" s="33">
        <v>34.93</v>
      </c>
      <c r="M38" s="5">
        <v>15.14</v>
      </c>
      <c r="N38" s="7">
        <f>'Labour Rate'!$C$7</f>
        <v>48.39991666666667</v>
      </c>
      <c r="O38" s="4">
        <v>15</v>
      </c>
    </row>
    <row r="39" spans="9:15" x14ac:dyDescent="0.25">
      <c r="I39" s="34" t="s">
        <v>16</v>
      </c>
      <c r="J39" s="9">
        <v>12</v>
      </c>
      <c r="K39" s="9">
        <v>13.86</v>
      </c>
      <c r="L39" s="9">
        <v>14.85</v>
      </c>
      <c r="M39" s="9">
        <v>0</v>
      </c>
      <c r="N39" s="9">
        <v>19</v>
      </c>
      <c r="O39" s="15">
        <f t="shared" ref="O39:O45" si="5">(($J$38*J39)+($K$38*K39)+($L$38*L39)+($M$38*M39)+($N$38*N39))/$O$38</f>
        <v>340.15102111111111</v>
      </c>
    </row>
    <row r="40" spans="9:15" x14ac:dyDescent="0.25">
      <c r="I40" s="34" t="s">
        <v>70</v>
      </c>
      <c r="J40" s="9">
        <v>12</v>
      </c>
      <c r="K40" s="9">
        <v>15.400000000000002</v>
      </c>
      <c r="L40" s="9">
        <v>16.5</v>
      </c>
      <c r="M40" s="9">
        <v>0</v>
      </c>
      <c r="N40" s="9">
        <v>19</v>
      </c>
      <c r="O40" s="15">
        <f t="shared" si="5"/>
        <v>359.57196111111114</v>
      </c>
    </row>
    <row r="41" spans="9:15" x14ac:dyDescent="0.25">
      <c r="I41" s="34" t="s">
        <v>87</v>
      </c>
      <c r="J41" s="9">
        <v>12</v>
      </c>
      <c r="K41" s="9">
        <v>16.939999999999998</v>
      </c>
      <c r="L41" s="9">
        <v>18.149999999999999</v>
      </c>
      <c r="M41" s="9">
        <v>0</v>
      </c>
      <c r="N41" s="9">
        <v>19</v>
      </c>
      <c r="O41" s="15">
        <f t="shared" si="5"/>
        <v>378.99290111111105</v>
      </c>
    </row>
    <row r="42" spans="9:15" x14ac:dyDescent="0.25">
      <c r="I42" s="34" t="s">
        <v>88</v>
      </c>
      <c r="J42" s="9">
        <v>12</v>
      </c>
      <c r="K42" s="9">
        <v>18.48</v>
      </c>
      <c r="L42" s="9">
        <v>19.799999999999997</v>
      </c>
      <c r="M42" s="9">
        <v>0</v>
      </c>
      <c r="N42" s="9">
        <v>19</v>
      </c>
      <c r="O42" s="15">
        <f t="shared" si="5"/>
        <v>398.41384111111108</v>
      </c>
    </row>
    <row r="43" spans="9:15" x14ac:dyDescent="0.25">
      <c r="I43" s="34" t="s">
        <v>68</v>
      </c>
      <c r="J43" s="9">
        <v>12</v>
      </c>
      <c r="K43" s="9">
        <v>21.560000000000002</v>
      </c>
      <c r="L43" s="9">
        <v>23.1</v>
      </c>
      <c r="M43" s="9">
        <v>6</v>
      </c>
      <c r="N43" s="9">
        <v>20</v>
      </c>
      <c r="O43" s="15">
        <f t="shared" si="5"/>
        <v>446.5383822222222</v>
      </c>
    </row>
    <row r="44" spans="9:15" x14ac:dyDescent="0.25">
      <c r="I44" s="34" t="s">
        <v>56</v>
      </c>
      <c r="J44" s="9">
        <v>12</v>
      </c>
      <c r="K44" s="9">
        <v>24.64</v>
      </c>
      <c r="L44" s="9">
        <v>26.400000000000002</v>
      </c>
      <c r="M44" s="9">
        <v>6</v>
      </c>
      <c r="N44" s="9">
        <v>21</v>
      </c>
      <c r="O44" s="15">
        <f t="shared" si="5"/>
        <v>488.60692333333338</v>
      </c>
    </row>
    <row r="45" spans="9:15" x14ac:dyDescent="0.25">
      <c r="I45" s="34" t="s">
        <v>89</v>
      </c>
      <c r="J45" s="9">
        <v>12</v>
      </c>
      <c r="K45" s="9">
        <v>30.800000000000004</v>
      </c>
      <c r="L45" s="9">
        <v>33</v>
      </c>
      <c r="M45" s="9">
        <v>6</v>
      </c>
      <c r="N45" s="9">
        <v>21.9</v>
      </c>
      <c r="O45" s="15">
        <f t="shared" si="5"/>
        <v>569.1946783333334</v>
      </c>
    </row>
  </sheetData>
  <mergeCells count="6">
    <mergeCell ref="A1:G1"/>
    <mergeCell ref="I1:O1"/>
    <mergeCell ref="A3:G3"/>
    <mergeCell ref="I3:O3"/>
    <mergeCell ref="A4:A5"/>
    <mergeCell ref="I4:I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0D2C-AD6A-41A0-9AB9-4F37D5E8769E}">
  <sheetPr>
    <tabColor rgb="FFFF0000"/>
  </sheetPr>
  <dimension ref="A1:O45"/>
  <sheetViews>
    <sheetView zoomScaleNormal="100" workbookViewId="0">
      <selection activeCell="G33" sqref="G33"/>
    </sheetView>
  </sheetViews>
  <sheetFormatPr defaultRowHeight="15" x14ac:dyDescent="0.25"/>
  <cols>
    <col min="1" max="1" width="7.85546875" bestFit="1" customWidth="1"/>
    <col min="2" max="2" width="22.140625" style="1" bestFit="1" customWidth="1"/>
    <col min="3" max="3" width="19.140625" style="1" bestFit="1" customWidth="1"/>
    <col min="4" max="4" width="18.140625" style="1" bestFit="1" customWidth="1"/>
    <col min="5" max="5" width="18.140625" style="1" customWidth="1"/>
    <col min="6" max="6" width="15.85546875" style="1" bestFit="1" customWidth="1"/>
    <col min="7" max="7" width="31.85546875" style="1" bestFit="1" customWidth="1"/>
    <col min="8" max="8" width="8.7109375" bestFit="1" customWidth="1"/>
    <col min="9" max="9" width="7.85546875" bestFit="1" customWidth="1"/>
    <col min="10" max="10" width="22.140625" bestFit="1" customWidth="1"/>
    <col min="11" max="11" width="19.140625" bestFit="1" customWidth="1"/>
    <col min="12" max="12" width="18.140625" bestFit="1" customWidth="1"/>
    <col min="13" max="13" width="18.140625" customWidth="1"/>
    <col min="14" max="14" width="15.85546875" bestFit="1" customWidth="1"/>
    <col min="15" max="15" width="31.85546875" bestFit="1" customWidth="1"/>
  </cols>
  <sheetData>
    <row r="1" spans="1:15" ht="18.75" customHeight="1" x14ac:dyDescent="0.3">
      <c r="A1" s="303" t="s">
        <v>697</v>
      </c>
      <c r="B1" s="303"/>
      <c r="C1" s="303"/>
      <c r="D1" s="303"/>
      <c r="E1" s="303"/>
      <c r="F1" s="303"/>
      <c r="G1" s="303"/>
      <c r="I1" s="303" t="s">
        <v>697</v>
      </c>
      <c r="J1" s="303"/>
      <c r="K1" s="303"/>
      <c r="L1" s="303"/>
      <c r="M1" s="303"/>
      <c r="N1" s="303"/>
      <c r="O1" s="303"/>
    </row>
    <row r="2" spans="1:15" ht="6" customHeight="1" x14ac:dyDescent="0.25">
      <c r="J2" s="1"/>
      <c r="K2" s="1"/>
      <c r="L2" s="1"/>
      <c r="M2" s="1"/>
      <c r="N2" s="1"/>
      <c r="O2" s="1"/>
    </row>
    <row r="3" spans="1:15" x14ac:dyDescent="0.25">
      <c r="A3" s="290" t="s">
        <v>69</v>
      </c>
      <c r="B3" s="290"/>
      <c r="C3" s="290"/>
      <c r="D3" s="290"/>
      <c r="E3" s="290"/>
      <c r="F3" s="290"/>
      <c r="G3" s="290"/>
      <c r="I3" s="290" t="s">
        <v>69</v>
      </c>
      <c r="J3" s="290"/>
      <c r="K3" s="290"/>
      <c r="L3" s="290"/>
      <c r="M3" s="290"/>
      <c r="N3" s="290"/>
      <c r="O3" s="290"/>
    </row>
    <row r="4" spans="1:15" x14ac:dyDescent="0.25">
      <c r="A4" s="304" t="s">
        <v>253</v>
      </c>
      <c r="B4" s="4" t="s">
        <v>292</v>
      </c>
      <c r="C4" s="4" t="s">
        <v>318</v>
      </c>
      <c r="D4" s="4" t="s">
        <v>319</v>
      </c>
      <c r="E4" s="4" t="s">
        <v>295</v>
      </c>
      <c r="F4" s="4" t="s">
        <v>296</v>
      </c>
      <c r="G4" s="4" t="s">
        <v>297</v>
      </c>
      <c r="I4" s="304" t="s">
        <v>253</v>
      </c>
      <c r="J4" s="4" t="s">
        <v>305</v>
      </c>
      <c r="K4" s="4" t="s">
        <v>318</v>
      </c>
      <c r="L4" s="4" t="s">
        <v>319</v>
      </c>
      <c r="M4" s="4" t="s">
        <v>306</v>
      </c>
      <c r="N4" s="4" t="s">
        <v>296</v>
      </c>
      <c r="O4" s="4" t="s">
        <v>297</v>
      </c>
    </row>
    <row r="5" spans="1:15" x14ac:dyDescent="0.25">
      <c r="A5" s="304"/>
      <c r="B5" s="5">
        <v>47.04</v>
      </c>
      <c r="C5" s="33">
        <v>47.04</v>
      </c>
      <c r="D5" s="33">
        <v>16.05</v>
      </c>
      <c r="E5" s="5"/>
      <c r="F5" s="7">
        <f>'Labour Rate'!$C$7</f>
        <v>48.39991666666667</v>
      </c>
      <c r="G5" s="4">
        <v>15</v>
      </c>
      <c r="I5" s="304"/>
      <c r="J5" s="5">
        <v>60.25</v>
      </c>
      <c r="K5" s="33">
        <v>47.04</v>
      </c>
      <c r="L5" s="33">
        <v>16.05</v>
      </c>
      <c r="M5" s="5">
        <v>15.14</v>
      </c>
      <c r="N5" s="7">
        <f>'Labour Rate'!$C$7</f>
        <v>48.39991666666667</v>
      </c>
      <c r="O5" s="4">
        <v>15</v>
      </c>
    </row>
    <row r="6" spans="1:15" x14ac:dyDescent="0.25">
      <c r="A6" s="34" t="s">
        <v>16</v>
      </c>
      <c r="B6" s="9">
        <v>12</v>
      </c>
      <c r="C6" s="9">
        <v>13.86</v>
      </c>
      <c r="D6" s="9">
        <v>14.85</v>
      </c>
      <c r="E6" s="9">
        <v>0</v>
      </c>
      <c r="F6" s="9">
        <v>19</v>
      </c>
      <c r="G6" s="15">
        <f t="shared" ref="G6:G12" si="0">(($B$5*B6)+($C$5*C6)+($D$5*D6)+($E$5*E6)+($F$5*F6))/$G$5</f>
        <v>158.29302111111113</v>
      </c>
      <c r="I6" s="34" t="s">
        <v>16</v>
      </c>
      <c r="J6" s="9">
        <v>12</v>
      </c>
      <c r="K6" s="9">
        <v>13.86</v>
      </c>
      <c r="L6" s="9">
        <v>14.85</v>
      </c>
      <c r="M6" s="9">
        <v>0</v>
      </c>
      <c r="N6" s="9">
        <v>19</v>
      </c>
      <c r="O6" s="15">
        <f t="shared" ref="O6:O12" si="1">(($J$5*J6)+($K$5*K6)+($L$5*L6)+($M$5*M6)+($N$5*N6))/$O$5</f>
        <v>168.86102111111111</v>
      </c>
    </row>
    <row r="7" spans="1:15" x14ac:dyDescent="0.25">
      <c r="A7" s="34" t="s">
        <v>70</v>
      </c>
      <c r="B7" s="9">
        <v>12</v>
      </c>
      <c r="C7" s="9">
        <v>15.400000000000002</v>
      </c>
      <c r="D7" s="9">
        <v>16.5</v>
      </c>
      <c r="E7" s="9">
        <v>0</v>
      </c>
      <c r="F7" s="9">
        <v>19</v>
      </c>
      <c r="G7" s="15">
        <f t="shared" si="0"/>
        <v>164.88796111111114</v>
      </c>
      <c r="I7" s="34" t="s">
        <v>70</v>
      </c>
      <c r="J7" s="9">
        <v>12</v>
      </c>
      <c r="K7" s="9">
        <v>15.400000000000002</v>
      </c>
      <c r="L7" s="9">
        <v>16.5</v>
      </c>
      <c r="M7" s="9">
        <v>0</v>
      </c>
      <c r="N7" s="9">
        <v>19</v>
      </c>
      <c r="O7" s="15">
        <f t="shared" si="1"/>
        <v>175.45596111111112</v>
      </c>
    </row>
    <row r="8" spans="1:15" x14ac:dyDescent="0.25">
      <c r="A8" s="34" t="s">
        <v>87</v>
      </c>
      <c r="B8" s="9">
        <v>12</v>
      </c>
      <c r="C8" s="9">
        <v>16.939999999999998</v>
      </c>
      <c r="D8" s="9">
        <v>18.149999999999999</v>
      </c>
      <c r="E8" s="9">
        <v>0</v>
      </c>
      <c r="F8" s="9">
        <v>19</v>
      </c>
      <c r="G8" s="15">
        <f t="shared" si="0"/>
        <v>171.48290111111109</v>
      </c>
      <c r="I8" s="34" t="s">
        <v>87</v>
      </c>
      <c r="J8" s="9">
        <v>12</v>
      </c>
      <c r="K8" s="9">
        <v>16.939999999999998</v>
      </c>
      <c r="L8" s="9">
        <v>18.149999999999999</v>
      </c>
      <c r="M8" s="9">
        <v>0</v>
      </c>
      <c r="N8" s="9">
        <v>19</v>
      </c>
      <c r="O8" s="15">
        <f t="shared" si="1"/>
        <v>182.0509011111111</v>
      </c>
    </row>
    <row r="9" spans="1:15" x14ac:dyDescent="0.25">
      <c r="A9" s="34" t="s">
        <v>88</v>
      </c>
      <c r="B9" s="9">
        <v>12</v>
      </c>
      <c r="C9" s="9">
        <v>18.48</v>
      </c>
      <c r="D9" s="9">
        <v>19.799999999999997</v>
      </c>
      <c r="E9" s="9">
        <v>0</v>
      </c>
      <c r="F9" s="9">
        <v>19</v>
      </c>
      <c r="G9" s="15">
        <f t="shared" si="0"/>
        <v>178.0778411111111</v>
      </c>
      <c r="I9" s="34" t="s">
        <v>88</v>
      </c>
      <c r="J9" s="9">
        <v>12</v>
      </c>
      <c r="K9" s="10">
        <v>18.48</v>
      </c>
      <c r="L9" s="9">
        <v>19.799999999999997</v>
      </c>
      <c r="M9" s="9">
        <v>0</v>
      </c>
      <c r="N9" s="9">
        <v>19</v>
      </c>
      <c r="O9" s="15">
        <f t="shared" si="1"/>
        <v>188.64584111111111</v>
      </c>
    </row>
    <row r="10" spans="1:15" x14ac:dyDescent="0.25">
      <c r="A10" s="34" t="s">
        <v>68</v>
      </c>
      <c r="B10" s="9">
        <v>12</v>
      </c>
      <c r="C10" s="9">
        <v>21.560000000000002</v>
      </c>
      <c r="D10" s="9">
        <v>23.1</v>
      </c>
      <c r="E10" s="9">
        <v>6</v>
      </c>
      <c r="F10" s="9">
        <v>20</v>
      </c>
      <c r="G10" s="15">
        <f t="shared" si="0"/>
        <v>194.49438222222224</v>
      </c>
      <c r="I10" s="34" t="s">
        <v>68</v>
      </c>
      <c r="J10" s="9">
        <v>12</v>
      </c>
      <c r="K10" s="9">
        <v>21.560000000000002</v>
      </c>
      <c r="L10" s="9">
        <v>23.1</v>
      </c>
      <c r="M10" s="9">
        <v>6</v>
      </c>
      <c r="N10" s="9">
        <v>20</v>
      </c>
      <c r="O10" s="15">
        <f t="shared" si="1"/>
        <v>211.11838222222227</v>
      </c>
    </row>
    <row r="11" spans="1:15" x14ac:dyDescent="0.25">
      <c r="A11" s="34" t="s">
        <v>56</v>
      </c>
      <c r="B11" s="9">
        <v>12</v>
      </c>
      <c r="C11" s="9">
        <v>24.64</v>
      </c>
      <c r="D11" s="9">
        <v>26.400000000000002</v>
      </c>
      <c r="E11" s="9">
        <v>6</v>
      </c>
      <c r="F11" s="9">
        <v>21</v>
      </c>
      <c r="G11" s="15">
        <f t="shared" si="0"/>
        <v>210.91092333333333</v>
      </c>
      <c r="I11" s="34" t="s">
        <v>56</v>
      </c>
      <c r="J11" s="9">
        <v>12</v>
      </c>
      <c r="K11" s="9">
        <v>24.64</v>
      </c>
      <c r="L11" s="9">
        <v>26.400000000000002</v>
      </c>
      <c r="M11" s="9">
        <v>6</v>
      </c>
      <c r="N11" s="9">
        <v>21</v>
      </c>
      <c r="O11" s="15">
        <f t="shared" si="1"/>
        <v>227.53492333333335</v>
      </c>
    </row>
    <row r="12" spans="1:15" x14ac:dyDescent="0.25">
      <c r="A12" s="34" t="s">
        <v>89</v>
      </c>
      <c r="B12" s="9">
        <v>12</v>
      </c>
      <c r="C12" s="9">
        <v>30.800000000000004</v>
      </c>
      <c r="D12" s="9">
        <v>33</v>
      </c>
      <c r="E12" s="9">
        <v>6</v>
      </c>
      <c r="F12" s="9">
        <v>21.9</v>
      </c>
      <c r="G12" s="15">
        <f t="shared" si="0"/>
        <v>240.19467833333334</v>
      </c>
      <c r="I12" s="34" t="s">
        <v>89</v>
      </c>
      <c r="J12" s="9">
        <v>12</v>
      </c>
      <c r="K12" s="9">
        <v>30.800000000000004</v>
      </c>
      <c r="L12" s="9">
        <v>33</v>
      </c>
      <c r="M12" s="9">
        <v>6</v>
      </c>
      <c r="N12" s="9">
        <v>21.9</v>
      </c>
      <c r="O12" s="15">
        <f t="shared" si="1"/>
        <v>256.81867833333337</v>
      </c>
    </row>
    <row r="13" spans="1:15" ht="6" customHeight="1" x14ac:dyDescent="0.25">
      <c r="J13" s="1"/>
      <c r="K13" s="1"/>
      <c r="L13" s="1"/>
      <c r="M13" s="1"/>
      <c r="N13" s="1"/>
      <c r="O13" s="1"/>
    </row>
    <row r="14" spans="1:15" x14ac:dyDescent="0.25">
      <c r="A14" s="157" t="s">
        <v>67</v>
      </c>
      <c r="B14" s="157"/>
      <c r="C14" s="157"/>
      <c r="D14" s="157"/>
      <c r="E14" s="157"/>
      <c r="F14" s="157"/>
      <c r="G14" s="157"/>
      <c r="I14" s="157" t="s">
        <v>67</v>
      </c>
      <c r="J14" s="157"/>
      <c r="K14" s="157"/>
      <c r="L14" s="157"/>
      <c r="M14" s="157"/>
      <c r="N14" s="157"/>
      <c r="O14" s="157"/>
    </row>
    <row r="15" spans="1:15" x14ac:dyDescent="0.25">
      <c r="A15" s="35" t="s">
        <v>253</v>
      </c>
      <c r="B15" s="4" t="s">
        <v>292</v>
      </c>
      <c r="C15" s="4" t="s">
        <v>318</v>
      </c>
      <c r="D15" s="4" t="s">
        <v>319</v>
      </c>
      <c r="E15" s="4" t="s">
        <v>295</v>
      </c>
      <c r="F15" s="4" t="s">
        <v>296</v>
      </c>
      <c r="G15" s="4" t="s">
        <v>297</v>
      </c>
      <c r="I15" s="35" t="s">
        <v>253</v>
      </c>
      <c r="J15" s="4" t="s">
        <v>305</v>
      </c>
      <c r="K15" s="4" t="s">
        <v>318</v>
      </c>
      <c r="L15" s="4" t="s">
        <v>319</v>
      </c>
      <c r="M15" s="4" t="s">
        <v>306</v>
      </c>
      <c r="N15" s="4" t="s">
        <v>296</v>
      </c>
      <c r="O15" s="4" t="s">
        <v>297</v>
      </c>
    </row>
    <row r="16" spans="1:15" x14ac:dyDescent="0.25">
      <c r="A16" s="35"/>
      <c r="B16" s="5">
        <v>47.04</v>
      </c>
      <c r="C16" s="33">
        <v>54.66</v>
      </c>
      <c r="D16" s="33">
        <v>16.05</v>
      </c>
      <c r="E16" s="5">
        <v>12.17</v>
      </c>
      <c r="F16" s="7">
        <f>'Labour Rate'!$C$7</f>
        <v>48.39991666666667</v>
      </c>
      <c r="G16" s="4">
        <v>15</v>
      </c>
      <c r="I16" s="35"/>
      <c r="J16" s="5">
        <v>60.25</v>
      </c>
      <c r="K16" s="33">
        <v>54.66</v>
      </c>
      <c r="L16" s="33">
        <v>16.05</v>
      </c>
      <c r="M16" s="5">
        <v>15.14</v>
      </c>
      <c r="N16" s="7">
        <f>'Labour Rate'!$C$7</f>
        <v>48.39991666666667</v>
      </c>
      <c r="O16" s="4">
        <v>15</v>
      </c>
    </row>
    <row r="17" spans="1:15" x14ac:dyDescent="0.25">
      <c r="A17" s="34" t="s">
        <v>16</v>
      </c>
      <c r="B17" s="9">
        <v>12</v>
      </c>
      <c r="C17" s="9">
        <v>13.86</v>
      </c>
      <c r="D17" s="9">
        <v>14.85</v>
      </c>
      <c r="E17" s="9">
        <v>0</v>
      </c>
      <c r="F17" s="9">
        <v>19</v>
      </c>
      <c r="G17" s="15">
        <f t="shared" ref="G17:G23" si="2">(($B$16*B17)+($C$16*C17)+($D$16*D17)+($E$16*E17)+($F$16*F17))/$G$16</f>
        <v>165.33390111111112</v>
      </c>
      <c r="I17" s="34" t="s">
        <v>16</v>
      </c>
      <c r="J17" s="9">
        <v>12</v>
      </c>
      <c r="K17" s="9">
        <v>13.86</v>
      </c>
      <c r="L17" s="9">
        <v>14.85</v>
      </c>
      <c r="M17" s="9">
        <v>0</v>
      </c>
      <c r="N17" s="9">
        <v>19</v>
      </c>
      <c r="O17" s="15">
        <f t="shared" ref="O17:O23" si="3">(($J$16*J17)+($K$16*K17)+($L$16*L17)+($M$16*M17)+($N$16*N17))/$O$16</f>
        <v>175.90190111111107</v>
      </c>
    </row>
    <row r="18" spans="1:15" x14ac:dyDescent="0.25">
      <c r="A18" s="34" t="s">
        <v>70</v>
      </c>
      <c r="B18" s="9">
        <v>12</v>
      </c>
      <c r="C18" s="9">
        <v>15.400000000000002</v>
      </c>
      <c r="D18" s="9">
        <v>16.5</v>
      </c>
      <c r="E18" s="9">
        <v>0</v>
      </c>
      <c r="F18" s="9">
        <v>19</v>
      </c>
      <c r="G18" s="15">
        <f t="shared" si="2"/>
        <v>172.71116111111115</v>
      </c>
      <c r="I18" s="34" t="s">
        <v>70</v>
      </c>
      <c r="J18" s="9">
        <v>12</v>
      </c>
      <c r="K18" s="9">
        <v>15.400000000000002</v>
      </c>
      <c r="L18" s="9">
        <v>16.5</v>
      </c>
      <c r="M18" s="9">
        <v>0</v>
      </c>
      <c r="N18" s="9">
        <v>19</v>
      </c>
      <c r="O18" s="15">
        <f t="shared" si="3"/>
        <v>183.27916111111111</v>
      </c>
    </row>
    <row r="19" spans="1:15" x14ac:dyDescent="0.25">
      <c r="A19" s="34" t="s">
        <v>87</v>
      </c>
      <c r="B19" s="9">
        <v>12</v>
      </c>
      <c r="C19" s="9">
        <v>16.939999999999998</v>
      </c>
      <c r="D19" s="9">
        <v>18.149999999999999</v>
      </c>
      <c r="E19" s="9">
        <v>0</v>
      </c>
      <c r="F19" s="9">
        <v>19</v>
      </c>
      <c r="G19" s="15">
        <f t="shared" si="2"/>
        <v>180.0884211111111</v>
      </c>
      <c r="I19" s="34" t="s">
        <v>87</v>
      </c>
      <c r="J19" s="9">
        <v>12</v>
      </c>
      <c r="K19" s="9">
        <v>16.939999999999998</v>
      </c>
      <c r="L19" s="9">
        <v>18.149999999999999</v>
      </c>
      <c r="M19" s="9">
        <v>0</v>
      </c>
      <c r="N19" s="9">
        <v>19</v>
      </c>
      <c r="O19" s="15">
        <f t="shared" si="3"/>
        <v>190.65642111111111</v>
      </c>
    </row>
    <row r="20" spans="1:15" x14ac:dyDescent="0.25">
      <c r="A20" s="34" t="s">
        <v>88</v>
      </c>
      <c r="B20" s="9">
        <v>12</v>
      </c>
      <c r="C20" s="9">
        <v>18.48</v>
      </c>
      <c r="D20" s="9">
        <v>19.799999999999997</v>
      </c>
      <c r="E20" s="9">
        <v>0</v>
      </c>
      <c r="F20" s="9">
        <v>19</v>
      </c>
      <c r="G20" s="15">
        <f t="shared" si="2"/>
        <v>187.46568111111114</v>
      </c>
      <c r="I20" s="34" t="s">
        <v>88</v>
      </c>
      <c r="J20" s="9">
        <v>12</v>
      </c>
      <c r="K20" s="9">
        <v>18.48</v>
      </c>
      <c r="L20" s="9">
        <v>19.799999999999997</v>
      </c>
      <c r="M20" s="9">
        <v>0</v>
      </c>
      <c r="N20" s="9">
        <v>19</v>
      </c>
      <c r="O20" s="15">
        <f t="shared" si="3"/>
        <v>198.03368111111109</v>
      </c>
    </row>
    <row r="21" spans="1:15" x14ac:dyDescent="0.25">
      <c r="A21" s="34" t="s">
        <v>68</v>
      </c>
      <c r="B21" s="9">
        <v>12</v>
      </c>
      <c r="C21" s="9">
        <v>21.560000000000002</v>
      </c>
      <c r="D21" s="9">
        <v>23.1</v>
      </c>
      <c r="E21" s="9">
        <v>6</v>
      </c>
      <c r="F21" s="9">
        <v>20</v>
      </c>
      <c r="G21" s="15">
        <f t="shared" si="2"/>
        <v>210.31486222222222</v>
      </c>
      <c r="I21" s="34" t="s">
        <v>68</v>
      </c>
      <c r="J21" s="9">
        <v>12</v>
      </c>
      <c r="K21" s="9">
        <v>21.560000000000002</v>
      </c>
      <c r="L21" s="9">
        <v>23.1</v>
      </c>
      <c r="M21" s="9">
        <v>6</v>
      </c>
      <c r="N21" s="9">
        <v>20</v>
      </c>
      <c r="O21" s="15">
        <f t="shared" si="3"/>
        <v>222.07086222222225</v>
      </c>
    </row>
    <row r="22" spans="1:15" x14ac:dyDescent="0.25">
      <c r="A22" s="34" t="s">
        <v>56</v>
      </c>
      <c r="B22" s="9">
        <v>12</v>
      </c>
      <c r="C22" s="9">
        <v>24.64</v>
      </c>
      <c r="D22" s="9">
        <v>26.400000000000002</v>
      </c>
      <c r="E22" s="9">
        <v>6</v>
      </c>
      <c r="F22" s="9">
        <v>21</v>
      </c>
      <c r="G22" s="15">
        <f t="shared" si="2"/>
        <v>228.29604333333333</v>
      </c>
      <c r="I22" s="34" t="s">
        <v>56</v>
      </c>
      <c r="J22" s="9">
        <v>12</v>
      </c>
      <c r="K22" s="9">
        <v>24.64</v>
      </c>
      <c r="L22" s="9">
        <v>26.400000000000002</v>
      </c>
      <c r="M22" s="9">
        <v>6</v>
      </c>
      <c r="N22" s="9">
        <v>21</v>
      </c>
      <c r="O22" s="15">
        <f t="shared" si="3"/>
        <v>240.05204333333339</v>
      </c>
    </row>
    <row r="23" spans="1:15" x14ac:dyDescent="0.25">
      <c r="A23" s="34" t="s">
        <v>89</v>
      </c>
      <c r="B23" s="9">
        <v>12</v>
      </c>
      <c r="C23" s="9">
        <v>30.800000000000004</v>
      </c>
      <c r="D23" s="9">
        <v>33</v>
      </c>
      <c r="E23" s="9">
        <v>6</v>
      </c>
      <c r="F23" s="9">
        <v>21.9</v>
      </c>
      <c r="G23" s="15">
        <f t="shared" si="2"/>
        <v>260.70907833333331</v>
      </c>
      <c r="I23" s="34" t="s">
        <v>89</v>
      </c>
      <c r="J23" s="9">
        <v>12</v>
      </c>
      <c r="K23" s="9">
        <v>30.800000000000004</v>
      </c>
      <c r="L23" s="9">
        <v>33</v>
      </c>
      <c r="M23" s="9">
        <v>6</v>
      </c>
      <c r="N23" s="9">
        <v>21.9</v>
      </c>
      <c r="O23" s="15">
        <f t="shared" si="3"/>
        <v>272.46507833333339</v>
      </c>
    </row>
    <row r="24" spans="1:15" ht="6" customHeight="1" x14ac:dyDescent="0.25"/>
    <row r="25" spans="1:15" x14ac:dyDescent="0.25">
      <c r="I25" s="157" t="s">
        <v>69</v>
      </c>
      <c r="J25" s="157"/>
      <c r="K25" s="157"/>
      <c r="L25" s="157"/>
      <c r="M25" s="157"/>
      <c r="N25" s="157"/>
      <c r="O25" s="157"/>
    </row>
    <row r="26" spans="1:15" x14ac:dyDescent="0.25">
      <c r="I26" s="35" t="s">
        <v>253</v>
      </c>
      <c r="J26" s="4" t="s">
        <v>305</v>
      </c>
      <c r="K26" s="4" t="s">
        <v>320</v>
      </c>
      <c r="L26" s="4" t="s">
        <v>319</v>
      </c>
      <c r="M26" s="4" t="s">
        <v>306</v>
      </c>
      <c r="N26" s="4" t="s">
        <v>296</v>
      </c>
      <c r="O26" s="4" t="s">
        <v>297</v>
      </c>
    </row>
    <row r="27" spans="1:15" x14ac:dyDescent="0.25">
      <c r="I27" s="35"/>
      <c r="J27" s="5">
        <v>60.25</v>
      </c>
      <c r="K27" s="33">
        <v>60.25</v>
      </c>
      <c r="L27" s="33">
        <v>16.05</v>
      </c>
      <c r="M27" s="5">
        <v>15.14</v>
      </c>
      <c r="N27" s="7">
        <f>'Labour Rate'!$C$7</f>
        <v>48.39991666666667</v>
      </c>
      <c r="O27" s="4">
        <v>15</v>
      </c>
    </row>
    <row r="28" spans="1:15" x14ac:dyDescent="0.25">
      <c r="I28" s="34" t="s">
        <v>16</v>
      </c>
      <c r="J28" s="9">
        <v>12</v>
      </c>
      <c r="K28" s="9">
        <v>13.86</v>
      </c>
      <c r="L28" s="9">
        <v>14.85</v>
      </c>
      <c r="M28" s="9">
        <v>0</v>
      </c>
      <c r="N28" s="9">
        <v>19</v>
      </c>
      <c r="O28" s="15">
        <f t="shared" ref="O28:O34" si="4">(($J$27*J28)+($K$27*K28)+($L$27*L28)+($M$27*M28)+($N$27*N28))/$O$27</f>
        <v>181.06706111111114</v>
      </c>
    </row>
    <row r="29" spans="1:15" x14ac:dyDescent="0.25">
      <c r="I29" s="34" t="s">
        <v>70</v>
      </c>
      <c r="J29" s="9">
        <v>12</v>
      </c>
      <c r="K29" s="9">
        <v>15.400000000000002</v>
      </c>
      <c r="L29" s="9">
        <v>16.5</v>
      </c>
      <c r="M29" s="9">
        <v>0</v>
      </c>
      <c r="N29" s="9">
        <v>19</v>
      </c>
      <c r="O29" s="15">
        <f t="shared" si="4"/>
        <v>189.01822777777778</v>
      </c>
    </row>
    <row r="30" spans="1:15" x14ac:dyDescent="0.25">
      <c r="I30" s="34" t="s">
        <v>87</v>
      </c>
      <c r="J30" s="9">
        <v>12</v>
      </c>
      <c r="K30" s="9">
        <v>16.939999999999998</v>
      </c>
      <c r="L30" s="9">
        <v>18.149999999999999</v>
      </c>
      <c r="M30" s="9">
        <v>0</v>
      </c>
      <c r="N30" s="9">
        <v>19</v>
      </c>
      <c r="O30" s="15">
        <f t="shared" si="4"/>
        <v>196.96939444444442</v>
      </c>
    </row>
    <row r="31" spans="1:15" x14ac:dyDescent="0.25">
      <c r="I31" s="34" t="s">
        <v>88</v>
      </c>
      <c r="J31" s="9">
        <v>12</v>
      </c>
      <c r="K31" s="9">
        <v>18.48</v>
      </c>
      <c r="L31" s="9">
        <v>19.799999999999997</v>
      </c>
      <c r="M31" s="9">
        <v>0</v>
      </c>
      <c r="N31" s="9">
        <v>19</v>
      </c>
      <c r="O31" s="15">
        <f t="shared" si="4"/>
        <v>204.92056111111111</v>
      </c>
    </row>
    <row r="32" spans="1:15" x14ac:dyDescent="0.25">
      <c r="I32" s="34" t="s">
        <v>68</v>
      </c>
      <c r="J32" s="9">
        <v>12</v>
      </c>
      <c r="K32" s="9">
        <v>21.560000000000002</v>
      </c>
      <c r="L32" s="9">
        <v>23.1</v>
      </c>
      <c r="M32" s="9">
        <v>6</v>
      </c>
      <c r="N32" s="9">
        <v>20</v>
      </c>
      <c r="O32" s="15">
        <f t="shared" si="4"/>
        <v>230.10555555555558</v>
      </c>
    </row>
    <row r="33" spans="9:15" x14ac:dyDescent="0.25">
      <c r="I33" s="34" t="s">
        <v>56</v>
      </c>
      <c r="J33" s="9">
        <v>12</v>
      </c>
      <c r="K33" s="9">
        <v>24.64</v>
      </c>
      <c r="L33" s="9">
        <v>26.400000000000002</v>
      </c>
      <c r="M33" s="9">
        <v>6</v>
      </c>
      <c r="N33" s="9">
        <v>21</v>
      </c>
      <c r="O33" s="15">
        <f t="shared" si="4"/>
        <v>249.23455000000001</v>
      </c>
    </row>
    <row r="34" spans="9:15" x14ac:dyDescent="0.25">
      <c r="I34" s="34" t="s">
        <v>89</v>
      </c>
      <c r="J34" s="9">
        <v>12</v>
      </c>
      <c r="K34" s="9">
        <v>30.800000000000004</v>
      </c>
      <c r="L34" s="9">
        <v>33</v>
      </c>
      <c r="M34" s="9">
        <v>6</v>
      </c>
      <c r="N34" s="9">
        <v>21.9</v>
      </c>
      <c r="O34" s="15">
        <f t="shared" si="4"/>
        <v>283.94321166666668</v>
      </c>
    </row>
    <row r="35" spans="9:15" ht="6" customHeight="1" x14ac:dyDescent="0.25">
      <c r="J35" s="1"/>
      <c r="K35" s="1"/>
      <c r="L35" s="1"/>
      <c r="M35" s="1"/>
      <c r="N35" s="1"/>
      <c r="O35" s="1"/>
    </row>
    <row r="36" spans="9:15" x14ac:dyDescent="0.25">
      <c r="I36" s="157" t="s">
        <v>67</v>
      </c>
      <c r="J36" s="157"/>
      <c r="K36" s="157"/>
      <c r="L36" s="157"/>
      <c r="M36" s="157"/>
      <c r="N36" s="157"/>
      <c r="O36" s="157"/>
    </row>
    <row r="37" spans="9:15" x14ac:dyDescent="0.25">
      <c r="I37" s="35" t="s">
        <v>253</v>
      </c>
      <c r="J37" s="4" t="s">
        <v>305</v>
      </c>
      <c r="K37" s="4" t="s">
        <v>320</v>
      </c>
      <c r="L37" s="4" t="s">
        <v>319</v>
      </c>
      <c r="M37" s="4" t="s">
        <v>306</v>
      </c>
      <c r="N37" s="4" t="s">
        <v>296</v>
      </c>
      <c r="O37" s="4" t="s">
        <v>297</v>
      </c>
    </row>
    <row r="38" spans="9:15" x14ac:dyDescent="0.25">
      <c r="I38" s="35"/>
      <c r="J38" s="5">
        <v>60.25</v>
      </c>
      <c r="K38" s="33">
        <v>70.33</v>
      </c>
      <c r="L38" s="33">
        <v>16.05</v>
      </c>
      <c r="M38" s="5">
        <v>15.14</v>
      </c>
      <c r="N38" s="7">
        <f>'Labour Rate'!$C$7</f>
        <v>48.39991666666667</v>
      </c>
      <c r="O38" s="4">
        <v>15</v>
      </c>
    </row>
    <row r="39" spans="9:15" x14ac:dyDescent="0.25">
      <c r="I39" s="34" t="s">
        <v>16</v>
      </c>
      <c r="J39" s="9">
        <v>12</v>
      </c>
      <c r="K39" s="9">
        <v>13.86</v>
      </c>
      <c r="L39" s="9">
        <v>14.85</v>
      </c>
      <c r="M39" s="9">
        <v>0</v>
      </c>
      <c r="N39" s="9">
        <v>19</v>
      </c>
      <c r="O39" s="15">
        <f t="shared" ref="O39:O45" si="5">(($J$38*J39)+($K$38*K39)+($L$38*L39)+($M$38*M39)+($N$38*N39))/$O$38</f>
        <v>190.38098111111108</v>
      </c>
    </row>
    <row r="40" spans="9:15" x14ac:dyDescent="0.25">
      <c r="I40" s="34" t="s">
        <v>70</v>
      </c>
      <c r="J40" s="9">
        <v>12</v>
      </c>
      <c r="K40" s="9">
        <v>15.400000000000002</v>
      </c>
      <c r="L40" s="9">
        <v>16.5</v>
      </c>
      <c r="M40" s="9">
        <v>0</v>
      </c>
      <c r="N40" s="9">
        <v>19</v>
      </c>
      <c r="O40" s="15">
        <f t="shared" si="5"/>
        <v>199.36702777777779</v>
      </c>
    </row>
    <row r="41" spans="9:15" x14ac:dyDescent="0.25">
      <c r="I41" s="34" t="s">
        <v>87</v>
      </c>
      <c r="J41" s="9">
        <v>12</v>
      </c>
      <c r="K41" s="9">
        <v>16.939999999999998</v>
      </c>
      <c r="L41" s="9">
        <v>18.149999999999999</v>
      </c>
      <c r="M41" s="9">
        <v>0</v>
      </c>
      <c r="N41" s="9">
        <v>19</v>
      </c>
      <c r="O41" s="15">
        <f t="shared" si="5"/>
        <v>208.35307444444442</v>
      </c>
    </row>
    <row r="42" spans="9:15" x14ac:dyDescent="0.25">
      <c r="I42" s="34" t="s">
        <v>88</v>
      </c>
      <c r="J42" s="9">
        <v>12</v>
      </c>
      <c r="K42" s="9">
        <v>18.48</v>
      </c>
      <c r="L42" s="9">
        <v>19.799999999999997</v>
      </c>
      <c r="M42" s="9">
        <v>0</v>
      </c>
      <c r="N42" s="9">
        <v>19</v>
      </c>
      <c r="O42" s="15">
        <f t="shared" si="5"/>
        <v>217.33912111111113</v>
      </c>
    </row>
    <row r="43" spans="9:15" x14ac:dyDescent="0.25">
      <c r="I43" s="34" t="s">
        <v>68</v>
      </c>
      <c r="J43" s="9">
        <v>12</v>
      </c>
      <c r="K43" s="9">
        <v>21.560000000000002</v>
      </c>
      <c r="L43" s="9">
        <v>23.1</v>
      </c>
      <c r="M43" s="9">
        <v>6</v>
      </c>
      <c r="N43" s="9">
        <v>20</v>
      </c>
      <c r="O43" s="15">
        <f t="shared" si="5"/>
        <v>244.5938755555556</v>
      </c>
    </row>
    <row r="44" spans="9:15" x14ac:dyDescent="0.25">
      <c r="I44" s="34" t="s">
        <v>56</v>
      </c>
      <c r="J44" s="9">
        <v>12</v>
      </c>
      <c r="K44" s="9">
        <v>24.64</v>
      </c>
      <c r="L44" s="9">
        <v>26.400000000000002</v>
      </c>
      <c r="M44" s="9">
        <v>6</v>
      </c>
      <c r="N44" s="9">
        <v>21</v>
      </c>
      <c r="O44" s="15">
        <f t="shared" si="5"/>
        <v>265.79263000000003</v>
      </c>
    </row>
    <row r="45" spans="9:15" x14ac:dyDescent="0.25">
      <c r="I45" s="34" t="s">
        <v>89</v>
      </c>
      <c r="J45" s="9">
        <v>12</v>
      </c>
      <c r="K45" s="9">
        <v>30.800000000000004</v>
      </c>
      <c r="L45" s="9">
        <v>33</v>
      </c>
      <c r="M45" s="9">
        <v>6</v>
      </c>
      <c r="N45" s="9">
        <v>21.9</v>
      </c>
      <c r="O45" s="15">
        <f t="shared" si="5"/>
        <v>304.64081166666671</v>
      </c>
    </row>
  </sheetData>
  <mergeCells count="6">
    <mergeCell ref="A1:G1"/>
    <mergeCell ref="I1:O1"/>
    <mergeCell ref="A3:G3"/>
    <mergeCell ref="I3:O3"/>
    <mergeCell ref="A4:A5"/>
    <mergeCell ref="I4:I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FA3ECBD1204F42AF251B11DECE3AEB" ma:contentTypeVersion="13" ma:contentTypeDescription="Create a new document." ma:contentTypeScope="" ma:versionID="ea51f93f886111fadc94c8fc724459c0">
  <xsd:schema xmlns:xsd="http://www.w3.org/2001/XMLSchema" xmlns:xs="http://www.w3.org/2001/XMLSchema" xmlns:p="http://schemas.microsoft.com/office/2006/metadata/properties" xmlns:ns2="49454f7d-4b5c-414c-9dda-51e2a4bab2ce" xmlns:ns3="9da54400-1678-4cf2-8424-bb450733cca9" targetNamespace="http://schemas.microsoft.com/office/2006/metadata/properties" ma:root="true" ma:fieldsID="d08f04cab77bfd73de1e362fa9c6af2f" ns2:_="" ns3:_="">
    <xsd:import namespace="49454f7d-4b5c-414c-9dda-51e2a4bab2ce"/>
    <xsd:import namespace="9da54400-1678-4cf2-8424-bb450733cca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454f7d-4b5c-414c-9dda-51e2a4bab2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0f8bb65-516d-43f9-9a95-edb508cecef9}" ma:internalName="TaxCatchAll" ma:showField="CatchAllData" ma:web="49454f7d-4b5c-414c-9dda-51e2a4bab2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54400-1678-4cf2-8424-bb450733c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ecafcee-2028-4f39-9feb-156cfc93d4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9454f7d-4b5c-414c-9dda-51e2a4bab2ce">
      <UserInfo>
        <DisplayName>Jude Beetham</DisplayName>
        <AccountId>18</AccountId>
        <AccountType/>
      </UserInfo>
      <UserInfo>
        <DisplayName>Hudson Beetham</DisplayName>
        <AccountId>11</AccountId>
        <AccountType/>
      </UserInfo>
    </SharedWithUsers>
    <lcf76f155ced4ddcb4097134ff3c332f xmlns="9da54400-1678-4cf2-8424-bb450733cca9">
      <Terms xmlns="http://schemas.microsoft.com/office/infopath/2007/PartnerControls"/>
    </lcf76f155ced4ddcb4097134ff3c332f>
    <TaxCatchAll xmlns="49454f7d-4b5c-414c-9dda-51e2a4bab2ce" xsi:nil="true"/>
  </documentManagement>
</p:properties>
</file>

<file path=customXml/itemProps1.xml><?xml version="1.0" encoding="utf-8"?>
<ds:datastoreItem xmlns:ds="http://schemas.openxmlformats.org/officeDocument/2006/customXml" ds:itemID="{CC558A12-72E5-4DA6-9A9A-3B98BBF440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48432C-5DE9-4800-98C0-995943CE28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454f7d-4b5c-414c-9dda-51e2a4bab2ce"/>
    <ds:schemaRef ds:uri="9da54400-1678-4cf2-8424-bb450733cc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FE390B-1BC0-4B1B-880E-5564181A7638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49454f7d-4b5c-414c-9dda-51e2a4bab2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9da54400-1678-4cf2-8424-bb450733cca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CALCULATOR (Hudson)</vt:lpstr>
      <vt:lpstr>CALCULATOR (Jude)</vt:lpstr>
      <vt:lpstr>CALCULATOR (Courtney)</vt:lpstr>
      <vt:lpstr>MASTER</vt:lpstr>
      <vt:lpstr>NDL FREIGHT CALCULATOR</vt:lpstr>
      <vt:lpstr>REGIONS</vt:lpstr>
      <vt:lpstr>MEASURE UP'S</vt:lpstr>
      <vt:lpstr>(TYPES)</vt:lpstr>
      <vt:lpstr>Labour Rate</vt:lpstr>
      <vt:lpstr>BPSC (+ Ply)</vt:lpstr>
      <vt:lpstr>KO Spec</vt:lpstr>
      <vt:lpstr>Solid Pine</vt:lpstr>
      <vt:lpstr>Landings &amp; Winders</vt:lpstr>
      <vt:lpstr>Kitset</vt:lpstr>
      <vt:lpstr>External</vt:lpstr>
      <vt:lpstr>Attic Ladders</vt:lpstr>
      <vt:lpstr>BPSC. (+ Ply)</vt:lpstr>
      <vt:lpstr>KO Spec.</vt:lpstr>
      <vt:lpstr>Solid Pine.</vt:lpstr>
      <vt:lpstr>External.</vt:lpstr>
      <vt:lpstr>Landings &amp; Winders.</vt:lpstr>
      <vt:lpstr>Kitset.</vt:lpstr>
      <vt:lpstr>Attic Ladders. (2025)</vt:lpstr>
      <vt:lpstr>LED Handrail</vt:lpstr>
      <vt:lpstr>Pine H3.2 Education Handrail</vt:lpstr>
      <vt:lpstr>Brackets (Handrail &amp; Tread)</vt:lpstr>
      <vt:lpstr>Timber Costs</vt:lpstr>
      <vt:lpstr>1.2x2.4 Board-Treads Per Sheet</vt:lpstr>
      <vt:lpstr>Timber Calculator</vt:lpstr>
      <vt:lpstr>Stair Time Breakdown</vt:lpstr>
      <vt:lpstr>KITSET FREIGHT COSTINGS</vt:lpstr>
      <vt:lpstr>American White Oak</vt:lpstr>
      <vt:lpstr>American White Ash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Beetham | Cubro.</dc:creator>
  <cp:keywords/>
  <dc:description/>
  <cp:lastModifiedBy>TopFlyte Sales</cp:lastModifiedBy>
  <cp:revision/>
  <dcterms:created xsi:type="dcterms:W3CDTF">2022-09-06T20:53:16Z</dcterms:created>
  <dcterms:modified xsi:type="dcterms:W3CDTF">2025-11-03T21:39:21Z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0x010100BAFA3ECBD1204F42AF251B11DECE3AEB</vt:lpwstr>
  </property>
  <property fmtid="{D5CDD505-2E9C-101B-9397-08002B2CF9AE}" pid="3" name="MediaServiceImageTags">
    <vt:lpwstr/>
  </property>
</Properties>
</file>