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IDSNAKE\Desktop\Project\"/>
    </mc:Choice>
  </mc:AlternateContent>
  <bookViews>
    <workbookView xWindow="0" yWindow="0" windowWidth="20490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B5" i="1"/>
  <c r="K19" i="1" s="1"/>
  <c r="J40" i="1"/>
  <c r="J37" i="1"/>
  <c r="D40" i="1"/>
  <c r="D37" i="1"/>
  <c r="K20" i="1"/>
  <c r="B12" i="1"/>
  <c r="K18" i="1" s="1"/>
  <c r="F46" i="1"/>
  <c r="B48" i="1"/>
  <c r="B56" i="1"/>
  <c r="D60" i="1"/>
  <c r="G60" i="1" s="1"/>
  <c r="B46" i="1"/>
  <c r="J46" i="1" s="1"/>
  <c r="I31" i="1"/>
  <c r="E23" i="1"/>
  <c r="I33" i="1" s="1"/>
  <c r="C10" i="1" l="1"/>
  <c r="E10" i="1" s="1"/>
  <c r="B29" i="1"/>
  <c r="B50" i="1"/>
  <c r="B54" i="1" s="1"/>
  <c r="B60" i="1" s="1"/>
  <c r="N19" i="1"/>
  <c r="B18" i="1"/>
  <c r="B19" i="1" l="1"/>
  <c r="E56" i="1"/>
  <c r="B27" i="1" l="1"/>
  <c r="D39" i="1" s="1"/>
  <c r="B20" i="1"/>
  <c r="B23" i="1" s="1"/>
  <c r="I23" i="1" s="1"/>
  <c r="B28" i="1"/>
  <c r="I30" i="1"/>
  <c r="B24" i="1"/>
  <c r="I24" i="1" s="1"/>
  <c r="J39" i="1" l="1"/>
  <c r="O4" i="1"/>
  <c r="O26" i="1"/>
  <c r="B33" i="1"/>
  <c r="D33" i="1" s="1"/>
  <c r="B31" i="1"/>
</calcChain>
</file>

<file path=xl/sharedStrings.xml><?xml version="1.0" encoding="utf-8"?>
<sst xmlns="http://schemas.openxmlformats.org/spreadsheetml/2006/main" count="77" uniqueCount="65">
  <si>
    <t>b</t>
  </si>
  <si>
    <t>d</t>
  </si>
  <si>
    <t>Mu</t>
  </si>
  <si>
    <t>fcu</t>
  </si>
  <si>
    <t>a</t>
  </si>
  <si>
    <t>A</t>
  </si>
  <si>
    <t>B</t>
  </si>
  <si>
    <t>C</t>
  </si>
  <si>
    <t>c</t>
  </si>
  <si>
    <t>c/d</t>
  </si>
  <si>
    <t>As</t>
  </si>
  <si>
    <t>As min</t>
  </si>
  <si>
    <t>c/d max</t>
  </si>
  <si>
    <t>Ast max</t>
  </si>
  <si>
    <t>Mumax</t>
  </si>
  <si>
    <t>Check mumax &gt; mu</t>
  </si>
  <si>
    <t>Rmax</t>
  </si>
  <si>
    <t>µ</t>
  </si>
  <si>
    <t>Ratio of Reinforcement to Concrete</t>
  </si>
  <si>
    <t>Diameter of bars</t>
  </si>
  <si>
    <t>Area of bars</t>
  </si>
  <si>
    <t>Number of Bars</t>
  </si>
  <si>
    <t>Check</t>
  </si>
  <si>
    <t>min spacing between bars</t>
  </si>
  <si>
    <t>Qu</t>
  </si>
  <si>
    <t>qu</t>
  </si>
  <si>
    <t>qumax</t>
  </si>
  <si>
    <t>quc</t>
  </si>
  <si>
    <t>qsu</t>
  </si>
  <si>
    <t>shere taken by concrete</t>
  </si>
  <si>
    <t>s</t>
  </si>
  <si>
    <t>Ast</t>
  </si>
  <si>
    <t>Ast min</t>
  </si>
  <si>
    <t>spacing of shear bars</t>
  </si>
  <si>
    <t>Shear Reinforcement</t>
  </si>
  <si>
    <t xml:space="preserve">Check </t>
  </si>
  <si>
    <t>No legs N</t>
  </si>
  <si>
    <t>Dia</t>
  </si>
  <si>
    <t>Design for shear bar</t>
  </si>
  <si>
    <t>@</t>
  </si>
  <si>
    <t>check</t>
  </si>
  <si>
    <t>SPACING CHECK</t>
  </si>
  <si>
    <t>MIN SHEAR AST CHECK</t>
  </si>
  <si>
    <t>MAX SHEAR OF CONCRETE CHECK</t>
  </si>
  <si>
    <t>UNDER REINFORCEMENT , MAX AST , MAX MU CHECK DIRECTLY</t>
  </si>
  <si>
    <t xml:space="preserve">Doule Reinforcement </t>
  </si>
  <si>
    <t>d'</t>
  </si>
  <si>
    <t>cover</t>
  </si>
  <si>
    <t>Checking d'/d</t>
  </si>
  <si>
    <t>Check for Compressive steel yields or not</t>
  </si>
  <si>
    <t>As'</t>
  </si>
  <si>
    <t>fy</t>
  </si>
  <si>
    <t>𝛼
α</t>
  </si>
  <si>
    <t>Cross check for quadratic equation solving</t>
  </si>
  <si>
    <t>def</t>
  </si>
  <si>
    <t>For solving eq C = T</t>
  </si>
  <si>
    <t>Assumed as 0.1-0.4</t>
  </si>
  <si>
    <t>Tensile</t>
  </si>
  <si>
    <t>Compression</t>
  </si>
  <si>
    <t>just for cross check</t>
  </si>
  <si>
    <t>Tensile Bar</t>
  </si>
  <si>
    <t>Compression Tensile</t>
  </si>
  <si>
    <t>Moment Carrying capasity of reinforcement beam</t>
  </si>
  <si>
    <t>As formula base</t>
  </si>
  <si>
    <t>after getting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</si>
</sst>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29</xdr:row>
      <xdr:rowOff>176212</xdr:rowOff>
    </xdr:from>
    <xdr:ext cx="3854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057775" y="3995737"/>
              <a:ext cx="3854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057775" y="3995737"/>
              <a:ext cx="3854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𝑚𝑎𝑥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11</xdr:row>
      <xdr:rowOff>23812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7625" y="2071687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5" y="2071687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352425</xdr:colOff>
      <xdr:row>13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7058025" y="2690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B1" workbookViewId="0">
      <selection activeCell="B60" sqref="B60"/>
    </sheetView>
  </sheetViews>
  <sheetFormatPr defaultRowHeight="14.25" x14ac:dyDescent="0.2"/>
  <cols>
    <col min="2" max="2" width="11.875" bestFit="1" customWidth="1"/>
    <col min="3" max="3" width="9.375" bestFit="1" customWidth="1"/>
    <col min="5" max="5" width="11.875" bestFit="1" customWidth="1"/>
    <col min="8" max="8" width="9.875" bestFit="1" customWidth="1"/>
    <col min="10" max="10" width="9.875" bestFit="1" customWidth="1"/>
    <col min="11" max="11" width="12.5" bestFit="1" customWidth="1"/>
    <col min="13" max="13" width="11.875" bestFit="1" customWidth="1"/>
    <col min="14" max="14" width="28" customWidth="1"/>
    <col min="15" max="15" width="11.875" bestFit="1" customWidth="1"/>
  </cols>
  <sheetData>
    <row r="1" spans="1:15" ht="15.75" x14ac:dyDescent="0.25">
      <c r="A1" s="2" t="s">
        <v>45</v>
      </c>
    </row>
    <row r="4" spans="1:15" x14ac:dyDescent="0.2">
      <c r="A4" t="s">
        <v>0</v>
      </c>
      <c r="B4">
        <v>400</v>
      </c>
      <c r="D4" t="s">
        <v>1</v>
      </c>
      <c r="E4">
        <v>600</v>
      </c>
      <c r="J4" t="s">
        <v>62</v>
      </c>
      <c r="O4">
        <f>((B18*B8/1.15)*(B5-B19/2))+(B28*B8/1.15)*(B19/2-E5)</f>
        <v>199999999.99999991</v>
      </c>
    </row>
    <row r="5" spans="1:15" x14ac:dyDescent="0.2">
      <c r="A5" t="s">
        <v>54</v>
      </c>
      <c r="B5">
        <f>E4-2*E5</f>
        <v>520</v>
      </c>
      <c r="D5" t="s">
        <v>46</v>
      </c>
      <c r="E5">
        <v>40</v>
      </c>
      <c r="F5" t="s">
        <v>47</v>
      </c>
      <c r="J5" t="s">
        <v>59</v>
      </c>
    </row>
    <row r="6" spans="1:15" x14ac:dyDescent="0.2">
      <c r="A6" t="s">
        <v>2</v>
      </c>
      <c r="B6" s="1">
        <v>200000000</v>
      </c>
      <c r="D6" t="s">
        <v>24</v>
      </c>
      <c r="E6">
        <v>500000</v>
      </c>
    </row>
    <row r="7" spans="1:15" x14ac:dyDescent="0.2">
      <c r="A7" t="s">
        <v>3</v>
      </c>
      <c r="B7">
        <v>25</v>
      </c>
    </row>
    <row r="8" spans="1:15" x14ac:dyDescent="0.2">
      <c r="A8" t="s">
        <v>51</v>
      </c>
      <c r="B8">
        <v>400</v>
      </c>
    </row>
    <row r="9" spans="1:15" ht="17.25" customHeight="1" x14ac:dyDescent="0.2"/>
    <row r="10" spans="1:15" x14ac:dyDescent="0.2">
      <c r="A10" t="s">
        <v>48</v>
      </c>
      <c r="C10">
        <f>E5/B5</f>
        <v>7.6923076923076927E-2</v>
      </c>
      <c r="E10" t="str">
        <f>IF(C10&lt;=IF(B8=400,0.1,IF(B8=360,0.15,IF(B8=280,0.2,0.2))),"Compsteel yields","CompressiveSteel Not Yields")</f>
        <v>Compsteel yields</v>
      </c>
      <c r="H10" t="s">
        <v>49</v>
      </c>
    </row>
    <row r="12" spans="1:15" x14ac:dyDescent="0.2">
      <c r="B12">
        <f>0.7*B8*1.5/(1.15*0.67*B7*B4)</f>
        <v>5.4510058403634001E-2</v>
      </c>
      <c r="D12" t="s">
        <v>55</v>
      </c>
    </row>
    <row r="14" spans="1:15" ht="15" customHeight="1" x14ac:dyDescent="0.2"/>
    <row r="15" spans="1:15" ht="16.5" customHeight="1" x14ac:dyDescent="0.2">
      <c r="A15" t="s">
        <v>50</v>
      </c>
      <c r="B15" s="4" t="s">
        <v>52</v>
      </c>
      <c r="C15">
        <v>0.3</v>
      </c>
      <c r="E15" t="s">
        <v>56</v>
      </c>
    </row>
    <row r="17" spans="1:15" x14ac:dyDescent="0.2">
      <c r="J17" t="s">
        <v>53</v>
      </c>
    </row>
    <row r="18" spans="1:15" x14ac:dyDescent="0.2">
      <c r="A18" t="s">
        <v>10</v>
      </c>
      <c r="B18">
        <f>N18</f>
        <v>1184.5906049604794</v>
      </c>
      <c r="C18" s="1"/>
      <c r="J18" t="s">
        <v>5</v>
      </c>
      <c r="K18">
        <f>-0.7*B8*B12/(2*1.15)</f>
        <v>-6.6360071100076183</v>
      </c>
      <c r="M18" t="s">
        <v>4</v>
      </c>
      <c r="N18">
        <f>(-K19+ (SQRT((K19*K19) - (4*K18*K20))) )  /  (2*K18)</f>
        <v>1184.5906049604794</v>
      </c>
    </row>
    <row r="19" spans="1:15" x14ac:dyDescent="0.2">
      <c r="A19" t="s">
        <v>4</v>
      </c>
      <c r="B19">
        <f>B12*B18</f>
        <v>64.572103060791861</v>
      </c>
      <c r="J19" t="s">
        <v>6</v>
      </c>
      <c r="K19">
        <f>(B8*B5/1.15) - (0.3*B8*E5/1.15)</f>
        <v>176695.65217391305</v>
      </c>
      <c r="M19" t="s">
        <v>4</v>
      </c>
      <c r="N19">
        <f>(-K19 -  (SQRT(K19*K19 - 4*K18*K20) ) )  /   (2*K18)</f>
        <v>25442.212116127957</v>
      </c>
    </row>
    <row r="20" spans="1:15" x14ac:dyDescent="0.2">
      <c r="A20" t="s">
        <v>8</v>
      </c>
      <c r="B20">
        <f>B19/0.8</f>
        <v>80.715128825989822</v>
      </c>
      <c r="J20" t="s">
        <v>7</v>
      </c>
      <c r="K20" s="1">
        <f>-B6</f>
        <v>-200000000</v>
      </c>
    </row>
    <row r="23" spans="1:15" x14ac:dyDescent="0.2">
      <c r="A23" t="s">
        <v>9</v>
      </c>
      <c r="B23">
        <f>B20/B5</f>
        <v>0.15522140158844197</v>
      </c>
      <c r="D23" t="s">
        <v>12</v>
      </c>
      <c r="E23">
        <f>460/(690+B8)</f>
        <v>0.42201834862385323</v>
      </c>
      <c r="H23" t="s">
        <v>22</v>
      </c>
      <c r="I23" t="str">
        <f>IF(B23&lt;=E23,"OK","NOTOK")</f>
        <v>OK</v>
      </c>
      <c r="K23" t="s">
        <v>44</v>
      </c>
    </row>
    <row r="24" spans="1:15" x14ac:dyDescent="0.2">
      <c r="A24" t="s">
        <v>9</v>
      </c>
      <c r="B24">
        <f>B20/B5</f>
        <v>0.15522140158844197</v>
      </c>
      <c r="D24" t="s">
        <v>12</v>
      </c>
      <c r="E24">
        <v>0.1</v>
      </c>
      <c r="H24" t="s">
        <v>22</v>
      </c>
      <c r="I24" t="str">
        <f>IF(B24&gt;=E24,"OK","NOTOK")</f>
        <v>OK</v>
      </c>
    </row>
    <row r="26" spans="1:15" x14ac:dyDescent="0.2">
      <c r="N26" t="s">
        <v>63</v>
      </c>
      <c r="O26">
        <f>((0.67*B19*B4*B7/1.5) + ((B28*B8)/1.15))* (1.15/B8)</f>
        <v>1184.5906049604794</v>
      </c>
    </row>
    <row r="27" spans="1:15" x14ac:dyDescent="0.2">
      <c r="A27" t="s">
        <v>10</v>
      </c>
      <c r="B27">
        <f>B19/B12</f>
        <v>1184.5906049604794</v>
      </c>
      <c r="D27" t="s">
        <v>57</v>
      </c>
      <c r="N27" t="s">
        <v>64</v>
      </c>
    </row>
    <row r="28" spans="1:15" x14ac:dyDescent="0.2">
      <c r="A28" t="s">
        <v>50</v>
      </c>
      <c r="B28">
        <f>B27*C15</f>
        <v>355.37718148814378</v>
      </c>
      <c r="D28" t="s">
        <v>58</v>
      </c>
    </row>
    <row r="29" spans="1:15" x14ac:dyDescent="0.2">
      <c r="A29" t="s">
        <v>11</v>
      </c>
      <c r="B29">
        <f>0.225*SQRT(B7)*B4*B5/B8</f>
        <v>585</v>
      </c>
    </row>
    <row r="30" spans="1:15" x14ac:dyDescent="0.2">
      <c r="H30" t="s">
        <v>17</v>
      </c>
      <c r="I30">
        <f>B27/(B4*B5)</f>
        <v>5.6951471392330741E-3</v>
      </c>
      <c r="K30" t="s">
        <v>18</v>
      </c>
    </row>
    <row r="31" spans="1:15" x14ac:dyDescent="0.2">
      <c r="A31" t="s">
        <v>13</v>
      </c>
      <c r="B31">
        <f>I31*B4*B5+B28</f>
        <v>2609.5056218551167</v>
      </c>
      <c r="I31">
        <f>189*B7/(690*B8+B8*B8)</f>
        <v>1.0837155963302753E-2</v>
      </c>
    </row>
    <row r="33" spans="1:11" x14ac:dyDescent="0.2">
      <c r="A33" t="s">
        <v>14</v>
      </c>
      <c r="B33">
        <f>(I33*B7*B4*B5*B5/1.5) +((B28*B8/1.15)*(E4-E5))</f>
        <v>407384021.52434707</v>
      </c>
      <c r="D33" t="str">
        <f>IF(B33&gt;L34,"OK","NOT OK")</f>
        <v>OK</v>
      </c>
      <c r="E33" t="s">
        <v>15</v>
      </c>
      <c r="H33" t="s">
        <v>16</v>
      </c>
      <c r="I33">
        <f>(246/(690+B8))*(1-0.4*E23)</f>
        <v>0.18759027017927785</v>
      </c>
    </row>
    <row r="35" spans="1:11" x14ac:dyDescent="0.2">
      <c r="A35" t="s">
        <v>60</v>
      </c>
      <c r="G35" t="s">
        <v>61</v>
      </c>
    </row>
    <row r="36" spans="1:11" x14ac:dyDescent="0.2">
      <c r="A36" t="s">
        <v>19</v>
      </c>
      <c r="D36">
        <v>20</v>
      </c>
      <c r="G36" t="s">
        <v>19</v>
      </c>
      <c r="J36">
        <v>16</v>
      </c>
    </row>
    <row r="37" spans="1:11" x14ac:dyDescent="0.2">
      <c r="A37" t="s">
        <v>20</v>
      </c>
      <c r="D37">
        <f>PI() *D36* D36 / 4</f>
        <v>314.15926535897933</v>
      </c>
      <c r="G37" t="s">
        <v>20</v>
      </c>
      <c r="J37">
        <f>PI() *J36* J36 / 4</f>
        <v>201.06192982974676</v>
      </c>
    </row>
    <row r="39" spans="1:11" x14ac:dyDescent="0.2">
      <c r="A39" t="s">
        <v>21</v>
      </c>
      <c r="D39">
        <f>ROUNDUP(B27/D37,0)</f>
        <v>4</v>
      </c>
      <c r="G39" t="s">
        <v>21</v>
      </c>
      <c r="J39">
        <f>ROUNDUP(B28/J37,0)</f>
        <v>2</v>
      </c>
    </row>
    <row r="40" spans="1:11" x14ac:dyDescent="0.2">
      <c r="A40" t="s">
        <v>23</v>
      </c>
      <c r="D40">
        <f>IF(30&gt;D36,30,D36)</f>
        <v>30</v>
      </c>
      <c r="G40" t="s">
        <v>23</v>
      </c>
      <c r="J40">
        <f>IF(30&gt;J36,30,J36)</f>
        <v>30</v>
      </c>
    </row>
    <row r="44" spans="1:11" ht="15" x14ac:dyDescent="0.25">
      <c r="A44" s="3" t="s">
        <v>34</v>
      </c>
    </row>
    <row r="46" spans="1:11" x14ac:dyDescent="0.2">
      <c r="A46" t="s">
        <v>25</v>
      </c>
      <c r="B46">
        <f>E6/(B4*B5)</f>
        <v>2.4038461538461537</v>
      </c>
      <c r="E46" t="s">
        <v>26</v>
      </c>
      <c r="F46">
        <f>0.7*SQRT(B7/1.5)</f>
        <v>2.857738033247041</v>
      </c>
      <c r="H46" t="s">
        <v>22</v>
      </c>
      <c r="J46" t="str">
        <f>IF(B46&gt;F46,"NOTOK","OK")</f>
        <v>OK</v>
      </c>
      <c r="K46" t="s">
        <v>43</v>
      </c>
    </row>
    <row r="48" spans="1:11" x14ac:dyDescent="0.2">
      <c r="A48" t="s">
        <v>27</v>
      </c>
      <c r="B48">
        <f>0.24*SQRT(B7/1.5)</f>
        <v>0.97979589711327131</v>
      </c>
      <c r="D48" t="s">
        <v>29</v>
      </c>
    </row>
    <row r="50" spans="1:8" x14ac:dyDescent="0.2">
      <c r="A50" t="s">
        <v>28</v>
      </c>
      <c r="B50">
        <f>B46-0.5*B48</f>
        <v>1.913948205289518</v>
      </c>
      <c r="D50" t="s">
        <v>38</v>
      </c>
    </row>
    <row r="52" spans="1:8" x14ac:dyDescent="0.2">
      <c r="A52" t="s">
        <v>30</v>
      </c>
      <c r="B52">
        <v>150</v>
      </c>
      <c r="D52" t="s">
        <v>33</v>
      </c>
    </row>
    <row r="54" spans="1:8" x14ac:dyDescent="0.2">
      <c r="A54" t="s">
        <v>31</v>
      </c>
      <c r="B54">
        <f>B50*B4*B52*1.15/B8</f>
        <v>330.15606541244188</v>
      </c>
    </row>
    <row r="56" spans="1:8" x14ac:dyDescent="0.2">
      <c r="A56" t="s">
        <v>32</v>
      </c>
      <c r="B56">
        <f>0.4*B4*B52/B8</f>
        <v>60</v>
      </c>
      <c r="D56" t="s">
        <v>35</v>
      </c>
      <c r="E56" t="str">
        <f>IF(B54&gt;=B56,"OK","NOTOK")</f>
        <v>OK</v>
      </c>
      <c r="F56" t="s">
        <v>42</v>
      </c>
    </row>
    <row r="59" spans="1:8" x14ac:dyDescent="0.2">
      <c r="A59" t="s">
        <v>36</v>
      </c>
      <c r="B59">
        <v>2</v>
      </c>
    </row>
    <row r="60" spans="1:8" x14ac:dyDescent="0.2">
      <c r="A60" t="s">
        <v>37</v>
      </c>
      <c r="B60">
        <f>ROUNDUP(SQRT(B54*4/(B59*PI())),0)</f>
        <v>15</v>
      </c>
      <c r="C60" t="s">
        <v>39</v>
      </c>
      <c r="D60">
        <f>B52</f>
        <v>150</v>
      </c>
      <c r="F60" t="s">
        <v>40</v>
      </c>
      <c r="G60" t="str">
        <f>IF(D60&lt;=200,"OK","NOTOK")</f>
        <v>OK</v>
      </c>
      <c r="H60" t="s">
        <v>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SOLIDSNAKE</dc:creator>
  <cp:lastModifiedBy>SOLIDSNAKE</cp:lastModifiedBy>
  <dcterms:created xsi:type="dcterms:W3CDTF">2017-03-06T04:41:24Z</dcterms:created>
  <dcterms:modified xsi:type="dcterms:W3CDTF">2017-03-07T02:34:23Z</dcterms:modified>
</cp:coreProperties>
</file>