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yashtambi/Documents/TUD/Academics/Q2/CH3212_StorageTechnology/Model/biomass/"/>
    </mc:Choice>
  </mc:AlternateContent>
  <bookViews>
    <workbookView xWindow="0" yWindow="460" windowWidth="28800" windowHeight="17540" activeTab="2"/>
  </bookViews>
  <sheets>
    <sheet name="Blad1" sheetId="1" r:id="rId1"/>
    <sheet name="Sheet1" sheetId="2" r:id="rId2"/>
    <sheet name="Biofuel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E8" i="3"/>
  <c r="G8" i="3"/>
  <c r="I8" i="3"/>
  <c r="D8" i="3"/>
  <c r="F8" i="3"/>
  <c r="H8" i="3"/>
  <c r="J8" i="3"/>
  <c r="K8" i="3"/>
  <c r="B8" i="3"/>
  <c r="H56" i="1"/>
  <c r="Q56" i="1"/>
  <c r="G56" i="1"/>
  <c r="G5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G3" i="1"/>
  <c r="C56" i="1"/>
  <c r="C58" i="1"/>
  <c r="AR58" i="1"/>
  <c r="AP58" i="1"/>
  <c r="AJ58" i="1"/>
  <c r="AB58" i="1"/>
  <c r="AA58" i="1"/>
  <c r="M58" i="1"/>
  <c r="E58" i="1"/>
  <c r="AT58" i="1"/>
  <c r="AS58" i="1"/>
  <c r="AT55" i="1"/>
  <c r="AS55" i="1"/>
  <c r="AR55" i="1"/>
  <c r="S56" i="1"/>
  <c r="S58" i="1"/>
  <c r="R56" i="1"/>
  <c r="R58" i="1"/>
  <c r="J56" i="1"/>
  <c r="J58" i="1"/>
  <c r="I56" i="1"/>
  <c r="I58" i="1"/>
  <c r="AP55" i="1"/>
  <c r="AJ55" i="1"/>
  <c r="AI55" i="1"/>
  <c r="AN55" i="1"/>
  <c r="AB55" i="1"/>
  <c r="AA55" i="1"/>
  <c r="Z55" i="1"/>
  <c r="S55" i="1"/>
  <c r="R55" i="1"/>
  <c r="M55" i="1"/>
  <c r="J55" i="1"/>
  <c r="I55" i="1"/>
  <c r="E55" i="1"/>
  <c r="C55" i="1"/>
  <c r="D55" i="1"/>
  <c r="AE55" i="1"/>
  <c r="AP42" i="1"/>
  <c r="AJ42" i="1"/>
  <c r="AI42" i="1"/>
  <c r="AN42" i="1"/>
  <c r="AB42" i="1"/>
  <c r="AA42" i="1"/>
  <c r="Z42" i="1"/>
  <c r="S42" i="1"/>
  <c r="R42" i="1"/>
  <c r="M42" i="1"/>
  <c r="J42" i="1"/>
  <c r="I42" i="1"/>
  <c r="E42" i="1"/>
  <c r="C42" i="1"/>
  <c r="AE42" i="1"/>
  <c r="D42" i="1"/>
  <c r="AB32" i="1"/>
  <c r="AA32" i="1"/>
  <c r="Z32" i="1"/>
  <c r="AE32" i="1"/>
  <c r="S32" i="1"/>
  <c r="R32" i="1"/>
  <c r="M32" i="1"/>
  <c r="J32" i="1"/>
  <c r="I32" i="1"/>
  <c r="E32" i="1"/>
  <c r="C32" i="1"/>
  <c r="D32" i="1"/>
  <c r="AP32" i="1"/>
  <c r="AJ32" i="1"/>
  <c r="AI32" i="1"/>
  <c r="AN32" i="1"/>
  <c r="AP11" i="1"/>
  <c r="AJ11" i="1"/>
  <c r="AI11" i="1"/>
  <c r="AN11" i="1"/>
  <c r="AB11" i="1"/>
  <c r="AA11" i="1"/>
  <c r="Z11" i="1"/>
  <c r="AE11" i="1"/>
  <c r="S11" i="1"/>
  <c r="R11" i="1"/>
  <c r="M11" i="1"/>
  <c r="J11" i="1"/>
  <c r="I11" i="1"/>
  <c r="E11" i="1"/>
  <c r="C11" i="1"/>
  <c r="D11" i="1"/>
  <c r="N22" i="1"/>
  <c r="N23" i="1"/>
  <c r="N24" i="1"/>
  <c r="N25" i="1"/>
  <c r="N26" i="1"/>
  <c r="N27" i="1"/>
  <c r="N28" i="1"/>
  <c r="N29" i="1"/>
  <c r="P54" i="1"/>
  <c r="P57" i="1"/>
  <c r="BD15" i="1"/>
  <c r="F56" i="1"/>
  <c r="F31" i="1"/>
  <c r="AN31" i="1"/>
  <c r="AM31" i="1"/>
  <c r="AL31" i="1"/>
  <c r="AK31" i="1"/>
  <c r="AG31" i="1"/>
  <c r="AE31" i="1"/>
  <c r="AD31" i="1"/>
  <c r="AF31" i="1"/>
  <c r="AH31" i="1"/>
  <c r="AC31" i="1"/>
  <c r="X31" i="1"/>
  <c r="U31" i="1"/>
  <c r="T31" i="1"/>
  <c r="Q31" i="1"/>
  <c r="V31" i="1"/>
  <c r="W31" i="1"/>
  <c r="L31" i="1"/>
  <c r="K31" i="1"/>
  <c r="H31" i="1"/>
  <c r="N31" i="1"/>
  <c r="O31" i="1"/>
  <c r="P31" i="1"/>
  <c r="D31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" i="1"/>
  <c r="AN10" i="1"/>
  <c r="AM10" i="1"/>
  <c r="AL10" i="1"/>
  <c r="AK10" i="1"/>
  <c r="AG10" i="1"/>
  <c r="AE10" i="1"/>
  <c r="AD10" i="1"/>
  <c r="AC10" i="1"/>
  <c r="X10" i="1"/>
  <c r="U10" i="1"/>
  <c r="T10" i="1"/>
  <c r="Q10" i="1"/>
  <c r="V10" i="1"/>
  <c r="W10" i="1"/>
  <c r="L10" i="1"/>
  <c r="K10" i="1"/>
  <c r="H10" i="1"/>
  <c r="N10" i="1"/>
  <c r="O10" i="1"/>
  <c r="P10" i="1"/>
  <c r="D10" i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6" i="1"/>
  <c r="D58" i="1"/>
  <c r="D3" i="1"/>
  <c r="G58" i="1"/>
  <c r="F58" i="1"/>
  <c r="F42" i="1"/>
  <c r="F32" i="1"/>
  <c r="F55" i="1"/>
  <c r="F11" i="1"/>
  <c r="Y31" i="1"/>
  <c r="AO31" i="1"/>
  <c r="AQ31" i="1"/>
  <c r="Y10" i="1"/>
  <c r="AF10" i="1"/>
  <c r="AH10" i="1"/>
  <c r="AO10" i="1"/>
  <c r="AQ10" i="1"/>
  <c r="AK4" i="1"/>
  <c r="AK5" i="1"/>
  <c r="AK6" i="1"/>
  <c r="AK7" i="1"/>
  <c r="AK8" i="1"/>
  <c r="AK9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3" i="1"/>
  <c r="AK34" i="1"/>
  <c r="AK35" i="1"/>
  <c r="AK36" i="1"/>
  <c r="AK37" i="1"/>
  <c r="AK38" i="1"/>
  <c r="AK39" i="1"/>
  <c r="AK40" i="1"/>
  <c r="AK41" i="1"/>
  <c r="AK43" i="1"/>
  <c r="AK44" i="1"/>
  <c r="AK45" i="1"/>
  <c r="AK46" i="1"/>
  <c r="AK47" i="1"/>
  <c r="AK48" i="1"/>
  <c r="AK49" i="1"/>
  <c r="AK50" i="1"/>
  <c r="AK51" i="1"/>
  <c r="AK52" i="1"/>
  <c r="AK53" i="1"/>
  <c r="AK56" i="1"/>
  <c r="AK58" i="1"/>
  <c r="AK3" i="1"/>
  <c r="AY57" i="1"/>
  <c r="AY58" i="1"/>
  <c r="AY54" i="1"/>
  <c r="AY55" i="1"/>
  <c r="AG4" i="1"/>
  <c r="AG5" i="1"/>
  <c r="AG6" i="1"/>
  <c r="AG7" i="1"/>
  <c r="AG8" i="1"/>
  <c r="AG9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3" i="1"/>
  <c r="AG34" i="1"/>
  <c r="AG35" i="1"/>
  <c r="AG36" i="1"/>
  <c r="AG37" i="1"/>
  <c r="AG38" i="1"/>
  <c r="AG39" i="1"/>
  <c r="AG40" i="1"/>
  <c r="AG41" i="1"/>
  <c r="AG43" i="1"/>
  <c r="AG44" i="1"/>
  <c r="AG45" i="1"/>
  <c r="AG46" i="1"/>
  <c r="AG47" i="1"/>
  <c r="AG48" i="1"/>
  <c r="AG49" i="1"/>
  <c r="AG50" i="1"/>
  <c r="AG51" i="1"/>
  <c r="AG52" i="1"/>
  <c r="AG53" i="1"/>
  <c r="AG56" i="1"/>
  <c r="AG58" i="1"/>
  <c r="AG3" i="1"/>
  <c r="X4" i="1"/>
  <c r="X5" i="1"/>
  <c r="X6" i="1"/>
  <c r="X7" i="1"/>
  <c r="X8" i="1"/>
  <c r="X9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50" i="1"/>
  <c r="X51" i="1"/>
  <c r="X52" i="1"/>
  <c r="X53" i="1"/>
  <c r="X56" i="1"/>
  <c r="X58" i="1"/>
  <c r="X3" i="1"/>
  <c r="AW54" i="1"/>
  <c r="AW57" i="1"/>
  <c r="AV57" i="1"/>
  <c r="AV58" i="1"/>
  <c r="AV54" i="1"/>
  <c r="AV55" i="1"/>
  <c r="AM4" i="1"/>
  <c r="AM5" i="1"/>
  <c r="AM6" i="1"/>
  <c r="AM7" i="1"/>
  <c r="AM8" i="1"/>
  <c r="AM9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3" i="1"/>
  <c r="AM34" i="1"/>
  <c r="AM35" i="1"/>
  <c r="AM36" i="1"/>
  <c r="AM37" i="1"/>
  <c r="AM38" i="1"/>
  <c r="AM39" i="1"/>
  <c r="AM40" i="1"/>
  <c r="AM41" i="1"/>
  <c r="AM43" i="1"/>
  <c r="AM44" i="1"/>
  <c r="AM45" i="1"/>
  <c r="AM46" i="1"/>
  <c r="AM47" i="1"/>
  <c r="AM48" i="1"/>
  <c r="AM49" i="1"/>
  <c r="AM50" i="1"/>
  <c r="AM51" i="1"/>
  <c r="AM52" i="1"/>
  <c r="AM53" i="1"/>
  <c r="AM56" i="1"/>
  <c r="AM58" i="1"/>
  <c r="AM3" i="1"/>
  <c r="AN4" i="1"/>
  <c r="AN5" i="1"/>
  <c r="AN6" i="1"/>
  <c r="AN7" i="1"/>
  <c r="AN8" i="1"/>
  <c r="AN9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3" i="1"/>
  <c r="AN34" i="1"/>
  <c r="AN35" i="1"/>
  <c r="AN36" i="1"/>
  <c r="AN37" i="1"/>
  <c r="AN38" i="1"/>
  <c r="AN39" i="1"/>
  <c r="AN40" i="1"/>
  <c r="AN41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O54" i="1"/>
  <c r="AQ54" i="1"/>
  <c r="AN57" i="1"/>
  <c r="AN3" i="1"/>
  <c r="AO3" i="1"/>
  <c r="AQ3" i="1"/>
  <c r="AE4" i="1"/>
  <c r="AE5" i="1"/>
  <c r="AE6" i="1"/>
  <c r="AE7" i="1"/>
  <c r="AE8" i="1"/>
  <c r="AE9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3" i="1"/>
  <c r="AE34" i="1"/>
  <c r="AE35" i="1"/>
  <c r="AE36" i="1"/>
  <c r="AE37" i="1"/>
  <c r="AE38" i="1"/>
  <c r="AE39" i="1"/>
  <c r="AE40" i="1"/>
  <c r="AE41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3" i="1"/>
  <c r="AD4" i="1"/>
  <c r="AD5" i="1"/>
  <c r="AD6" i="1"/>
  <c r="AD7" i="1"/>
  <c r="AD8" i="1"/>
  <c r="AD9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3" i="1"/>
  <c r="AD34" i="1"/>
  <c r="AD35" i="1"/>
  <c r="AD36" i="1"/>
  <c r="AD37" i="1"/>
  <c r="AD38" i="1"/>
  <c r="AD39" i="1"/>
  <c r="AD40" i="1"/>
  <c r="AD41" i="1"/>
  <c r="AD43" i="1"/>
  <c r="AD44" i="1"/>
  <c r="AD45" i="1"/>
  <c r="AD46" i="1"/>
  <c r="AD47" i="1"/>
  <c r="AD48" i="1"/>
  <c r="AD49" i="1"/>
  <c r="AD50" i="1"/>
  <c r="AD51" i="1"/>
  <c r="AD52" i="1"/>
  <c r="AD53" i="1"/>
  <c r="AD56" i="1"/>
  <c r="AD58" i="1"/>
  <c r="AD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6" i="1"/>
  <c r="U58" i="1"/>
  <c r="U3" i="1"/>
  <c r="L4" i="1"/>
  <c r="L5" i="1"/>
  <c r="L6" i="1"/>
  <c r="L7" i="1"/>
  <c r="L8" i="1"/>
  <c r="L9" i="1"/>
  <c r="L12" i="1"/>
  <c r="L13" i="1"/>
  <c r="L14" i="1"/>
  <c r="L15" i="1"/>
  <c r="L16" i="1"/>
  <c r="L17" i="1"/>
  <c r="L18" i="1"/>
  <c r="L19" i="1"/>
  <c r="L20" i="1"/>
  <c r="L21" i="1"/>
  <c r="L22" i="1"/>
  <c r="O22" i="1"/>
  <c r="P22" i="1"/>
  <c r="L23" i="1"/>
  <c r="O23" i="1"/>
  <c r="P23" i="1"/>
  <c r="L24" i="1"/>
  <c r="O24" i="1"/>
  <c r="P24" i="1"/>
  <c r="L25" i="1"/>
  <c r="O25" i="1"/>
  <c r="P25" i="1"/>
  <c r="L26" i="1"/>
  <c r="O26" i="1"/>
  <c r="P26" i="1"/>
  <c r="L27" i="1"/>
  <c r="O27" i="1"/>
  <c r="P27" i="1"/>
  <c r="L28" i="1"/>
  <c r="O28" i="1"/>
  <c r="P28" i="1"/>
  <c r="L29" i="1"/>
  <c r="O29" i="1"/>
  <c r="P29" i="1"/>
  <c r="L30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6" i="1"/>
  <c r="L58" i="1"/>
  <c r="L3" i="1"/>
  <c r="AU57" i="1"/>
  <c r="AU58" i="1"/>
  <c r="AL56" i="1"/>
  <c r="AL58" i="1"/>
  <c r="AI56" i="1"/>
  <c r="AC56" i="1"/>
  <c r="AC58" i="1"/>
  <c r="Z56" i="1"/>
  <c r="T56" i="1"/>
  <c r="T58" i="1"/>
  <c r="K56" i="1"/>
  <c r="K58" i="1"/>
  <c r="V4" i="1"/>
  <c r="V5" i="1"/>
  <c r="V6" i="1"/>
  <c r="V7" i="1"/>
  <c r="V25" i="1"/>
  <c r="V26" i="1"/>
  <c r="W26" i="1"/>
  <c r="V27" i="1"/>
  <c r="V28" i="1"/>
  <c r="W28" i="1"/>
  <c r="V29" i="1"/>
  <c r="V30" i="1"/>
  <c r="W30" i="1"/>
  <c r="V33" i="1"/>
  <c r="V34" i="1"/>
  <c r="W34" i="1"/>
  <c r="V35" i="1"/>
  <c r="V36" i="1"/>
  <c r="W36" i="1"/>
  <c r="V37" i="1"/>
  <c r="V38" i="1"/>
  <c r="W38" i="1"/>
  <c r="V3" i="1"/>
  <c r="W3" i="1"/>
  <c r="AE56" i="1"/>
  <c r="Z58" i="1"/>
  <c r="AE58" i="1"/>
  <c r="AN56" i="1"/>
  <c r="AO56" i="1"/>
  <c r="AQ56" i="1"/>
  <c r="AI58" i="1"/>
  <c r="AN58" i="1"/>
  <c r="AF58" i="1"/>
  <c r="AO58" i="1"/>
  <c r="AQ58" i="1"/>
  <c r="AH58" i="1"/>
  <c r="L11" i="1"/>
  <c r="AO53" i="1"/>
  <c r="AQ53" i="1"/>
  <c r="AO51" i="1"/>
  <c r="AQ51" i="1"/>
  <c r="AO49" i="1"/>
  <c r="AQ49" i="1"/>
  <c r="AO47" i="1"/>
  <c r="AQ47" i="1"/>
  <c r="AO45" i="1"/>
  <c r="AQ45" i="1"/>
  <c r="AO43" i="1"/>
  <c r="AQ43" i="1"/>
  <c r="AO40" i="1"/>
  <c r="AQ40" i="1"/>
  <c r="AO38" i="1"/>
  <c r="AQ38" i="1"/>
  <c r="AO36" i="1"/>
  <c r="AQ36" i="1"/>
  <c r="AO34" i="1"/>
  <c r="AQ34" i="1"/>
  <c r="AO30" i="1"/>
  <c r="AQ30" i="1"/>
  <c r="AO28" i="1"/>
  <c r="AQ28" i="1"/>
  <c r="AO26" i="1"/>
  <c r="AQ26" i="1"/>
  <c r="AO24" i="1"/>
  <c r="AQ24" i="1"/>
  <c r="AO22" i="1"/>
  <c r="AQ22" i="1"/>
  <c r="AO20" i="1"/>
  <c r="AQ20" i="1"/>
  <c r="AO18" i="1"/>
  <c r="AQ18" i="1"/>
  <c r="AO16" i="1"/>
  <c r="AQ16" i="1"/>
  <c r="AO14" i="1"/>
  <c r="AQ14" i="1"/>
  <c r="AO12" i="1"/>
  <c r="AQ12" i="1"/>
  <c r="AO8" i="1"/>
  <c r="AQ8" i="1"/>
  <c r="AO6" i="1"/>
  <c r="AQ6" i="1"/>
  <c r="AO4" i="1"/>
  <c r="AQ4" i="1"/>
  <c r="L55" i="1"/>
  <c r="L32" i="1"/>
  <c r="U42" i="1"/>
  <c r="AD55" i="1"/>
  <c r="AF55" i="1"/>
  <c r="AD32" i="1"/>
  <c r="AF32" i="1"/>
  <c r="AD11" i="1"/>
  <c r="AF11" i="1"/>
  <c r="AM42" i="1"/>
  <c r="AO42" i="1"/>
  <c r="AQ42" i="1"/>
  <c r="X55" i="1"/>
  <c r="X32" i="1"/>
  <c r="X11" i="1"/>
  <c r="AG42" i="1"/>
  <c r="AK55" i="1"/>
  <c r="AK32" i="1"/>
  <c r="AK11" i="1"/>
  <c r="L42" i="1"/>
  <c r="U55" i="1"/>
  <c r="U32" i="1"/>
  <c r="U11" i="1"/>
  <c r="AD42" i="1"/>
  <c r="AF42" i="1"/>
  <c r="AM55" i="1"/>
  <c r="AO55" i="1"/>
  <c r="AQ55" i="1"/>
  <c r="AM32" i="1"/>
  <c r="AO32" i="1"/>
  <c r="AQ32" i="1"/>
  <c r="AM11" i="1"/>
  <c r="AO11" i="1"/>
  <c r="AQ11" i="1"/>
  <c r="X42" i="1"/>
  <c r="AG55" i="1"/>
  <c r="AG32" i="1"/>
  <c r="AH32" i="1"/>
  <c r="AG11" i="1"/>
  <c r="AH11" i="1"/>
  <c r="AK42" i="1"/>
  <c r="AX57" i="1"/>
  <c r="BA57" i="1"/>
  <c r="W7" i="1"/>
  <c r="Y7" i="1"/>
  <c r="W5" i="1"/>
  <c r="Y5" i="1"/>
  <c r="AO52" i="1"/>
  <c r="AQ52" i="1"/>
  <c r="AO50" i="1"/>
  <c r="AQ50" i="1"/>
  <c r="AO48" i="1"/>
  <c r="AQ48" i="1"/>
  <c r="AO46" i="1"/>
  <c r="AQ46" i="1"/>
  <c r="AO44" i="1"/>
  <c r="AQ44" i="1"/>
  <c r="AO41" i="1"/>
  <c r="AQ41" i="1"/>
  <c r="AO39" i="1"/>
  <c r="AQ39" i="1"/>
  <c r="AO37" i="1"/>
  <c r="AQ37" i="1"/>
  <c r="AO35" i="1"/>
  <c r="AQ35" i="1"/>
  <c r="AO33" i="1"/>
  <c r="AQ33" i="1"/>
  <c r="AO29" i="1"/>
  <c r="AQ29" i="1"/>
  <c r="AO27" i="1"/>
  <c r="AQ27" i="1"/>
  <c r="AO25" i="1"/>
  <c r="AQ25" i="1"/>
  <c r="AO23" i="1"/>
  <c r="AQ23" i="1"/>
  <c r="AO21" i="1"/>
  <c r="AQ21" i="1"/>
  <c r="AO19" i="1"/>
  <c r="AQ19" i="1"/>
  <c r="AO17" i="1"/>
  <c r="AQ17" i="1"/>
  <c r="AO15" i="1"/>
  <c r="AQ15" i="1"/>
  <c r="AO13" i="1"/>
  <c r="AQ13" i="1"/>
  <c r="AO9" i="1"/>
  <c r="AQ9" i="1"/>
  <c r="AO7" i="1"/>
  <c r="AQ7" i="1"/>
  <c r="AO5" i="1"/>
  <c r="AQ5" i="1"/>
  <c r="Y3" i="1"/>
  <c r="Y38" i="1"/>
  <c r="Y36" i="1"/>
  <c r="Y34" i="1"/>
  <c r="Y30" i="1"/>
  <c r="Y28" i="1"/>
  <c r="Y26" i="1"/>
  <c r="W6" i="1"/>
  <c r="Y6" i="1"/>
  <c r="W4" i="1"/>
  <c r="Y4" i="1"/>
  <c r="AX54" i="1"/>
  <c r="BA54" i="1"/>
  <c r="AF56" i="1"/>
  <c r="AH56" i="1"/>
  <c r="AO57" i="1"/>
  <c r="AQ57" i="1"/>
  <c r="W37" i="1"/>
  <c r="Y37" i="1"/>
  <c r="W35" i="1"/>
  <c r="Y35" i="1"/>
  <c r="W33" i="1"/>
  <c r="Y33" i="1"/>
  <c r="W29" i="1"/>
  <c r="Y29" i="1"/>
  <c r="W27" i="1"/>
  <c r="Y27" i="1"/>
  <c r="W25" i="1"/>
  <c r="Y25" i="1"/>
  <c r="AF57" i="1"/>
  <c r="AH57" i="1"/>
  <c r="AF52" i="1"/>
  <c r="AH52" i="1"/>
  <c r="AF50" i="1"/>
  <c r="AH50" i="1"/>
  <c r="AF49" i="1"/>
  <c r="AH49" i="1"/>
  <c r="AF47" i="1"/>
  <c r="AH47" i="1"/>
  <c r="AF45" i="1"/>
  <c r="AH45" i="1"/>
  <c r="AF43" i="1"/>
  <c r="AH43" i="1"/>
  <c r="AF40" i="1"/>
  <c r="AH40" i="1"/>
  <c r="AF39" i="1"/>
  <c r="AH39" i="1"/>
  <c r="AF37" i="1"/>
  <c r="AH37" i="1"/>
  <c r="AF35" i="1"/>
  <c r="AH35" i="1"/>
  <c r="AF33" i="1"/>
  <c r="AH33" i="1"/>
  <c r="AF29" i="1"/>
  <c r="AH29" i="1"/>
  <c r="AF27" i="1"/>
  <c r="AH27" i="1"/>
  <c r="AF25" i="1"/>
  <c r="AH25" i="1"/>
  <c r="AF23" i="1"/>
  <c r="AH23" i="1"/>
  <c r="AF20" i="1"/>
  <c r="AH20" i="1"/>
  <c r="AF18" i="1"/>
  <c r="AH18" i="1"/>
  <c r="AF16" i="1"/>
  <c r="AH16" i="1"/>
  <c r="AF14" i="1"/>
  <c r="AH14" i="1"/>
  <c r="AF12" i="1"/>
  <c r="AH12" i="1"/>
  <c r="AF8" i="1"/>
  <c r="AH8" i="1"/>
  <c r="AF6" i="1"/>
  <c r="AH6" i="1"/>
  <c r="AF4" i="1"/>
  <c r="AH4" i="1"/>
  <c r="AF3" i="1"/>
  <c r="AH3" i="1"/>
  <c r="AF54" i="1"/>
  <c r="AH54" i="1"/>
  <c r="AF53" i="1"/>
  <c r="AH53" i="1"/>
  <c r="AF51" i="1"/>
  <c r="AH51" i="1"/>
  <c r="AF48" i="1"/>
  <c r="AH48" i="1"/>
  <c r="AF46" i="1"/>
  <c r="AH46" i="1"/>
  <c r="AF44" i="1"/>
  <c r="AH44" i="1"/>
  <c r="AF41" i="1"/>
  <c r="AH41" i="1"/>
  <c r="AF38" i="1"/>
  <c r="AH38" i="1"/>
  <c r="AF36" i="1"/>
  <c r="AH36" i="1"/>
  <c r="AF34" i="1"/>
  <c r="AH34" i="1"/>
  <c r="AF30" i="1"/>
  <c r="AH30" i="1"/>
  <c r="AF28" i="1"/>
  <c r="AH28" i="1"/>
  <c r="AF26" i="1"/>
  <c r="AH26" i="1"/>
  <c r="AF24" i="1"/>
  <c r="AH24" i="1"/>
  <c r="AF22" i="1"/>
  <c r="AH22" i="1"/>
  <c r="AF21" i="1"/>
  <c r="AH21" i="1"/>
  <c r="AF19" i="1"/>
  <c r="AH19" i="1"/>
  <c r="AF17" i="1"/>
  <c r="AH17" i="1"/>
  <c r="AF15" i="1"/>
  <c r="AH15" i="1"/>
  <c r="AF13" i="1"/>
  <c r="AH13" i="1"/>
  <c r="AF9" i="1"/>
  <c r="AH9" i="1"/>
  <c r="AF7" i="1"/>
  <c r="AH7" i="1"/>
  <c r="AF5" i="1"/>
  <c r="AH5" i="1"/>
  <c r="AU54" i="1"/>
  <c r="AU55" i="1"/>
  <c r="AL4" i="1"/>
  <c r="AL5" i="1"/>
  <c r="AL6" i="1"/>
  <c r="AL7" i="1"/>
  <c r="AL8" i="1"/>
  <c r="AL9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3" i="1"/>
  <c r="AL34" i="1"/>
  <c r="AL35" i="1"/>
  <c r="AL36" i="1"/>
  <c r="AL37" i="1"/>
  <c r="AL38" i="1"/>
  <c r="AL39" i="1"/>
  <c r="AL40" i="1"/>
  <c r="AL41" i="1"/>
  <c r="AL43" i="1"/>
  <c r="AL44" i="1"/>
  <c r="AL45" i="1"/>
  <c r="AL46" i="1"/>
  <c r="AL47" i="1"/>
  <c r="AL48" i="1"/>
  <c r="AL49" i="1"/>
  <c r="AL50" i="1"/>
  <c r="AL51" i="1"/>
  <c r="AL52" i="1"/>
  <c r="AL53" i="1"/>
  <c r="AL3" i="1"/>
  <c r="AC4" i="1"/>
  <c r="AC5" i="1"/>
  <c r="AC6" i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T4" i="1"/>
  <c r="T5" i="1"/>
  <c r="T6" i="1"/>
  <c r="T7" i="1"/>
  <c r="T8" i="1"/>
  <c r="T9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4" i="1"/>
  <c r="T35" i="1"/>
  <c r="T36" i="1"/>
  <c r="T37" i="1"/>
  <c r="T38" i="1"/>
  <c r="T39" i="1"/>
  <c r="T40" i="1"/>
  <c r="T41" i="1"/>
  <c r="T43" i="1"/>
  <c r="T44" i="1"/>
  <c r="T45" i="1"/>
  <c r="T46" i="1"/>
  <c r="T47" i="1"/>
  <c r="T48" i="1"/>
  <c r="T49" i="1"/>
  <c r="T50" i="1"/>
  <c r="T51" i="1"/>
  <c r="T52" i="1"/>
  <c r="T53" i="1"/>
  <c r="T3" i="1"/>
  <c r="K4" i="1"/>
  <c r="K5" i="1"/>
  <c r="K6" i="1"/>
  <c r="K7" i="1"/>
  <c r="K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3" i="1"/>
  <c r="K55" i="1"/>
  <c r="K32" i="1"/>
  <c r="T55" i="1"/>
  <c r="T32" i="1"/>
  <c r="AC55" i="1"/>
  <c r="AC32" i="1"/>
  <c r="AL55" i="1"/>
  <c r="AL32" i="1"/>
  <c r="AH55" i="1"/>
  <c r="K11" i="1"/>
  <c r="K42" i="1"/>
  <c r="T11" i="1"/>
  <c r="T42" i="1"/>
  <c r="AC11" i="1"/>
  <c r="AC42" i="1"/>
  <c r="AL11" i="1"/>
  <c r="AL42" i="1"/>
  <c r="AZ57" i="1"/>
  <c r="AZ54" i="1"/>
  <c r="AH42" i="1"/>
  <c r="Q53" i="1"/>
  <c r="V53" i="1"/>
  <c r="W53" i="1"/>
  <c r="Y53" i="1"/>
  <c r="Q52" i="1"/>
  <c r="V52" i="1"/>
  <c r="W52" i="1"/>
  <c r="Y52" i="1"/>
  <c r="Q51" i="1"/>
  <c r="V51" i="1"/>
  <c r="W51" i="1"/>
  <c r="Y51" i="1"/>
  <c r="Q50" i="1"/>
  <c r="V50" i="1"/>
  <c r="W50" i="1"/>
  <c r="Y50" i="1"/>
  <c r="Q49" i="1"/>
  <c r="V49" i="1"/>
  <c r="W49" i="1"/>
  <c r="Y49" i="1"/>
  <c r="Q48" i="1"/>
  <c r="V48" i="1"/>
  <c r="W48" i="1"/>
  <c r="Y48" i="1"/>
  <c r="Q47" i="1"/>
  <c r="V47" i="1"/>
  <c r="W47" i="1"/>
  <c r="Y47" i="1"/>
  <c r="Q46" i="1"/>
  <c r="V46" i="1"/>
  <c r="W46" i="1"/>
  <c r="Y46" i="1"/>
  <c r="Q45" i="1"/>
  <c r="V45" i="1"/>
  <c r="W45" i="1"/>
  <c r="Y45" i="1"/>
  <c r="Q44" i="1"/>
  <c r="V44" i="1"/>
  <c r="W44" i="1"/>
  <c r="Y44" i="1"/>
  <c r="Q43" i="1"/>
  <c r="Q41" i="1"/>
  <c r="V41" i="1"/>
  <c r="W41" i="1"/>
  <c r="Y41" i="1"/>
  <c r="Q40" i="1"/>
  <c r="V40" i="1"/>
  <c r="W40" i="1"/>
  <c r="Y40" i="1"/>
  <c r="Q39" i="1"/>
  <c r="Q24" i="1"/>
  <c r="V24" i="1"/>
  <c r="W24" i="1"/>
  <c r="Y24" i="1"/>
  <c r="Q23" i="1"/>
  <c r="V23" i="1"/>
  <c r="W23" i="1"/>
  <c r="Y23" i="1"/>
  <c r="Q22" i="1"/>
  <c r="V22" i="1"/>
  <c r="W22" i="1"/>
  <c r="Y22" i="1"/>
  <c r="Q21" i="1"/>
  <c r="V21" i="1"/>
  <c r="W21" i="1"/>
  <c r="Y21" i="1"/>
  <c r="Q20" i="1"/>
  <c r="V20" i="1"/>
  <c r="W20" i="1"/>
  <c r="Y20" i="1"/>
  <c r="Q19" i="1"/>
  <c r="V19" i="1"/>
  <c r="W19" i="1"/>
  <c r="Y19" i="1"/>
  <c r="Q18" i="1"/>
  <c r="V18" i="1"/>
  <c r="W18" i="1"/>
  <c r="Y18" i="1"/>
  <c r="Q17" i="1"/>
  <c r="V17" i="1"/>
  <c r="W17" i="1"/>
  <c r="Y17" i="1"/>
  <c r="Q16" i="1"/>
  <c r="V16" i="1"/>
  <c r="W16" i="1"/>
  <c r="Y16" i="1"/>
  <c r="Q15" i="1"/>
  <c r="V15" i="1"/>
  <c r="W15" i="1"/>
  <c r="Y15" i="1"/>
  <c r="Q14" i="1"/>
  <c r="V14" i="1"/>
  <c r="W14" i="1"/>
  <c r="Y14" i="1"/>
  <c r="Q13" i="1"/>
  <c r="V13" i="1"/>
  <c r="W13" i="1"/>
  <c r="Y13" i="1"/>
  <c r="Q12" i="1"/>
  <c r="Q9" i="1"/>
  <c r="V9" i="1"/>
  <c r="W9" i="1"/>
  <c r="Y9" i="1"/>
  <c r="Q8" i="1"/>
  <c r="H53" i="1"/>
  <c r="N53" i="1"/>
  <c r="O53" i="1"/>
  <c r="P53" i="1"/>
  <c r="H52" i="1"/>
  <c r="N52" i="1"/>
  <c r="O52" i="1"/>
  <c r="P52" i="1"/>
  <c r="H51" i="1"/>
  <c r="N51" i="1"/>
  <c r="O51" i="1"/>
  <c r="P51" i="1"/>
  <c r="H50" i="1"/>
  <c r="N50" i="1"/>
  <c r="O50" i="1"/>
  <c r="P50" i="1"/>
  <c r="H49" i="1"/>
  <c r="N49" i="1"/>
  <c r="O49" i="1"/>
  <c r="P49" i="1"/>
  <c r="H48" i="1"/>
  <c r="N48" i="1"/>
  <c r="O48" i="1"/>
  <c r="P48" i="1"/>
  <c r="H47" i="1"/>
  <c r="N47" i="1"/>
  <c r="O47" i="1"/>
  <c r="P47" i="1"/>
  <c r="H46" i="1"/>
  <c r="N46" i="1"/>
  <c r="O46" i="1"/>
  <c r="P46" i="1"/>
  <c r="H45" i="1"/>
  <c r="N45" i="1"/>
  <c r="O45" i="1"/>
  <c r="P45" i="1"/>
  <c r="H44" i="1"/>
  <c r="N44" i="1"/>
  <c r="O44" i="1"/>
  <c r="P44" i="1"/>
  <c r="H43" i="1"/>
  <c r="N43" i="1"/>
  <c r="O43" i="1"/>
  <c r="P43" i="1"/>
  <c r="H41" i="1"/>
  <c r="N41" i="1"/>
  <c r="O41" i="1"/>
  <c r="P41" i="1"/>
  <c r="H40" i="1"/>
  <c r="N40" i="1"/>
  <c r="O40" i="1"/>
  <c r="P40" i="1"/>
  <c r="H39" i="1"/>
  <c r="H38" i="1"/>
  <c r="N38" i="1"/>
  <c r="O38" i="1"/>
  <c r="P38" i="1"/>
  <c r="H37" i="1"/>
  <c r="N37" i="1"/>
  <c r="O37" i="1"/>
  <c r="P37" i="1"/>
  <c r="H36" i="1"/>
  <c r="N36" i="1"/>
  <c r="O36" i="1"/>
  <c r="P36" i="1"/>
  <c r="H35" i="1"/>
  <c r="N35" i="1"/>
  <c r="O35" i="1"/>
  <c r="P35" i="1"/>
  <c r="H34" i="1"/>
  <c r="N34" i="1"/>
  <c r="O34" i="1"/>
  <c r="P34" i="1"/>
  <c r="H33" i="1"/>
  <c r="H30" i="1"/>
  <c r="N30" i="1"/>
  <c r="O30" i="1"/>
  <c r="P30" i="1"/>
  <c r="H21" i="1"/>
  <c r="N21" i="1"/>
  <c r="O21" i="1"/>
  <c r="P21" i="1"/>
  <c r="H20" i="1"/>
  <c r="N20" i="1"/>
  <c r="O20" i="1"/>
  <c r="P20" i="1"/>
  <c r="H19" i="1"/>
  <c r="N19" i="1"/>
  <c r="O19" i="1"/>
  <c r="P19" i="1"/>
  <c r="H18" i="1"/>
  <c r="N18" i="1"/>
  <c r="O18" i="1"/>
  <c r="P18" i="1"/>
  <c r="H17" i="1"/>
  <c r="N17" i="1"/>
  <c r="O17" i="1"/>
  <c r="P17" i="1"/>
  <c r="H16" i="1"/>
  <c r="N16" i="1"/>
  <c r="O16" i="1"/>
  <c r="P16" i="1"/>
  <c r="H15" i="1"/>
  <c r="N15" i="1"/>
  <c r="O15" i="1"/>
  <c r="P15" i="1"/>
  <c r="H14" i="1"/>
  <c r="N14" i="1"/>
  <c r="O14" i="1"/>
  <c r="P14" i="1"/>
  <c r="H13" i="1"/>
  <c r="N13" i="1"/>
  <c r="O13" i="1"/>
  <c r="P13" i="1"/>
  <c r="H12" i="1"/>
  <c r="H9" i="1"/>
  <c r="N9" i="1"/>
  <c r="O9" i="1"/>
  <c r="P9" i="1"/>
  <c r="H8" i="1"/>
  <c r="N8" i="1"/>
  <c r="O8" i="1"/>
  <c r="P8" i="1"/>
  <c r="H7" i="1"/>
  <c r="N7" i="1"/>
  <c r="O7" i="1"/>
  <c r="P7" i="1"/>
  <c r="H6" i="1"/>
  <c r="N6" i="1"/>
  <c r="O6" i="1"/>
  <c r="P6" i="1"/>
  <c r="H5" i="1"/>
  <c r="N5" i="1"/>
  <c r="O5" i="1"/>
  <c r="P5" i="1"/>
  <c r="H4" i="1"/>
  <c r="H3" i="1"/>
  <c r="H58" i="1"/>
  <c r="N58" i="1"/>
  <c r="O58" i="1"/>
  <c r="P58" i="1"/>
  <c r="N33" i="1"/>
  <c r="O33" i="1"/>
  <c r="P33" i="1"/>
  <c r="H42" i="1"/>
  <c r="N42" i="1"/>
  <c r="O42" i="1"/>
  <c r="P42" i="1"/>
  <c r="N39" i="1"/>
  <c r="O39" i="1"/>
  <c r="P39" i="1"/>
  <c r="V8" i="1"/>
  <c r="W8" i="1"/>
  <c r="Y8" i="1"/>
  <c r="Q11" i="1"/>
  <c r="V11" i="1"/>
  <c r="W11" i="1"/>
  <c r="Y11" i="1"/>
  <c r="V12" i="1"/>
  <c r="W12" i="1"/>
  <c r="Y12" i="1"/>
  <c r="Q32" i="1"/>
  <c r="V32" i="1"/>
  <c r="W32" i="1"/>
  <c r="Y32" i="1"/>
  <c r="V43" i="1"/>
  <c r="W43" i="1"/>
  <c r="Y43" i="1"/>
  <c r="Q55" i="1"/>
  <c r="V55" i="1"/>
  <c r="W55" i="1"/>
  <c r="Y55" i="1"/>
  <c r="N4" i="1"/>
  <c r="O4" i="1"/>
  <c r="P4" i="1"/>
  <c r="N12" i="1"/>
  <c r="O12" i="1"/>
  <c r="P12" i="1"/>
  <c r="H32" i="1"/>
  <c r="N32" i="1"/>
  <c r="O32" i="1"/>
  <c r="P32" i="1"/>
  <c r="Q42" i="1"/>
  <c r="V42" i="1"/>
  <c r="W42" i="1"/>
  <c r="Y42" i="1"/>
  <c r="H11" i="1"/>
  <c r="N11" i="1"/>
  <c r="O11" i="1"/>
  <c r="P11" i="1"/>
  <c r="N3" i="1"/>
  <c r="O3" i="1"/>
  <c r="P3" i="1"/>
  <c r="V39" i="1"/>
  <c r="W39" i="1"/>
  <c r="Y39" i="1"/>
  <c r="N56" i="1"/>
  <c r="O56" i="1"/>
  <c r="P56" i="1"/>
  <c r="V56" i="1"/>
  <c r="W56" i="1"/>
  <c r="Y56" i="1"/>
  <c r="Q58" i="1"/>
  <c r="V58" i="1"/>
  <c r="W58" i="1"/>
  <c r="Y58" i="1"/>
  <c r="H55" i="1"/>
  <c r="N55" i="1"/>
  <c r="O55" i="1"/>
  <c r="P55" i="1"/>
  <c r="V62" i="1"/>
  <c r="W62" i="1"/>
</calcChain>
</file>

<file path=xl/sharedStrings.xml><?xml version="1.0" encoding="utf-8"?>
<sst xmlns="http://schemas.openxmlformats.org/spreadsheetml/2006/main" count="195" uniqueCount="97">
  <si>
    <t>Region</t>
  </si>
  <si>
    <t>State</t>
  </si>
  <si>
    <t>Corn</t>
  </si>
  <si>
    <t>Soybeans</t>
  </si>
  <si>
    <t>Switchgrass</t>
  </si>
  <si>
    <t>Wood (short rotation)</t>
  </si>
  <si>
    <t>Washington</t>
  </si>
  <si>
    <t>Oregon</t>
  </si>
  <si>
    <t>Idaho</t>
  </si>
  <si>
    <t>Montana</t>
  </si>
  <si>
    <t>Wyoming</t>
  </si>
  <si>
    <t>North Dakota</t>
  </si>
  <si>
    <t>South Dakota</t>
  </si>
  <si>
    <t>Minnesota</t>
  </si>
  <si>
    <t>Iowa</t>
  </si>
  <si>
    <t>Wisconsin</t>
  </si>
  <si>
    <t>Illinois</t>
  </si>
  <si>
    <t>Michigan</t>
  </si>
  <si>
    <t>Indiana</t>
  </si>
  <si>
    <t>Ohio</t>
  </si>
  <si>
    <t>Maine</t>
  </si>
  <si>
    <t>New York</t>
  </si>
  <si>
    <t>Pennsylvania</t>
  </si>
  <si>
    <t>West Virginia</t>
  </si>
  <si>
    <t>Maryland</t>
  </si>
  <si>
    <t>Delaware</t>
  </si>
  <si>
    <t>New Yersey</t>
  </si>
  <si>
    <t>Connecticut</t>
  </si>
  <si>
    <t>Rhode Island</t>
  </si>
  <si>
    <t>Massachusetts</t>
  </si>
  <si>
    <t>Vermont</t>
  </si>
  <si>
    <t>New Hampshire</t>
  </si>
  <si>
    <t>California</t>
  </si>
  <si>
    <t>Nevada</t>
  </si>
  <si>
    <t>Utah</t>
  </si>
  <si>
    <t>Arizona</t>
  </si>
  <si>
    <t>Colorado</t>
  </si>
  <si>
    <t>New Mexico</t>
  </si>
  <si>
    <t>Texas</t>
  </si>
  <si>
    <t>Nebraska</t>
  </si>
  <si>
    <t>Kansas</t>
  </si>
  <si>
    <t>Oklahoma</t>
  </si>
  <si>
    <t>Missouri</t>
  </si>
  <si>
    <t>Arkansas</t>
  </si>
  <si>
    <t>Louisiana</t>
  </si>
  <si>
    <t>Mississippi</t>
  </si>
  <si>
    <t>Kentucky</t>
  </si>
  <si>
    <t>Tennessee</t>
  </si>
  <si>
    <t>Alabama</t>
  </si>
  <si>
    <t>Virginia</t>
  </si>
  <si>
    <t>North Carolina</t>
  </si>
  <si>
    <t>South Carolina</t>
  </si>
  <si>
    <t>Georgia</t>
  </si>
  <si>
    <t>Florida</t>
  </si>
  <si>
    <t>Recycled/waste vegetable oil</t>
  </si>
  <si>
    <t>Yield (ton/year)</t>
  </si>
  <si>
    <t>Biodiesel production (ton/year)</t>
  </si>
  <si>
    <t>Bioethanol production (ton/year)</t>
  </si>
  <si>
    <t>Fuel use (GJ/year)</t>
  </si>
  <si>
    <t>Area used (hc/state)</t>
  </si>
  <si>
    <t>On land</t>
  </si>
  <si>
    <t>In water</t>
  </si>
  <si>
    <t xml:space="preserve">Photosynthetic efficiency </t>
  </si>
  <si>
    <t>Photosynthetic efficiency</t>
  </si>
  <si>
    <t xml:space="preserve">Algae </t>
  </si>
  <si>
    <t>Gulf of Mexico</t>
  </si>
  <si>
    <t>Mexico</t>
  </si>
  <si>
    <t>Mass ratio (kg product/kg plant)</t>
  </si>
  <si>
    <t>Net biodiesel production (MWh/year)</t>
  </si>
  <si>
    <t>Net bioethanol production (MWh/year)</t>
  </si>
  <si>
    <t>Ouput/input ratio (MWh/MWh)</t>
  </si>
  <si>
    <t>Planting Time (hrs)</t>
  </si>
  <si>
    <t>Harvesting Time (hrs)</t>
  </si>
  <si>
    <t>Agricultural + logging residues</t>
  </si>
  <si>
    <t>Yield (ton/state)</t>
  </si>
  <si>
    <t>Population per state</t>
  </si>
  <si>
    <t>Ouput/input ratio (kg/kg)</t>
  </si>
  <si>
    <t>Planting time (hrs)</t>
  </si>
  <si>
    <t>Processing time (hrs)</t>
  </si>
  <si>
    <t>Loss due to transport/storage (for all species assumed the same)</t>
  </si>
  <si>
    <t>Net bioplastic production (ton/year)</t>
  </si>
  <si>
    <t>Region 1 total</t>
  </si>
  <si>
    <t>Region 2 total</t>
  </si>
  <si>
    <t>Region 5 total</t>
  </si>
  <si>
    <t>Region 3 total</t>
  </si>
  <si>
    <t>Region 4 total</t>
  </si>
  <si>
    <t>Crop</t>
  </si>
  <si>
    <t xml:space="preserve">Wood </t>
  </si>
  <si>
    <t>Algae</t>
  </si>
  <si>
    <t>Net biodiesel production (TWh/year)</t>
  </si>
  <si>
    <t>R1</t>
  </si>
  <si>
    <t>R2</t>
  </si>
  <si>
    <t>R3</t>
  </si>
  <si>
    <t>R4</t>
  </si>
  <si>
    <t>R5</t>
  </si>
  <si>
    <t>Total Supply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</si>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</sst>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1"/>
    <xf numFmtId="0" fontId="2" fillId="0" borderId="0" xfId="0" applyFont="1"/>
    <xf numFmtId="0" fontId="2" fillId="0" borderId="2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5" borderId="0" xfId="0" applyFill="1"/>
    <xf numFmtId="10" fontId="0" fillId="0" borderId="0" xfId="0" applyNumberFormat="1" applyFill="1"/>
    <xf numFmtId="0" fontId="0" fillId="6" borderId="0" xfId="0" applyFill="1"/>
    <xf numFmtId="0" fontId="2" fillId="0" borderId="0" xfId="0" applyFont="1" applyFill="1"/>
    <xf numFmtId="0" fontId="0" fillId="7" borderId="0" xfId="0" applyFill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10" fontId="0" fillId="11" borderId="0" xfId="0" applyNumberFormat="1" applyFill="1"/>
    <xf numFmtId="0" fontId="2" fillId="12" borderId="3" xfId="0" applyFont="1" applyFill="1" applyBorder="1" applyAlignment="1">
      <alignment horizontal="right" wrapText="1"/>
    </xf>
    <xf numFmtId="0" fontId="2" fillId="12" borderId="0" xfId="0" applyFont="1" applyFill="1"/>
    <xf numFmtId="9" fontId="0" fillId="5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zoomScaleNormal="50" workbookViewId="0">
      <selection activeCell="U33" sqref="U33"/>
    </sheetView>
  </sheetViews>
  <sheetFormatPr baseColWidth="10" defaultColWidth="8.83203125" defaultRowHeight="15" x14ac:dyDescent="0.2"/>
  <cols>
    <col min="2" max="2" width="14.83203125" bestFit="1" customWidth="1"/>
    <col min="3" max="7" width="16.5" customWidth="1"/>
    <col min="8" max="8" width="10.83203125" style="12" bestFit="1" customWidth="1"/>
    <col min="9" max="9" width="10.83203125" style="12" customWidth="1"/>
    <col min="10" max="10" width="17.1640625" style="12" bestFit="1" customWidth="1"/>
    <col min="11" max="11" width="20.5" style="12" bestFit="1" customWidth="1"/>
    <col min="12" max="12" width="25.1640625" style="12" bestFit="1" customWidth="1"/>
    <col min="13" max="13" width="20.1640625" style="12" bestFit="1" customWidth="1"/>
    <col min="14" max="14" width="15.5" hidden="1" customWidth="1"/>
    <col min="15" max="15" width="34.83203125" hidden="1" customWidth="1"/>
    <col min="16" max="16" width="18.6640625" hidden="1" customWidth="1"/>
    <col min="17" max="17" width="16.5" style="12" bestFit="1" customWidth="1"/>
    <col min="18" max="18" width="15.1640625" style="12" bestFit="1" customWidth="1"/>
    <col min="19" max="19" width="17.1640625" style="12" bestFit="1" customWidth="1"/>
    <col min="20" max="20" width="20.1640625" style="12" bestFit="1" customWidth="1"/>
    <col min="21" max="21" width="25.1640625" style="12" bestFit="1" customWidth="1"/>
    <col min="22" max="22" width="15.5" style="12" hidden="1" customWidth="1"/>
    <col min="23" max="23" width="30.6640625" style="12" hidden="1" customWidth="1"/>
    <col min="24" max="24" width="25.1640625" style="12" bestFit="1" customWidth="1"/>
    <col min="25" max="25" width="36.6640625" hidden="1" customWidth="1"/>
    <col min="26" max="26" width="16.5" style="12" bestFit="1" customWidth="1"/>
    <col min="27" max="27" width="15.1640625" style="12" bestFit="1" customWidth="1"/>
    <col min="28" max="28" width="17.1640625" style="12" bestFit="1" customWidth="1"/>
    <col min="29" max="29" width="20.1640625" style="12" bestFit="1" customWidth="1"/>
    <col min="30" max="30" width="25.1640625" style="12" bestFit="1" customWidth="1"/>
    <col min="31" max="31" width="15.5" style="12" hidden="1" customWidth="1"/>
    <col min="32" max="32" width="31.83203125" style="12" hidden="1" customWidth="1"/>
    <col min="33" max="33" width="30.6640625" style="12" customWidth="1"/>
    <col min="34" max="34" width="38.1640625" style="12" hidden="1" customWidth="1"/>
    <col min="35" max="35" width="21.33203125" style="12" bestFit="1" customWidth="1"/>
    <col min="36" max="36" width="20.1640625" style="12" bestFit="1" customWidth="1"/>
    <col min="37" max="37" width="22.33203125" style="12" bestFit="1" customWidth="1"/>
    <col min="38" max="38" width="25.5" style="12" bestFit="1" customWidth="1"/>
    <col min="39" max="39" width="31.6640625" style="12" customWidth="1"/>
    <col min="40" max="40" width="15.5" style="12" hidden="1" customWidth="1"/>
    <col min="41" max="41" width="30.6640625" style="12" hidden="1" customWidth="1"/>
    <col min="42" max="42" width="30.6640625" style="12" customWidth="1"/>
    <col min="43" max="43" width="38.1640625" style="12" hidden="1" customWidth="1"/>
    <col min="44" max="44" width="20.33203125" style="12" bestFit="1" customWidth="1"/>
    <col min="45" max="45" width="19.1640625" style="12" bestFit="1" customWidth="1"/>
    <col min="46" max="46" width="21.83203125" style="12" bestFit="1" customWidth="1"/>
    <col min="47" max="47" width="25.5" style="12" bestFit="1" customWidth="1"/>
    <col min="48" max="48" width="31.6640625" style="12" customWidth="1"/>
    <col min="49" max="49" width="15.5" style="12" hidden="1" customWidth="1"/>
    <col min="50" max="50" width="30.6640625" style="12" hidden="1" customWidth="1"/>
    <col min="51" max="51" width="30.6640625" style="12" bestFit="1" customWidth="1"/>
    <col min="52" max="52" width="36.6640625" style="12" hidden="1" customWidth="1"/>
    <col min="53" max="53" width="18.6640625" style="12" hidden="1" customWidth="1"/>
    <col min="55" max="55" width="26.33203125" bestFit="1" customWidth="1"/>
    <col min="56" max="56" width="13.83203125" bestFit="1" customWidth="1"/>
    <col min="57" max="57" width="33" bestFit="1" customWidth="1"/>
    <col min="58" max="58" width="28.83203125" bestFit="1" customWidth="1"/>
    <col min="59" max="59" width="15.83203125" bestFit="1" customWidth="1"/>
  </cols>
  <sheetData>
    <row r="1" spans="1:59" x14ac:dyDescent="0.2">
      <c r="A1" s="10" t="s">
        <v>0</v>
      </c>
      <c r="B1" s="10" t="s">
        <v>1</v>
      </c>
      <c r="C1" s="10" t="s">
        <v>73</v>
      </c>
      <c r="D1" s="10"/>
      <c r="E1" s="12" t="s">
        <v>54</v>
      </c>
      <c r="F1" s="12"/>
      <c r="G1" s="10"/>
      <c r="H1" s="10" t="s">
        <v>2</v>
      </c>
      <c r="I1" s="10"/>
      <c r="J1" s="10"/>
      <c r="K1" s="10"/>
      <c r="L1" s="10"/>
      <c r="M1" s="10"/>
      <c r="N1" s="10"/>
      <c r="O1" s="10"/>
      <c r="P1" s="10"/>
      <c r="Q1" s="10" t="s">
        <v>3</v>
      </c>
      <c r="R1" s="10"/>
      <c r="S1" s="10"/>
      <c r="T1" s="10"/>
      <c r="U1" s="10"/>
      <c r="V1" s="10"/>
      <c r="W1" s="10"/>
      <c r="X1" s="10"/>
      <c r="Y1" s="1"/>
      <c r="Z1" s="10" t="s">
        <v>4</v>
      </c>
      <c r="AA1" s="10"/>
      <c r="AB1" s="10"/>
      <c r="AC1" s="10"/>
      <c r="AD1" s="10"/>
      <c r="AE1" s="10"/>
      <c r="AF1" s="10"/>
      <c r="AG1" s="10"/>
      <c r="AH1" s="10"/>
      <c r="AI1" s="10" t="s">
        <v>5</v>
      </c>
      <c r="AJ1" s="9"/>
      <c r="AK1" s="9"/>
      <c r="AL1" s="9"/>
      <c r="AM1" s="9"/>
      <c r="AN1" s="9"/>
      <c r="AO1" s="9"/>
      <c r="AP1" s="9"/>
      <c r="AQ1" s="9"/>
      <c r="AR1" s="9" t="s">
        <v>64</v>
      </c>
      <c r="AS1" s="9"/>
      <c r="AT1" s="9"/>
      <c r="AU1" s="9"/>
      <c r="AV1" s="9"/>
      <c r="AW1" s="9"/>
      <c r="AX1" s="9"/>
      <c r="AY1" s="9"/>
      <c r="AZ1" s="9"/>
      <c r="BA1" s="9"/>
    </row>
    <row r="2" spans="1:59" ht="17.5" customHeight="1" thickBot="1" x14ac:dyDescent="0.25">
      <c r="A2" s="10"/>
      <c r="B2" s="10"/>
      <c r="C2" s="10" t="s">
        <v>74</v>
      </c>
      <c r="D2" s="10" t="s">
        <v>68</v>
      </c>
      <c r="E2" s="10" t="s">
        <v>75</v>
      </c>
      <c r="F2" s="10" t="s">
        <v>55</v>
      </c>
      <c r="G2" s="10" t="s">
        <v>68</v>
      </c>
      <c r="H2" s="10" t="s">
        <v>59</v>
      </c>
      <c r="I2" s="10" t="s">
        <v>71</v>
      </c>
      <c r="J2" s="10" t="s">
        <v>72</v>
      </c>
      <c r="K2" s="10" t="s">
        <v>62</v>
      </c>
      <c r="L2" s="10" t="s">
        <v>67</v>
      </c>
      <c r="M2" s="10" t="s">
        <v>76</v>
      </c>
      <c r="N2" s="10" t="s">
        <v>55</v>
      </c>
      <c r="O2" s="10" t="s">
        <v>80</v>
      </c>
      <c r="P2" s="10" t="s">
        <v>58</v>
      </c>
      <c r="Q2" s="10" t="s">
        <v>59</v>
      </c>
      <c r="R2" s="10" t="s">
        <v>71</v>
      </c>
      <c r="S2" s="10" t="s">
        <v>72</v>
      </c>
      <c r="T2" s="10" t="s">
        <v>63</v>
      </c>
      <c r="U2" s="10" t="s">
        <v>67</v>
      </c>
      <c r="V2" s="10" t="s">
        <v>55</v>
      </c>
      <c r="W2" s="10" t="s">
        <v>56</v>
      </c>
      <c r="X2" s="10" t="s">
        <v>70</v>
      </c>
      <c r="Y2" s="1" t="s">
        <v>68</v>
      </c>
      <c r="Z2" s="10" t="s">
        <v>59</v>
      </c>
      <c r="AA2" s="10" t="s">
        <v>71</v>
      </c>
      <c r="AB2" s="10" t="s">
        <v>72</v>
      </c>
      <c r="AC2" s="10" t="s">
        <v>63</v>
      </c>
      <c r="AD2" s="10" t="s">
        <v>67</v>
      </c>
      <c r="AE2" s="10" t="s">
        <v>55</v>
      </c>
      <c r="AF2" s="10" t="s">
        <v>57</v>
      </c>
      <c r="AG2" s="10" t="s">
        <v>70</v>
      </c>
      <c r="AH2" s="10" t="s">
        <v>69</v>
      </c>
      <c r="AI2" s="10" t="s">
        <v>59</v>
      </c>
      <c r="AJ2" s="10" t="s">
        <v>71</v>
      </c>
      <c r="AK2" s="10" t="s">
        <v>72</v>
      </c>
      <c r="AL2" s="10" t="s">
        <v>63</v>
      </c>
      <c r="AM2" s="10" t="s">
        <v>67</v>
      </c>
      <c r="AN2" s="10" t="s">
        <v>55</v>
      </c>
      <c r="AO2" s="10" t="s">
        <v>56</v>
      </c>
      <c r="AP2" s="10" t="s">
        <v>70</v>
      </c>
      <c r="AQ2" s="10" t="s">
        <v>69</v>
      </c>
      <c r="AR2" s="10" t="s">
        <v>59</v>
      </c>
      <c r="AS2" s="10" t="s">
        <v>77</v>
      </c>
      <c r="AT2" s="10" t="s">
        <v>78</v>
      </c>
      <c r="AU2" s="10" t="s">
        <v>63</v>
      </c>
      <c r="AV2" s="10" t="s">
        <v>67</v>
      </c>
      <c r="AW2" s="10" t="s">
        <v>55</v>
      </c>
      <c r="AX2" s="10" t="s">
        <v>56</v>
      </c>
      <c r="AY2" s="10" t="s">
        <v>70</v>
      </c>
      <c r="AZ2" s="10" t="s">
        <v>68</v>
      </c>
      <c r="BA2" s="10" t="s">
        <v>58</v>
      </c>
      <c r="BD2" s="6"/>
    </row>
    <row r="3" spans="1:59" ht="16" thickBot="1" x14ac:dyDescent="0.25">
      <c r="A3">
        <v>1</v>
      </c>
      <c r="B3" t="s">
        <v>6</v>
      </c>
      <c r="C3">
        <v>700000</v>
      </c>
      <c r="D3">
        <f>(C3/(2.5*3.6))*37.8*0.34</f>
        <v>999600.00000000012</v>
      </c>
      <c r="E3" s="7">
        <v>9365876</v>
      </c>
      <c r="F3" s="6">
        <f>(E3)*((9+13)*0.453592)*10^-3</f>
        <v>93462.301385023995</v>
      </c>
      <c r="G3">
        <f>(F3/3.5)*(37.8/3.6)*((44.91-30.05)/44.91)</f>
        <v>92775.537647391859</v>
      </c>
      <c r="H3" s="12">
        <f>195*0.404686*1000</f>
        <v>78913.77</v>
      </c>
      <c r="I3" s="12">
        <v>2976</v>
      </c>
      <c r="J3" s="12">
        <v>7008</v>
      </c>
      <c r="K3" s="18">
        <f t="shared" ref="K3:K10" si="0">$BD$12</f>
        <v>2.5000000000000001E-2</v>
      </c>
      <c r="L3" s="18">
        <f>1/2.5</f>
        <v>0.4</v>
      </c>
      <c r="M3" s="18">
        <v>1</v>
      </c>
      <c r="N3">
        <f t="shared" ref="N3:N9" si="1">7.98*H3</f>
        <v>629731.88460000011</v>
      </c>
      <c r="O3">
        <f>N3*L3*M3</f>
        <v>251892.75384000005</v>
      </c>
      <c r="P3">
        <f t="shared" ref="P3:P36" si="2">58.9*O3</f>
        <v>14836483.201176003</v>
      </c>
      <c r="Q3" s="12">
        <v>0</v>
      </c>
      <c r="R3" s="12">
        <v>0</v>
      </c>
      <c r="S3" s="12">
        <v>0</v>
      </c>
      <c r="T3" s="18">
        <f t="shared" ref="T3:T10" si="3">$BD$12</f>
        <v>2.5000000000000001E-2</v>
      </c>
      <c r="U3" s="18">
        <f>1000/5556</f>
        <v>0.17998560115190784</v>
      </c>
      <c r="V3" s="12">
        <f>(1/36.74)*52.1*0.404686*Q3</f>
        <v>0</v>
      </c>
      <c r="W3" s="12">
        <f>V3*U3</f>
        <v>0</v>
      </c>
      <c r="X3" s="12">
        <f>2.2/3.2</f>
        <v>0.6875</v>
      </c>
      <c r="Y3">
        <f>X3*W3*(37.8/3.6)</f>
        <v>0</v>
      </c>
      <c r="Z3" s="12">
        <v>0</v>
      </c>
      <c r="AA3" s="12">
        <v>2976</v>
      </c>
      <c r="AB3" s="12">
        <v>5304</v>
      </c>
      <c r="AC3" s="18">
        <f t="shared" ref="AC3:AC10" si="4">$BD$12</f>
        <v>2.5000000000000001E-2</v>
      </c>
      <c r="AD3" s="18">
        <f>(0.38*0.8)/1</f>
        <v>0.30400000000000005</v>
      </c>
      <c r="AE3" s="12">
        <f>10*Z3</f>
        <v>0</v>
      </c>
      <c r="AF3" s="12">
        <f>AE3*AD3</f>
        <v>0</v>
      </c>
      <c r="AG3" s="12">
        <f>0.34</f>
        <v>0.34</v>
      </c>
      <c r="AH3" s="12">
        <f>AG3*AF3*(39.7/3.6)</f>
        <v>0</v>
      </c>
      <c r="AI3" s="12">
        <v>0</v>
      </c>
      <c r="AJ3" s="12">
        <v>2976</v>
      </c>
      <c r="AK3" s="12">
        <f>221*24</f>
        <v>5304</v>
      </c>
      <c r="AL3" s="18">
        <f t="shared" ref="AL3:AL10" si="5">$BD$12</f>
        <v>2.5000000000000001E-2</v>
      </c>
      <c r="AM3" s="18">
        <f>((1*0.8)/2)</f>
        <v>0.4</v>
      </c>
      <c r="AN3" s="12">
        <f>15*AI3</f>
        <v>0</v>
      </c>
      <c r="AO3" s="12">
        <f>AN3*AM3</f>
        <v>0</v>
      </c>
      <c r="AP3" s="12">
        <v>0.34</v>
      </c>
      <c r="AQ3" s="12">
        <f>AP3*AO3*(39.7/3.6)</f>
        <v>0</v>
      </c>
      <c r="AU3" s="11"/>
      <c r="AV3" s="11"/>
      <c r="AW3" s="11"/>
    </row>
    <row r="4" spans="1:59" ht="16" thickBot="1" x14ac:dyDescent="0.25">
      <c r="B4" t="s">
        <v>7</v>
      </c>
      <c r="C4">
        <v>700000</v>
      </c>
      <c r="D4">
        <f t="shared" ref="D4:D56" si="6">(C4/(2.5*3.6))*37.8*0.34</f>
        <v>999600.00000000012</v>
      </c>
      <c r="E4" s="7">
        <v>5256887</v>
      </c>
      <c r="F4" s="6">
        <f t="shared" ref="F4:F53" si="7">(E4)*((9+13)*0.453592)*10^-3</f>
        <v>52458.601538288</v>
      </c>
      <c r="G4">
        <f>(F4/3.5)*(37.8/3.6)*((44.91-30.05)/44.91)</f>
        <v>52073.134192315258</v>
      </c>
      <c r="H4" s="12">
        <f>80*0.404686*1000</f>
        <v>32374.879999999997</v>
      </c>
      <c r="I4" s="12">
        <v>3216</v>
      </c>
      <c r="J4" s="12">
        <v>7392</v>
      </c>
      <c r="K4" s="18">
        <f t="shared" si="0"/>
        <v>2.5000000000000001E-2</v>
      </c>
      <c r="L4" s="18">
        <f t="shared" ref="L4:L56" si="8">1/2.5</f>
        <v>0.4</v>
      </c>
      <c r="M4" s="18">
        <v>1</v>
      </c>
      <c r="N4">
        <f t="shared" si="1"/>
        <v>258351.54240000001</v>
      </c>
      <c r="O4">
        <f t="shared" ref="O4:O56" si="9">N4*L4*M4</f>
        <v>103340.61696000001</v>
      </c>
      <c r="P4">
        <f t="shared" si="2"/>
        <v>6086762.3389440011</v>
      </c>
      <c r="Q4" s="12">
        <v>0</v>
      </c>
      <c r="R4" s="12">
        <v>0</v>
      </c>
      <c r="S4" s="12">
        <v>0</v>
      </c>
      <c r="T4" s="18">
        <f t="shared" si="3"/>
        <v>2.5000000000000001E-2</v>
      </c>
      <c r="U4" s="18">
        <f t="shared" ref="U4:U56" si="10">1000/5556</f>
        <v>0.17998560115190784</v>
      </c>
      <c r="V4" s="12">
        <f t="shared" ref="V4:V56" si="11">(1/36.74)*52.1*0.404686*Q4</f>
        <v>0</v>
      </c>
      <c r="W4" s="12">
        <f t="shared" ref="W4:W56" si="12">V4*U4</f>
        <v>0</v>
      </c>
      <c r="X4" s="12">
        <f t="shared" ref="X4:X56" si="13">2.2/3.2</f>
        <v>0.6875</v>
      </c>
      <c r="Y4">
        <f t="shared" ref="Y4:Y56" si="14">X4*W4*(37.8/3.6)</f>
        <v>0</v>
      </c>
      <c r="Z4" s="12">
        <v>0</v>
      </c>
      <c r="AA4" s="12">
        <v>2976</v>
      </c>
      <c r="AB4" s="12">
        <v>5304</v>
      </c>
      <c r="AC4" s="18">
        <f t="shared" si="4"/>
        <v>2.5000000000000001E-2</v>
      </c>
      <c r="AD4" s="18">
        <f t="shared" ref="AD4:AD56" si="15">(0.38*0.8)/1</f>
        <v>0.30400000000000005</v>
      </c>
      <c r="AE4" s="12">
        <f t="shared" ref="AE4:AE58" si="16">10*Z4</f>
        <v>0</v>
      </c>
      <c r="AF4" s="12">
        <f t="shared" ref="AF4:AF58" si="17">AE4*AD4</f>
        <v>0</v>
      </c>
      <c r="AG4" s="12">
        <f t="shared" ref="AG4:AG56" si="18">0.34</f>
        <v>0.34</v>
      </c>
      <c r="AH4" s="12">
        <f t="shared" ref="AH4:AH58" si="19">AG4*AF4*(39.7/3.6)</f>
        <v>0</v>
      </c>
      <c r="AI4" s="12">
        <v>0</v>
      </c>
      <c r="AJ4" s="12">
        <v>2976</v>
      </c>
      <c r="AK4" s="12">
        <f t="shared" ref="AK4:AK56" si="20">221*24</f>
        <v>5304</v>
      </c>
      <c r="AL4" s="18">
        <f t="shared" si="5"/>
        <v>2.5000000000000001E-2</v>
      </c>
      <c r="AM4" s="18">
        <f t="shared" ref="AM4:AM56" si="21">((1*0.8)/2)</f>
        <v>0.4</v>
      </c>
      <c r="AN4" s="12">
        <f t="shared" ref="AN4:AN58" si="22">15*AI4</f>
        <v>0</v>
      </c>
      <c r="AO4" s="12">
        <f t="shared" ref="AO4:AO58" si="23">AN4*AM4</f>
        <v>0</v>
      </c>
      <c r="AP4" s="12">
        <v>0.34</v>
      </c>
      <c r="AQ4" s="12">
        <f t="shared" ref="AQ4:AQ57" si="24">AP4*AO4*(39.7/3.6)</f>
        <v>0</v>
      </c>
    </row>
    <row r="5" spans="1:59" ht="16" thickBot="1" x14ac:dyDescent="0.25">
      <c r="B5" t="s">
        <v>8</v>
      </c>
      <c r="C5">
        <v>700000</v>
      </c>
      <c r="D5">
        <f t="shared" si="6"/>
        <v>999600.00000000012</v>
      </c>
      <c r="E5" s="7">
        <v>2164052</v>
      </c>
      <c r="F5" s="6">
        <f t="shared" si="7"/>
        <v>21595.126845248</v>
      </c>
      <c r="G5">
        <f t="shared" ref="G5:G53" si="25">(F5/3.5)*(37.8/3.6)*((44.91-30.05)/44.91)</f>
        <v>21436.445218462606</v>
      </c>
      <c r="H5" s="12">
        <f>350*0.404686*1000</f>
        <v>141640.09999999998</v>
      </c>
      <c r="I5" s="12">
        <v>3216</v>
      </c>
      <c r="J5" s="12">
        <v>7392</v>
      </c>
      <c r="K5" s="18">
        <f t="shared" si="0"/>
        <v>2.5000000000000001E-2</v>
      </c>
      <c r="L5" s="18">
        <f t="shared" si="8"/>
        <v>0.4</v>
      </c>
      <c r="M5" s="18">
        <v>1</v>
      </c>
      <c r="N5">
        <f t="shared" si="1"/>
        <v>1130287.9979999999</v>
      </c>
      <c r="O5">
        <f t="shared" si="9"/>
        <v>452115.19919999997</v>
      </c>
      <c r="P5">
        <f t="shared" si="2"/>
        <v>26629585.232879996</v>
      </c>
      <c r="Q5" s="12">
        <v>0</v>
      </c>
      <c r="R5" s="12">
        <v>0</v>
      </c>
      <c r="S5" s="12">
        <v>0</v>
      </c>
      <c r="T5" s="18">
        <f t="shared" si="3"/>
        <v>2.5000000000000001E-2</v>
      </c>
      <c r="U5" s="18">
        <f t="shared" si="10"/>
        <v>0.17998560115190784</v>
      </c>
      <c r="V5" s="12">
        <f t="shared" si="11"/>
        <v>0</v>
      </c>
      <c r="W5" s="12">
        <f t="shared" si="12"/>
        <v>0</v>
      </c>
      <c r="X5" s="12">
        <f t="shared" si="13"/>
        <v>0.6875</v>
      </c>
      <c r="Y5">
        <f t="shared" si="14"/>
        <v>0</v>
      </c>
      <c r="Z5" s="12">
        <v>0</v>
      </c>
      <c r="AA5" s="12">
        <v>2976</v>
      </c>
      <c r="AB5" s="12">
        <v>5304</v>
      </c>
      <c r="AC5" s="18">
        <f t="shared" si="4"/>
        <v>2.5000000000000001E-2</v>
      </c>
      <c r="AD5" s="18">
        <f t="shared" si="15"/>
        <v>0.30400000000000005</v>
      </c>
      <c r="AE5" s="12">
        <f t="shared" si="16"/>
        <v>0</v>
      </c>
      <c r="AF5" s="12">
        <f t="shared" si="17"/>
        <v>0</v>
      </c>
      <c r="AG5" s="12">
        <f t="shared" si="18"/>
        <v>0.34</v>
      </c>
      <c r="AH5" s="12">
        <f t="shared" si="19"/>
        <v>0</v>
      </c>
      <c r="AI5" s="12">
        <v>0</v>
      </c>
      <c r="AJ5" s="12">
        <v>2976</v>
      </c>
      <c r="AK5" s="12">
        <f t="shared" si="20"/>
        <v>5304</v>
      </c>
      <c r="AL5" s="18">
        <f t="shared" si="5"/>
        <v>2.5000000000000001E-2</v>
      </c>
      <c r="AM5" s="18">
        <f t="shared" si="21"/>
        <v>0.4</v>
      </c>
      <c r="AN5" s="12">
        <f t="shared" si="22"/>
        <v>0</v>
      </c>
      <c r="AO5" s="12">
        <f t="shared" si="23"/>
        <v>0</v>
      </c>
      <c r="AP5" s="12">
        <v>0.34</v>
      </c>
      <c r="AQ5" s="12">
        <f t="shared" si="24"/>
        <v>0</v>
      </c>
    </row>
    <row r="6" spans="1:59" ht="16" thickBot="1" x14ac:dyDescent="0.25">
      <c r="B6" t="s">
        <v>9</v>
      </c>
      <c r="C6">
        <v>0</v>
      </c>
      <c r="D6">
        <f t="shared" si="6"/>
        <v>0</v>
      </c>
      <c r="E6" s="7">
        <v>1329874</v>
      </c>
      <c r="F6" s="6">
        <f t="shared" si="7"/>
        <v>13270.844562975999</v>
      </c>
      <c r="G6">
        <f t="shared" si="25"/>
        <v>13173.330007069022</v>
      </c>
      <c r="H6" s="12">
        <f>82*0.404686*1000</f>
        <v>33184.252</v>
      </c>
      <c r="I6" s="12">
        <v>3240</v>
      </c>
      <c r="J6" s="12">
        <v>7608</v>
      </c>
      <c r="K6" s="18">
        <f t="shared" si="0"/>
        <v>2.5000000000000001E-2</v>
      </c>
      <c r="L6" s="18">
        <f t="shared" si="8"/>
        <v>0.4</v>
      </c>
      <c r="M6" s="18">
        <v>1</v>
      </c>
      <c r="N6">
        <f t="shared" si="1"/>
        <v>264810.33095999999</v>
      </c>
      <c r="O6">
        <f t="shared" si="9"/>
        <v>105924.132384</v>
      </c>
      <c r="P6">
        <f t="shared" si="2"/>
        <v>6238931.3974175993</v>
      </c>
      <c r="Q6" s="12">
        <v>0</v>
      </c>
      <c r="R6" s="12">
        <v>0</v>
      </c>
      <c r="S6" s="12">
        <v>0</v>
      </c>
      <c r="T6" s="18">
        <f t="shared" si="3"/>
        <v>2.5000000000000001E-2</v>
      </c>
      <c r="U6" s="18">
        <f t="shared" si="10"/>
        <v>0.17998560115190784</v>
      </c>
      <c r="V6" s="12">
        <f t="shared" si="11"/>
        <v>0</v>
      </c>
      <c r="W6" s="12">
        <f t="shared" si="12"/>
        <v>0</v>
      </c>
      <c r="X6" s="12">
        <f t="shared" si="13"/>
        <v>0.6875</v>
      </c>
      <c r="Y6">
        <f t="shared" si="14"/>
        <v>0</v>
      </c>
      <c r="Z6" s="12">
        <v>0</v>
      </c>
      <c r="AA6" s="12">
        <v>2976</v>
      </c>
      <c r="AB6" s="12">
        <v>5304</v>
      </c>
      <c r="AC6" s="18">
        <f t="shared" si="4"/>
        <v>2.5000000000000001E-2</v>
      </c>
      <c r="AD6" s="18">
        <f t="shared" si="15"/>
        <v>0.30400000000000005</v>
      </c>
      <c r="AE6" s="12">
        <f t="shared" si="16"/>
        <v>0</v>
      </c>
      <c r="AF6" s="12">
        <f t="shared" si="17"/>
        <v>0</v>
      </c>
      <c r="AG6" s="12">
        <f t="shared" si="18"/>
        <v>0.34</v>
      </c>
      <c r="AH6" s="12">
        <f t="shared" si="19"/>
        <v>0</v>
      </c>
      <c r="AI6" s="12">
        <v>0</v>
      </c>
      <c r="AJ6" s="12">
        <v>2976</v>
      </c>
      <c r="AK6" s="12">
        <f t="shared" si="20"/>
        <v>5304</v>
      </c>
      <c r="AL6" s="18">
        <f t="shared" si="5"/>
        <v>2.5000000000000001E-2</v>
      </c>
      <c r="AM6" s="18">
        <f t="shared" si="21"/>
        <v>0.4</v>
      </c>
      <c r="AN6" s="12">
        <f t="shared" si="22"/>
        <v>0</v>
      </c>
      <c r="AO6" s="12">
        <f t="shared" si="23"/>
        <v>0</v>
      </c>
      <c r="AP6" s="12">
        <v>0.34</v>
      </c>
      <c r="AQ6" s="12">
        <f t="shared" si="24"/>
        <v>0</v>
      </c>
    </row>
    <row r="7" spans="1:59" ht="16" thickBot="1" x14ac:dyDescent="0.25">
      <c r="B7" t="s">
        <v>10</v>
      </c>
      <c r="C7">
        <v>0</v>
      </c>
      <c r="D7">
        <f t="shared" si="6"/>
        <v>0</v>
      </c>
      <c r="E7" s="7">
        <v>738144</v>
      </c>
      <c r="F7" s="6">
        <f t="shared" si="7"/>
        <v>7365.9566914559991</v>
      </c>
      <c r="G7">
        <f t="shared" si="25"/>
        <v>7311.8314251861138</v>
      </c>
      <c r="H7" s="12">
        <f>105*0.404686*1000</f>
        <v>42492.03</v>
      </c>
      <c r="I7" s="12">
        <v>3120</v>
      </c>
      <c r="J7" s="12">
        <v>7416</v>
      </c>
      <c r="K7" s="18">
        <f t="shared" si="0"/>
        <v>2.5000000000000001E-2</v>
      </c>
      <c r="L7" s="18">
        <f t="shared" si="8"/>
        <v>0.4</v>
      </c>
      <c r="M7" s="18">
        <v>1</v>
      </c>
      <c r="N7">
        <f t="shared" si="1"/>
        <v>339086.39939999999</v>
      </c>
      <c r="O7">
        <f t="shared" si="9"/>
        <v>135634.55976</v>
      </c>
      <c r="P7">
        <f t="shared" si="2"/>
        <v>7988875.5698640002</v>
      </c>
      <c r="Q7" s="12">
        <v>0</v>
      </c>
      <c r="R7" s="12">
        <v>0</v>
      </c>
      <c r="S7" s="12">
        <v>0</v>
      </c>
      <c r="T7" s="18">
        <f t="shared" si="3"/>
        <v>2.5000000000000001E-2</v>
      </c>
      <c r="U7" s="18">
        <f t="shared" si="10"/>
        <v>0.17998560115190784</v>
      </c>
      <c r="V7" s="12">
        <f t="shared" si="11"/>
        <v>0</v>
      </c>
      <c r="W7" s="12">
        <f t="shared" si="12"/>
        <v>0</v>
      </c>
      <c r="X7" s="12">
        <f t="shared" si="13"/>
        <v>0.6875</v>
      </c>
      <c r="Y7">
        <f t="shared" si="14"/>
        <v>0</v>
      </c>
      <c r="Z7" s="12">
        <v>0</v>
      </c>
      <c r="AA7" s="12">
        <v>2976</v>
      </c>
      <c r="AB7" s="12">
        <v>5304</v>
      </c>
      <c r="AC7" s="18">
        <f t="shared" si="4"/>
        <v>2.5000000000000001E-2</v>
      </c>
      <c r="AD7" s="18">
        <f t="shared" si="15"/>
        <v>0.30400000000000005</v>
      </c>
      <c r="AE7" s="12">
        <f t="shared" si="16"/>
        <v>0</v>
      </c>
      <c r="AF7" s="12">
        <f t="shared" si="17"/>
        <v>0</v>
      </c>
      <c r="AG7" s="12">
        <f t="shared" si="18"/>
        <v>0.34</v>
      </c>
      <c r="AH7" s="12">
        <f t="shared" si="19"/>
        <v>0</v>
      </c>
      <c r="AI7" s="12">
        <v>0</v>
      </c>
      <c r="AJ7" s="12">
        <v>2976</v>
      </c>
      <c r="AK7" s="12">
        <f t="shared" si="20"/>
        <v>5304</v>
      </c>
      <c r="AL7" s="18">
        <f t="shared" si="5"/>
        <v>2.5000000000000001E-2</v>
      </c>
      <c r="AM7" s="18">
        <f t="shared" si="21"/>
        <v>0.4</v>
      </c>
      <c r="AN7" s="12">
        <f t="shared" si="22"/>
        <v>0</v>
      </c>
      <c r="AO7" s="12">
        <f t="shared" si="23"/>
        <v>0</v>
      </c>
      <c r="AP7" s="12">
        <v>0.34</v>
      </c>
      <c r="AQ7" s="12">
        <f t="shared" si="24"/>
        <v>0</v>
      </c>
    </row>
    <row r="8" spans="1:59" ht="16" thickBot="1" x14ac:dyDescent="0.25">
      <c r="B8" t="s">
        <v>11</v>
      </c>
      <c r="C8">
        <v>0</v>
      </c>
      <c r="D8">
        <f t="shared" si="6"/>
        <v>0</v>
      </c>
      <c r="E8" s="7">
        <v>958700</v>
      </c>
      <c r="F8" s="6">
        <f t="shared" si="7"/>
        <v>9566.8903087999988</v>
      </c>
      <c r="G8">
        <f t="shared" si="25"/>
        <v>9496.5925176197688</v>
      </c>
      <c r="H8" s="12">
        <f>3400*0.404686*1000</f>
        <v>1375932.4</v>
      </c>
      <c r="I8" s="12">
        <v>3216</v>
      </c>
      <c r="J8" s="12">
        <v>7200</v>
      </c>
      <c r="K8" s="18">
        <f t="shared" si="0"/>
        <v>2.5000000000000001E-2</v>
      </c>
      <c r="L8" s="18">
        <f t="shared" si="8"/>
        <v>0.4</v>
      </c>
      <c r="M8" s="18">
        <v>1</v>
      </c>
      <c r="N8">
        <f t="shared" si="1"/>
        <v>10979940.551999999</v>
      </c>
      <c r="O8">
        <f t="shared" si="9"/>
        <v>4391976.2208000002</v>
      </c>
      <c r="P8">
        <f t="shared" si="2"/>
        <v>258687399.40512002</v>
      </c>
      <c r="Q8" s="12">
        <f>6050*0.404686*1000</f>
        <v>2448350.3000000003</v>
      </c>
      <c r="R8" s="12">
        <v>3408</v>
      </c>
      <c r="S8" s="12">
        <v>6696</v>
      </c>
      <c r="T8" s="18">
        <f t="shared" si="3"/>
        <v>2.5000000000000001E-2</v>
      </c>
      <c r="U8" s="18">
        <f t="shared" si="10"/>
        <v>0.17998560115190784</v>
      </c>
      <c r="V8" s="12">
        <f t="shared" si="11"/>
        <v>1405045.2357989161</v>
      </c>
      <c r="W8" s="12">
        <f t="shared" si="12"/>
        <v>252887.911410892</v>
      </c>
      <c r="X8" s="12">
        <f t="shared" si="13"/>
        <v>0.6875</v>
      </c>
      <c r="Y8">
        <f t="shared" si="14"/>
        <v>1825534.6104973764</v>
      </c>
      <c r="Z8" s="12">
        <v>1109226</v>
      </c>
      <c r="AA8" s="12">
        <v>2976</v>
      </c>
      <c r="AB8" s="12">
        <v>5304</v>
      </c>
      <c r="AC8" s="18">
        <f t="shared" si="4"/>
        <v>2.5000000000000001E-2</v>
      </c>
      <c r="AD8" s="18">
        <f t="shared" si="15"/>
        <v>0.30400000000000005</v>
      </c>
      <c r="AE8" s="12">
        <f t="shared" si="16"/>
        <v>11092260</v>
      </c>
      <c r="AF8" s="12">
        <f t="shared" si="17"/>
        <v>3372047.0400000005</v>
      </c>
      <c r="AG8" s="12">
        <f t="shared" si="18"/>
        <v>0.34</v>
      </c>
      <c r="AH8" s="12">
        <f t="shared" si="19"/>
        <v>12643303.040533336</v>
      </c>
      <c r="AI8" s="12">
        <v>889</v>
      </c>
      <c r="AJ8" s="12">
        <v>2976</v>
      </c>
      <c r="AK8" s="12">
        <f t="shared" si="20"/>
        <v>5304</v>
      </c>
      <c r="AL8" s="18">
        <f t="shared" si="5"/>
        <v>2.5000000000000001E-2</v>
      </c>
      <c r="AM8" s="18">
        <f t="shared" si="21"/>
        <v>0.4</v>
      </c>
      <c r="AN8" s="12">
        <f t="shared" si="22"/>
        <v>13335</v>
      </c>
      <c r="AO8" s="12">
        <f t="shared" si="23"/>
        <v>5334</v>
      </c>
      <c r="AP8" s="12">
        <v>0.34</v>
      </c>
      <c r="AQ8" s="12">
        <f t="shared" si="24"/>
        <v>19999.53666666667</v>
      </c>
    </row>
    <row r="9" spans="1:59" ht="16" thickBot="1" x14ac:dyDescent="0.25">
      <c r="B9" t="s">
        <v>12</v>
      </c>
      <c r="C9">
        <v>0</v>
      </c>
      <c r="D9">
        <f t="shared" si="6"/>
        <v>0</v>
      </c>
      <c r="E9" s="7">
        <v>1102566</v>
      </c>
      <c r="F9" s="6">
        <f t="shared" si="7"/>
        <v>11002.532575583999</v>
      </c>
      <c r="G9">
        <f t="shared" si="25"/>
        <v>10921.685642830873</v>
      </c>
      <c r="H9" s="12">
        <f>5500*0.404686*1000</f>
        <v>2225773</v>
      </c>
      <c r="I9" s="12">
        <v>3216</v>
      </c>
      <c r="J9" s="12">
        <v>7152</v>
      </c>
      <c r="K9" s="18">
        <f t="shared" si="0"/>
        <v>2.5000000000000001E-2</v>
      </c>
      <c r="L9" s="18">
        <f t="shared" si="8"/>
        <v>0.4</v>
      </c>
      <c r="M9" s="18">
        <v>1</v>
      </c>
      <c r="N9">
        <f t="shared" si="1"/>
        <v>17761668.539999999</v>
      </c>
      <c r="O9">
        <f t="shared" si="9"/>
        <v>7104667.4160000002</v>
      </c>
      <c r="P9">
        <f t="shared" si="2"/>
        <v>418464910.80239999</v>
      </c>
      <c r="Q9" s="12">
        <f>5200*0.404686*1000</f>
        <v>2104367.2000000002</v>
      </c>
      <c r="R9" s="12">
        <v>3504</v>
      </c>
      <c r="S9" s="12">
        <v>6792</v>
      </c>
      <c r="T9" s="18">
        <f t="shared" si="3"/>
        <v>2.5000000000000001E-2</v>
      </c>
      <c r="U9" s="18">
        <f t="shared" si="10"/>
        <v>0.17998560115190784</v>
      </c>
      <c r="V9" s="12">
        <f t="shared" si="11"/>
        <v>1207642.1861412171</v>
      </c>
      <c r="W9" s="12">
        <f t="shared" si="12"/>
        <v>217358.20484903114</v>
      </c>
      <c r="X9" s="12">
        <f t="shared" si="13"/>
        <v>0.6875</v>
      </c>
      <c r="Y9">
        <f t="shared" si="14"/>
        <v>1569054.5412539435</v>
      </c>
      <c r="Z9" s="12">
        <v>460033</v>
      </c>
      <c r="AA9" s="12">
        <v>2976</v>
      </c>
      <c r="AB9" s="12">
        <v>5304</v>
      </c>
      <c r="AC9" s="18">
        <f t="shared" si="4"/>
        <v>2.5000000000000001E-2</v>
      </c>
      <c r="AD9" s="18">
        <f t="shared" si="15"/>
        <v>0.30400000000000005</v>
      </c>
      <c r="AE9" s="12">
        <f t="shared" si="16"/>
        <v>4600330</v>
      </c>
      <c r="AF9" s="12">
        <f t="shared" si="17"/>
        <v>1398500.3200000003</v>
      </c>
      <c r="AG9" s="12">
        <f t="shared" si="18"/>
        <v>0.34</v>
      </c>
      <c r="AH9" s="12">
        <f t="shared" si="19"/>
        <v>5243599.2553777797</v>
      </c>
      <c r="AI9" s="12">
        <v>972</v>
      </c>
      <c r="AJ9" s="12">
        <v>2976</v>
      </c>
      <c r="AK9" s="12">
        <f t="shared" si="20"/>
        <v>5304</v>
      </c>
      <c r="AL9" s="18">
        <f t="shared" si="5"/>
        <v>2.5000000000000001E-2</v>
      </c>
      <c r="AM9" s="18">
        <f t="shared" si="21"/>
        <v>0.4</v>
      </c>
      <c r="AN9" s="12">
        <f t="shared" si="22"/>
        <v>14580</v>
      </c>
      <c r="AO9" s="12">
        <f t="shared" si="23"/>
        <v>5832</v>
      </c>
      <c r="AP9" s="12">
        <v>0.34</v>
      </c>
      <c r="AQ9" s="12">
        <f t="shared" si="24"/>
        <v>21866.760000000002</v>
      </c>
    </row>
    <row r="10" spans="1:59" ht="16" thickBot="1" x14ac:dyDescent="0.25">
      <c r="B10" t="s">
        <v>39</v>
      </c>
      <c r="C10">
        <v>0</v>
      </c>
      <c r="D10">
        <f t="shared" si="6"/>
        <v>0</v>
      </c>
      <c r="E10" s="7">
        <v>2425507</v>
      </c>
      <c r="F10" s="6">
        <f t="shared" si="7"/>
        <v>24204.192565167996</v>
      </c>
      <c r="G10">
        <f t="shared" si="25"/>
        <v>24026.33944678666</v>
      </c>
      <c r="H10" s="12">
        <f>10300*0.404686*1000</f>
        <v>4168265.8000000003</v>
      </c>
      <c r="I10" s="12">
        <v>3000</v>
      </c>
      <c r="J10" s="12">
        <v>7056</v>
      </c>
      <c r="K10" s="18">
        <f t="shared" si="0"/>
        <v>2.5000000000000001E-2</v>
      </c>
      <c r="L10" s="18">
        <f t="shared" si="8"/>
        <v>0.4</v>
      </c>
      <c r="M10" s="18">
        <v>1</v>
      </c>
      <c r="N10">
        <f t="shared" ref="N10:N11" si="26">7.98*H10</f>
        <v>33262761.084000003</v>
      </c>
      <c r="O10">
        <f t="shared" si="9"/>
        <v>13305104.433600001</v>
      </c>
      <c r="P10">
        <f t="shared" si="2"/>
        <v>783670651.13903999</v>
      </c>
      <c r="Q10" s="12">
        <f>5200*0.404686*1000</f>
        <v>2104367.2000000002</v>
      </c>
      <c r="R10" s="12">
        <v>3360</v>
      </c>
      <c r="S10" s="12">
        <v>6816</v>
      </c>
      <c r="T10" s="18">
        <f t="shared" si="3"/>
        <v>2.5000000000000001E-2</v>
      </c>
      <c r="U10" s="18">
        <f t="shared" si="10"/>
        <v>0.17998560115190784</v>
      </c>
      <c r="V10" s="12">
        <f t="shared" ref="V10:V11" si="27">(1/36.74)*52.1*0.404686*Q10</f>
        <v>1207642.1861412171</v>
      </c>
      <c r="W10" s="12">
        <f t="shared" ref="W10:W11" si="28">V10*U10</f>
        <v>217358.20484903114</v>
      </c>
      <c r="X10" s="12">
        <f t="shared" si="13"/>
        <v>0.6875</v>
      </c>
      <c r="Y10">
        <f t="shared" ref="Y10:Y11" si="29">X10*W10*(37.8/3.6)</f>
        <v>1569054.5412539435</v>
      </c>
      <c r="Z10" s="12">
        <v>498179</v>
      </c>
      <c r="AA10" s="12">
        <v>2976</v>
      </c>
      <c r="AB10" s="12">
        <v>5304</v>
      </c>
      <c r="AC10" s="18">
        <f t="shared" si="4"/>
        <v>2.5000000000000001E-2</v>
      </c>
      <c r="AD10" s="18">
        <f t="shared" si="15"/>
        <v>0.30400000000000005</v>
      </c>
      <c r="AE10" s="12">
        <f t="shared" ref="AE10:AE11" si="30">10*Z10</f>
        <v>4981790</v>
      </c>
      <c r="AF10" s="12">
        <f t="shared" ref="AF10:AF11" si="31">AE10*AD10</f>
        <v>1514464.1600000001</v>
      </c>
      <c r="AG10" s="12">
        <f t="shared" si="18"/>
        <v>0.34</v>
      </c>
      <c r="AH10" s="12">
        <f t="shared" ref="AH10:AH11" si="32">AG10*AF10*(39.7/3.6)</f>
        <v>5678399.2310222238</v>
      </c>
      <c r="AI10" s="12">
        <v>2363</v>
      </c>
      <c r="AJ10" s="12">
        <v>2976</v>
      </c>
      <c r="AK10" s="12">
        <f t="shared" si="20"/>
        <v>5304</v>
      </c>
      <c r="AL10" s="18">
        <f t="shared" si="5"/>
        <v>2.5000000000000001E-2</v>
      </c>
      <c r="AM10" s="18">
        <f t="shared" si="21"/>
        <v>0.4</v>
      </c>
      <c r="AN10" s="12">
        <f t="shared" ref="AN10:AN11" si="33">15*AI10</f>
        <v>35445</v>
      </c>
      <c r="AO10" s="12">
        <f t="shared" ref="AO10:AO11" si="34">AN10*AM10</f>
        <v>14178</v>
      </c>
      <c r="AP10" s="12">
        <v>0.34</v>
      </c>
      <c r="AQ10" s="12">
        <f t="shared" si="24"/>
        <v>53159.623333333344</v>
      </c>
    </row>
    <row r="11" spans="1:59" s="16" customFormat="1" x14ac:dyDescent="0.2">
      <c r="A11" s="16" t="s">
        <v>81</v>
      </c>
      <c r="B11" s="12"/>
      <c r="C11" s="12">
        <f>SUM(C3:C10)</f>
        <v>2100000</v>
      </c>
      <c r="D11" s="19">
        <f t="shared" si="6"/>
        <v>2998800</v>
      </c>
      <c r="E11" s="8">
        <f>SUM(E3:E10)</f>
        <v>23341606</v>
      </c>
      <c r="F11" s="20">
        <f>SUM(F3:F10)</f>
        <v>232926.44647254396</v>
      </c>
      <c r="G11" s="21">
        <f t="shared" si="25"/>
        <v>231214.89609766216</v>
      </c>
      <c r="H11" s="22">
        <f>SUM(H3:H10)</f>
        <v>8098576.2320000008</v>
      </c>
      <c r="I11" s="22">
        <f>AVERAGE(I3:I10)</f>
        <v>3150</v>
      </c>
      <c r="J11" s="22">
        <f>AVERAGE(J3:J10)</f>
        <v>7278</v>
      </c>
      <c r="K11" s="23">
        <f>AVERAGE(K3:K10)</f>
        <v>2.4999999999999998E-2</v>
      </c>
      <c r="L11" s="23">
        <f>AVERAGE(L3:L10)</f>
        <v>0.39999999999999997</v>
      </c>
      <c r="M11" s="23">
        <f>AVERAGE(M3:M10)</f>
        <v>1</v>
      </c>
      <c r="N11">
        <f t="shared" si="26"/>
        <v>64626638.331360012</v>
      </c>
      <c r="O11">
        <f t="shared" si="9"/>
        <v>25850655.332544003</v>
      </c>
      <c r="P11">
        <f t="shared" si="2"/>
        <v>1522603599.0868418</v>
      </c>
      <c r="Q11" s="14">
        <f>SUM(Q3:Q10)</f>
        <v>6657084.7000000002</v>
      </c>
      <c r="R11" s="14">
        <f>AVERAGE(R3:R10)</f>
        <v>1284</v>
      </c>
      <c r="S11" s="14">
        <f>AVERAGE(S3:S10)</f>
        <v>2538</v>
      </c>
      <c r="T11" s="15">
        <f>AVERAGE(T3:T10)</f>
        <v>2.4999999999999998E-2</v>
      </c>
      <c r="U11" s="15">
        <f>AVERAGE(U3:U10)</f>
        <v>0.17998560115190784</v>
      </c>
      <c r="V11" s="12">
        <f t="shared" si="27"/>
        <v>3820329.6080813501</v>
      </c>
      <c r="W11" s="12">
        <f t="shared" si="28"/>
        <v>687604.32110895426</v>
      </c>
      <c r="X11" s="14">
        <f>AVERAGE(X3:X10)</f>
        <v>0.6875</v>
      </c>
      <c r="Y11" s="12">
        <f t="shared" si="29"/>
        <v>4963643.6930052629</v>
      </c>
      <c r="Z11" s="24">
        <f>SUM(Z3:Z10)</f>
        <v>2067438</v>
      </c>
      <c r="AA11" s="24">
        <f>AVERAGE(AA3:AA10)</f>
        <v>2976</v>
      </c>
      <c r="AB11" s="24">
        <f>AVERAGE(AB3:AB10)</f>
        <v>5304</v>
      </c>
      <c r="AC11" s="25">
        <f>AVERAGE(AC3:AC10)</f>
        <v>2.4999999999999998E-2</v>
      </c>
      <c r="AD11" s="25">
        <f>AVERAGE(AD3:AD10)</f>
        <v>0.30400000000000005</v>
      </c>
      <c r="AE11" s="12">
        <f t="shared" si="30"/>
        <v>20674380</v>
      </c>
      <c r="AF11" s="12">
        <f t="shared" si="31"/>
        <v>6285011.5200000014</v>
      </c>
      <c r="AG11" s="24">
        <f>AVERAGE(AG3:AG10)</f>
        <v>0.33999999999999997</v>
      </c>
      <c r="AH11" s="12">
        <f t="shared" si="32"/>
        <v>23565301.526933338</v>
      </c>
      <c r="AI11" s="26">
        <f>SUM(AI3:AI10)</f>
        <v>4224</v>
      </c>
      <c r="AJ11" s="26">
        <f>AVERAGE(AJ3:AJ10)</f>
        <v>2976</v>
      </c>
      <c r="AK11" s="26">
        <f>AVERAGE(AK3:AK10)</f>
        <v>5304</v>
      </c>
      <c r="AL11" s="27">
        <f>AVERAGE(AL3:AL10)</f>
        <v>2.4999999999999998E-2</v>
      </c>
      <c r="AM11" s="27">
        <f>AVERAGE(AM3:AM10)</f>
        <v>0.39999999999999997</v>
      </c>
      <c r="AN11" s="12">
        <f t="shared" si="33"/>
        <v>63360</v>
      </c>
      <c r="AO11" s="12">
        <f t="shared" si="34"/>
        <v>25343.999999999996</v>
      </c>
      <c r="AP11" s="26">
        <f>AVERAGE(AP3:AP10)</f>
        <v>0.33999999999999997</v>
      </c>
      <c r="AQ11" s="12">
        <f t="shared" si="24"/>
        <v>95025.919999999984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x14ac:dyDescent="0.2">
      <c r="A12">
        <v>2</v>
      </c>
      <c r="B12" t="s">
        <v>13</v>
      </c>
      <c r="C12">
        <v>1400000</v>
      </c>
      <c r="D12">
        <f t="shared" si="6"/>
        <v>1999200.0000000002</v>
      </c>
      <c r="E12" s="8">
        <v>7018959</v>
      </c>
      <c r="F12" s="6">
        <f t="shared" si="7"/>
        <v>70042.360316015984</v>
      </c>
      <c r="G12">
        <f t="shared" si="25"/>
        <v>69527.686993720577</v>
      </c>
      <c r="H12" s="12">
        <f>8700*0.404686*1000</f>
        <v>3520768.2</v>
      </c>
      <c r="I12" s="12">
        <v>3048</v>
      </c>
      <c r="J12" s="12">
        <v>7080</v>
      </c>
      <c r="K12" s="18">
        <f t="shared" ref="K12:K31" si="35">$BD$12</f>
        <v>2.5000000000000001E-2</v>
      </c>
      <c r="L12" s="18">
        <f t="shared" si="8"/>
        <v>0.4</v>
      </c>
      <c r="M12" s="18">
        <v>1</v>
      </c>
      <c r="N12">
        <f t="shared" ref="N12:N30" si="36">7.98*H12</f>
        <v>28095730.236000001</v>
      </c>
      <c r="O12">
        <f t="shared" si="9"/>
        <v>11238292.094400002</v>
      </c>
      <c r="P12">
        <f t="shared" si="2"/>
        <v>661935404.36016011</v>
      </c>
      <c r="Q12" s="12">
        <f>7550*0.404686*1000</f>
        <v>3055379.3000000003</v>
      </c>
      <c r="R12" s="12">
        <v>3336</v>
      </c>
      <c r="S12" s="12">
        <v>6744</v>
      </c>
      <c r="T12" s="18">
        <f t="shared" ref="T12:T31" si="37">$BD$12</f>
        <v>2.5000000000000001E-2</v>
      </c>
      <c r="U12" s="18">
        <f t="shared" si="10"/>
        <v>0.17998560115190784</v>
      </c>
      <c r="V12" s="12">
        <f t="shared" si="11"/>
        <v>1753403.5587242672</v>
      </c>
      <c r="W12" s="12">
        <f t="shared" si="12"/>
        <v>315587.39357888175</v>
      </c>
      <c r="X12" s="12">
        <f t="shared" si="13"/>
        <v>0.6875</v>
      </c>
      <c r="Y12">
        <f t="shared" si="14"/>
        <v>2278146.4973975522</v>
      </c>
      <c r="Z12" s="12">
        <v>465627</v>
      </c>
      <c r="AA12" s="12">
        <v>2976</v>
      </c>
      <c r="AB12" s="12">
        <v>5304</v>
      </c>
      <c r="AC12" s="18">
        <f t="shared" ref="AC12:AC31" si="38">$BD$12</f>
        <v>2.5000000000000001E-2</v>
      </c>
      <c r="AD12" s="18">
        <f t="shared" si="15"/>
        <v>0.30400000000000005</v>
      </c>
      <c r="AE12" s="12">
        <f t="shared" si="16"/>
        <v>4656270</v>
      </c>
      <c r="AF12" s="12">
        <f t="shared" si="17"/>
        <v>1415506.0800000003</v>
      </c>
      <c r="AG12" s="12">
        <f t="shared" si="18"/>
        <v>0.34</v>
      </c>
      <c r="AH12" s="12">
        <f t="shared" si="19"/>
        <v>5307361.4077333352</v>
      </c>
      <c r="AI12" s="12">
        <v>26524</v>
      </c>
      <c r="AJ12" s="12">
        <v>2976</v>
      </c>
      <c r="AK12" s="12">
        <f t="shared" si="20"/>
        <v>5304</v>
      </c>
      <c r="AL12" s="18">
        <f t="shared" ref="AL12:AL31" si="39">$BD$12</f>
        <v>2.5000000000000001E-2</v>
      </c>
      <c r="AM12" s="18">
        <f t="shared" si="21"/>
        <v>0.4</v>
      </c>
      <c r="AN12" s="12">
        <f t="shared" si="22"/>
        <v>397860</v>
      </c>
      <c r="AO12" s="12">
        <f t="shared" si="23"/>
        <v>159144</v>
      </c>
      <c r="AP12" s="12">
        <v>0.34</v>
      </c>
      <c r="AQ12" s="12">
        <f t="shared" si="24"/>
        <v>596701.58666666679</v>
      </c>
      <c r="BC12" t="s">
        <v>60</v>
      </c>
      <c r="BD12" s="2">
        <v>2.5000000000000001E-2</v>
      </c>
    </row>
    <row r="13" spans="1:59" x14ac:dyDescent="0.2">
      <c r="B13" t="s">
        <v>14</v>
      </c>
      <c r="C13">
        <v>0</v>
      </c>
      <c r="D13">
        <f t="shared" si="6"/>
        <v>0</v>
      </c>
      <c r="E13" s="8">
        <v>3975082</v>
      </c>
      <c r="F13" s="6">
        <f t="shared" si="7"/>
        <v>39667.438679968</v>
      </c>
      <c r="G13">
        <f t="shared" si="25"/>
        <v>39375.961174637559</v>
      </c>
      <c r="H13" s="12">
        <f>14600*0.404686*1000</f>
        <v>5908415.6000000006</v>
      </c>
      <c r="I13" s="12">
        <v>3024</v>
      </c>
      <c r="J13" s="12">
        <v>7056</v>
      </c>
      <c r="K13" s="18">
        <f t="shared" si="35"/>
        <v>2.5000000000000001E-2</v>
      </c>
      <c r="L13" s="18">
        <f t="shared" si="8"/>
        <v>0.4</v>
      </c>
      <c r="M13" s="18">
        <v>1</v>
      </c>
      <c r="N13">
        <f t="shared" si="36"/>
        <v>47149156.488000005</v>
      </c>
      <c r="O13">
        <f t="shared" si="9"/>
        <v>18859662.595200002</v>
      </c>
      <c r="P13">
        <f t="shared" si="2"/>
        <v>1110834126.85728</v>
      </c>
      <c r="Q13" s="12">
        <f>9500*0.404686*1000</f>
        <v>3844517</v>
      </c>
      <c r="R13" s="12">
        <v>3336</v>
      </c>
      <c r="S13" s="12">
        <v>6744</v>
      </c>
      <c r="T13" s="18">
        <f t="shared" si="37"/>
        <v>2.5000000000000001E-2</v>
      </c>
      <c r="U13" s="18">
        <f t="shared" si="10"/>
        <v>0.17998560115190784</v>
      </c>
      <c r="V13" s="12">
        <f t="shared" si="11"/>
        <v>2206269.3785272236</v>
      </c>
      <c r="W13" s="12">
        <f t="shared" si="12"/>
        <v>397096.72039726848</v>
      </c>
      <c r="X13" s="12">
        <f t="shared" si="13"/>
        <v>0.6875</v>
      </c>
      <c r="Y13">
        <f t="shared" si="14"/>
        <v>2866541.9503677813</v>
      </c>
      <c r="Z13" s="12">
        <v>604968</v>
      </c>
      <c r="AA13" s="12">
        <v>2976</v>
      </c>
      <c r="AB13" s="12">
        <v>5304</v>
      </c>
      <c r="AC13" s="18">
        <f t="shared" si="38"/>
        <v>2.5000000000000001E-2</v>
      </c>
      <c r="AD13" s="18">
        <f t="shared" si="15"/>
        <v>0.30400000000000005</v>
      </c>
      <c r="AE13" s="12">
        <f t="shared" si="16"/>
        <v>6049680</v>
      </c>
      <c r="AF13" s="12">
        <f t="shared" si="17"/>
        <v>1839102.7200000002</v>
      </c>
      <c r="AG13" s="12">
        <f t="shared" si="18"/>
        <v>0.34</v>
      </c>
      <c r="AH13" s="12">
        <f t="shared" si="19"/>
        <v>6895613.4762666691</v>
      </c>
      <c r="AI13" s="12">
        <v>11901</v>
      </c>
      <c r="AJ13" s="12">
        <v>2976</v>
      </c>
      <c r="AK13" s="12">
        <f t="shared" si="20"/>
        <v>5304</v>
      </c>
      <c r="AL13" s="18">
        <f t="shared" si="39"/>
        <v>2.5000000000000001E-2</v>
      </c>
      <c r="AM13" s="18">
        <f t="shared" si="21"/>
        <v>0.4</v>
      </c>
      <c r="AN13" s="12">
        <f t="shared" si="22"/>
        <v>178515</v>
      </c>
      <c r="AO13" s="12">
        <f t="shared" si="23"/>
        <v>71406</v>
      </c>
      <c r="AP13" s="12">
        <v>0.34</v>
      </c>
      <c r="AQ13" s="12">
        <f t="shared" si="24"/>
        <v>267732.83</v>
      </c>
      <c r="BC13" t="s">
        <v>61</v>
      </c>
      <c r="BD13" s="3">
        <v>0.01</v>
      </c>
    </row>
    <row r="14" spans="1:59" x14ac:dyDescent="0.2">
      <c r="B14" t="s">
        <v>15</v>
      </c>
      <c r="C14">
        <v>1600000</v>
      </c>
      <c r="D14">
        <f t="shared" si="6"/>
        <v>2284800</v>
      </c>
      <c r="E14" s="8">
        <v>7312041</v>
      </c>
      <c r="F14" s="6">
        <f t="shared" si="7"/>
        <v>72967.032627983994</v>
      </c>
      <c r="G14">
        <f t="shared" si="25"/>
        <v>72430.868727577938</v>
      </c>
      <c r="H14" s="12">
        <f>4200*0.404686*1000</f>
        <v>1699681.2</v>
      </c>
      <c r="I14" s="12">
        <v>3192</v>
      </c>
      <c r="J14" s="12">
        <v>7248</v>
      </c>
      <c r="K14" s="18">
        <f t="shared" si="35"/>
        <v>2.5000000000000001E-2</v>
      </c>
      <c r="L14" s="18">
        <f t="shared" si="8"/>
        <v>0.4</v>
      </c>
      <c r="M14" s="18">
        <v>1</v>
      </c>
      <c r="N14">
        <f t="shared" si="36"/>
        <v>13563455.976</v>
      </c>
      <c r="O14">
        <f t="shared" si="9"/>
        <v>5425382.3903999999</v>
      </c>
      <c r="P14">
        <f t="shared" si="2"/>
        <v>319555022.79456002</v>
      </c>
      <c r="Q14" s="12">
        <f>1960*0.404686*1000</f>
        <v>793184.56</v>
      </c>
      <c r="R14" s="12">
        <v>3528</v>
      </c>
      <c r="S14" s="12">
        <v>6912</v>
      </c>
      <c r="T14" s="18">
        <f t="shared" si="37"/>
        <v>2.5000000000000001E-2</v>
      </c>
      <c r="U14" s="18">
        <f t="shared" si="10"/>
        <v>0.17998560115190784</v>
      </c>
      <c r="V14" s="12">
        <f t="shared" si="11"/>
        <v>455188.2086224588</v>
      </c>
      <c r="W14" s="12">
        <f t="shared" si="12"/>
        <v>81927.323366173281</v>
      </c>
      <c r="X14" s="12">
        <f t="shared" si="13"/>
        <v>0.6875</v>
      </c>
      <c r="Y14">
        <f t="shared" si="14"/>
        <v>591412.8655495632</v>
      </c>
      <c r="Z14" s="12">
        <v>202503</v>
      </c>
      <c r="AA14" s="12">
        <v>2976</v>
      </c>
      <c r="AB14" s="12">
        <v>5304</v>
      </c>
      <c r="AC14" s="18">
        <f t="shared" si="38"/>
        <v>2.5000000000000001E-2</v>
      </c>
      <c r="AD14" s="18">
        <f t="shared" si="15"/>
        <v>0.30400000000000005</v>
      </c>
      <c r="AE14" s="12">
        <f t="shared" si="16"/>
        <v>2025030</v>
      </c>
      <c r="AF14" s="12">
        <f t="shared" si="17"/>
        <v>615609.12000000011</v>
      </c>
      <c r="AG14" s="12">
        <f t="shared" si="18"/>
        <v>0.34</v>
      </c>
      <c r="AH14" s="12">
        <f t="shared" si="19"/>
        <v>2308192.1949333339</v>
      </c>
      <c r="AI14" s="12">
        <v>42176</v>
      </c>
      <c r="AJ14" s="12">
        <v>2976</v>
      </c>
      <c r="AK14" s="12">
        <f t="shared" si="20"/>
        <v>5304</v>
      </c>
      <c r="AL14" s="18">
        <f t="shared" si="39"/>
        <v>2.5000000000000001E-2</v>
      </c>
      <c r="AM14" s="18">
        <f t="shared" si="21"/>
        <v>0.4</v>
      </c>
      <c r="AN14" s="12">
        <f t="shared" si="22"/>
        <v>632640</v>
      </c>
      <c r="AO14" s="12">
        <f t="shared" si="23"/>
        <v>253056</v>
      </c>
      <c r="AP14" s="12">
        <v>0.34</v>
      </c>
      <c r="AQ14" s="12">
        <f t="shared" si="24"/>
        <v>948819.41333333345</v>
      </c>
    </row>
    <row r="15" spans="1:59" x14ac:dyDescent="0.2">
      <c r="B15" t="s">
        <v>16</v>
      </c>
      <c r="C15">
        <v>0</v>
      </c>
      <c r="D15">
        <f t="shared" si="6"/>
        <v>0</v>
      </c>
      <c r="E15" s="8">
        <v>16120686</v>
      </c>
      <c r="F15" s="6">
        <f t="shared" si="7"/>
        <v>160868.71249046398</v>
      </c>
      <c r="G15">
        <f t="shared" si="25"/>
        <v>159686.64446281188</v>
      </c>
      <c r="H15" s="12">
        <f>12500*0.404686*1000</f>
        <v>5058575</v>
      </c>
      <c r="I15" s="12">
        <v>3024</v>
      </c>
      <c r="J15" s="12">
        <v>6864</v>
      </c>
      <c r="K15" s="18">
        <f t="shared" si="35"/>
        <v>2.5000000000000001E-2</v>
      </c>
      <c r="L15" s="18">
        <f t="shared" si="8"/>
        <v>0.4</v>
      </c>
      <c r="M15" s="18">
        <v>1</v>
      </c>
      <c r="N15">
        <f t="shared" si="36"/>
        <v>40367428.5</v>
      </c>
      <c r="O15">
        <f t="shared" si="9"/>
        <v>16146971.4</v>
      </c>
      <c r="P15">
        <f t="shared" si="2"/>
        <v>951056615.46000004</v>
      </c>
      <c r="Q15" s="12">
        <f>10100*0.404686*1000</f>
        <v>4087328.5999999996</v>
      </c>
      <c r="R15" s="12">
        <v>3456</v>
      </c>
      <c r="S15" s="12">
        <v>6792</v>
      </c>
      <c r="T15" s="18">
        <f t="shared" si="37"/>
        <v>2.5000000000000001E-2</v>
      </c>
      <c r="U15" s="18">
        <f t="shared" si="10"/>
        <v>0.17998560115190784</v>
      </c>
      <c r="V15" s="12">
        <f t="shared" si="11"/>
        <v>2345612.7076973636</v>
      </c>
      <c r="W15" s="12">
        <f t="shared" si="12"/>
        <v>422176.51326446427</v>
      </c>
      <c r="X15" s="12">
        <f t="shared" si="13"/>
        <v>0.6875</v>
      </c>
      <c r="Y15">
        <f t="shared" si="14"/>
        <v>3047586.7051278511</v>
      </c>
      <c r="Z15" s="12">
        <v>278800</v>
      </c>
      <c r="AA15" s="12">
        <v>2976</v>
      </c>
      <c r="AB15" s="12">
        <v>5304</v>
      </c>
      <c r="AC15" s="18">
        <f t="shared" si="38"/>
        <v>2.5000000000000001E-2</v>
      </c>
      <c r="AD15" s="18">
        <f t="shared" si="15"/>
        <v>0.30400000000000005</v>
      </c>
      <c r="AE15" s="12">
        <f t="shared" si="16"/>
        <v>2788000</v>
      </c>
      <c r="AF15" s="12">
        <f t="shared" si="17"/>
        <v>847552.00000000012</v>
      </c>
      <c r="AG15" s="12">
        <f t="shared" si="18"/>
        <v>0.34</v>
      </c>
      <c r="AH15" s="12">
        <f t="shared" si="19"/>
        <v>3177849.1377777788</v>
      </c>
      <c r="AI15" s="12">
        <v>31670</v>
      </c>
      <c r="AJ15" s="12">
        <v>2976</v>
      </c>
      <c r="AK15" s="12">
        <f t="shared" si="20"/>
        <v>5304</v>
      </c>
      <c r="AL15" s="18">
        <f t="shared" si="39"/>
        <v>2.5000000000000001E-2</v>
      </c>
      <c r="AM15" s="18">
        <f t="shared" si="21"/>
        <v>0.4</v>
      </c>
      <c r="AN15" s="12">
        <f t="shared" si="22"/>
        <v>475050</v>
      </c>
      <c r="AO15" s="12">
        <f t="shared" si="23"/>
        <v>190020</v>
      </c>
      <c r="AP15" s="12">
        <v>0.34</v>
      </c>
      <c r="AQ15" s="12">
        <f t="shared" si="24"/>
        <v>712469.43333333347</v>
      </c>
      <c r="BC15" t="s">
        <v>79</v>
      </c>
      <c r="BD15" s="28">
        <f>5%</f>
        <v>0.05</v>
      </c>
    </row>
    <row r="16" spans="1:59" x14ac:dyDescent="0.2">
      <c r="B16" t="s">
        <v>17</v>
      </c>
      <c r="C16">
        <v>1600000</v>
      </c>
      <c r="D16">
        <f t="shared" si="6"/>
        <v>2284800</v>
      </c>
      <c r="E16" s="8">
        <v>12552590</v>
      </c>
      <c r="F16" s="6">
        <f t="shared" si="7"/>
        <v>125262.59687215999</v>
      </c>
      <c r="G16">
        <f t="shared" si="25"/>
        <v>124342.16362861033</v>
      </c>
      <c r="H16" s="12">
        <f>2600*0.404686*1000</f>
        <v>1052183.6000000001</v>
      </c>
      <c r="I16" s="12">
        <v>3192</v>
      </c>
      <c r="J16" s="12">
        <v>7200</v>
      </c>
      <c r="K16" s="18">
        <f t="shared" si="35"/>
        <v>2.5000000000000001E-2</v>
      </c>
      <c r="L16" s="18">
        <f t="shared" si="8"/>
        <v>0.4</v>
      </c>
      <c r="M16" s="18">
        <v>1</v>
      </c>
      <c r="N16">
        <f t="shared" si="36"/>
        <v>8396425.1280000005</v>
      </c>
      <c r="O16">
        <f t="shared" si="9"/>
        <v>3358570.0512000006</v>
      </c>
      <c r="P16">
        <f t="shared" si="2"/>
        <v>197819776.01568002</v>
      </c>
      <c r="Q16" s="12">
        <f>2070*0.404686*1000</f>
        <v>837700.02</v>
      </c>
      <c r="R16" s="12">
        <v>3480</v>
      </c>
      <c r="S16" s="12">
        <v>6960</v>
      </c>
      <c r="T16" s="18">
        <f t="shared" si="37"/>
        <v>2.5000000000000001E-2</v>
      </c>
      <c r="U16" s="18">
        <f t="shared" si="10"/>
        <v>0.17998560115190784</v>
      </c>
      <c r="V16" s="12">
        <f t="shared" si="11"/>
        <v>480734.48563698452</v>
      </c>
      <c r="W16" s="12">
        <f t="shared" si="12"/>
        <v>86525.285391825862</v>
      </c>
      <c r="X16" s="12">
        <f t="shared" si="13"/>
        <v>0.6875</v>
      </c>
      <c r="Y16">
        <f t="shared" si="14"/>
        <v>624604.40392224281</v>
      </c>
      <c r="Z16" s="12">
        <v>83721</v>
      </c>
      <c r="AA16" s="12">
        <v>2976</v>
      </c>
      <c r="AB16" s="12">
        <v>5304</v>
      </c>
      <c r="AC16" s="18">
        <f t="shared" si="38"/>
        <v>2.5000000000000001E-2</v>
      </c>
      <c r="AD16" s="18">
        <f t="shared" si="15"/>
        <v>0.30400000000000005</v>
      </c>
      <c r="AE16" s="12">
        <f t="shared" si="16"/>
        <v>837210</v>
      </c>
      <c r="AF16" s="12">
        <f t="shared" si="17"/>
        <v>254511.84000000003</v>
      </c>
      <c r="AG16" s="12">
        <f t="shared" si="18"/>
        <v>0.34</v>
      </c>
      <c r="AH16" s="12">
        <f t="shared" si="19"/>
        <v>954278.00453333347</v>
      </c>
      <c r="AI16" s="12">
        <v>7277</v>
      </c>
      <c r="AJ16" s="12">
        <v>2976</v>
      </c>
      <c r="AK16" s="12">
        <f t="shared" si="20"/>
        <v>5304</v>
      </c>
      <c r="AL16" s="18">
        <f t="shared" si="39"/>
        <v>2.5000000000000001E-2</v>
      </c>
      <c r="AM16" s="18">
        <f t="shared" si="21"/>
        <v>0.4</v>
      </c>
      <c r="AN16" s="12">
        <f t="shared" si="22"/>
        <v>109155</v>
      </c>
      <c r="AO16" s="12">
        <f t="shared" si="23"/>
        <v>43662</v>
      </c>
      <c r="AP16" s="12">
        <v>0.34</v>
      </c>
      <c r="AQ16" s="12">
        <f t="shared" si="24"/>
        <v>163708.24333333338</v>
      </c>
    </row>
    <row r="17" spans="1:61" x14ac:dyDescent="0.2">
      <c r="B17" t="s">
        <v>18</v>
      </c>
      <c r="C17">
        <v>0</v>
      </c>
      <c r="D17">
        <f t="shared" si="6"/>
        <v>0</v>
      </c>
      <c r="E17" s="8">
        <v>8403017</v>
      </c>
      <c r="F17" s="6">
        <f t="shared" si="7"/>
        <v>83853.908315408</v>
      </c>
      <c r="G17">
        <f t="shared" si="25"/>
        <v>83237.74733246243</v>
      </c>
      <c r="H17" s="12">
        <f>6100*0.404686*1000</f>
        <v>2468584.6</v>
      </c>
      <c r="I17" s="12">
        <v>3240</v>
      </c>
      <c r="J17" s="12">
        <v>7032</v>
      </c>
      <c r="K17" s="18">
        <f t="shared" si="35"/>
        <v>2.5000000000000001E-2</v>
      </c>
      <c r="L17" s="18">
        <f t="shared" si="8"/>
        <v>0.4</v>
      </c>
      <c r="M17" s="18">
        <v>1</v>
      </c>
      <c r="N17">
        <f t="shared" si="36"/>
        <v>19699305.108000003</v>
      </c>
      <c r="O17">
        <f t="shared" si="9"/>
        <v>7879722.0432000011</v>
      </c>
      <c r="P17">
        <f t="shared" si="2"/>
        <v>464115628.34448004</v>
      </c>
      <c r="Q17" s="12">
        <f>5650*0.404686*1000</f>
        <v>2286475.9</v>
      </c>
      <c r="R17" s="12">
        <v>3384</v>
      </c>
      <c r="S17" s="12">
        <v>6912</v>
      </c>
      <c r="T17" s="18">
        <f t="shared" si="37"/>
        <v>2.5000000000000001E-2</v>
      </c>
      <c r="U17" s="18">
        <f t="shared" si="10"/>
        <v>0.17998560115190784</v>
      </c>
      <c r="V17" s="12">
        <f t="shared" si="11"/>
        <v>1312149.6830188225</v>
      </c>
      <c r="W17" s="12">
        <f t="shared" si="12"/>
        <v>236168.04949942807</v>
      </c>
      <c r="X17" s="12">
        <f t="shared" si="13"/>
        <v>0.6875</v>
      </c>
      <c r="Y17">
        <f t="shared" si="14"/>
        <v>1704838.107323996</v>
      </c>
      <c r="Z17" s="12">
        <v>0</v>
      </c>
      <c r="AA17" s="12">
        <v>2976</v>
      </c>
      <c r="AB17" s="12">
        <v>5304</v>
      </c>
      <c r="AC17" s="18">
        <f t="shared" si="38"/>
        <v>2.5000000000000001E-2</v>
      </c>
      <c r="AD17" s="18">
        <f t="shared" si="15"/>
        <v>0.30400000000000005</v>
      </c>
      <c r="AE17" s="12">
        <f t="shared" si="16"/>
        <v>0</v>
      </c>
      <c r="AF17" s="12">
        <f t="shared" si="17"/>
        <v>0</v>
      </c>
      <c r="AG17" s="12">
        <f t="shared" si="18"/>
        <v>0.34</v>
      </c>
      <c r="AH17" s="12">
        <f t="shared" si="19"/>
        <v>0</v>
      </c>
      <c r="AI17" s="12">
        <v>0</v>
      </c>
      <c r="AJ17" s="12">
        <v>2976</v>
      </c>
      <c r="AK17" s="12">
        <f t="shared" si="20"/>
        <v>5304</v>
      </c>
      <c r="AL17" s="18">
        <f t="shared" si="39"/>
        <v>2.5000000000000001E-2</v>
      </c>
      <c r="AM17" s="18">
        <f t="shared" si="21"/>
        <v>0.4</v>
      </c>
      <c r="AN17" s="12">
        <f t="shared" si="22"/>
        <v>0</v>
      </c>
      <c r="AO17" s="12">
        <f t="shared" si="23"/>
        <v>0</v>
      </c>
      <c r="AP17" s="12">
        <v>0.34</v>
      </c>
      <c r="AQ17" s="12">
        <f t="shared" si="24"/>
        <v>0</v>
      </c>
    </row>
    <row r="18" spans="1:61" x14ac:dyDescent="0.2">
      <c r="B18" t="s">
        <v>19</v>
      </c>
      <c r="C18">
        <v>0</v>
      </c>
      <c r="D18">
        <f t="shared" si="6"/>
        <v>0</v>
      </c>
      <c r="E18" s="8">
        <v>14680418</v>
      </c>
      <c r="F18" s="6">
        <f t="shared" si="7"/>
        <v>146496.24355203199</v>
      </c>
      <c r="G18">
        <f t="shared" si="25"/>
        <v>145419.78484857679</v>
      </c>
      <c r="H18" s="12">
        <f>3800*0.404686*1000</f>
        <v>1537806.8</v>
      </c>
      <c r="I18" s="12">
        <v>3072</v>
      </c>
      <c r="J18" s="12">
        <v>7296</v>
      </c>
      <c r="K18" s="18">
        <f t="shared" si="35"/>
        <v>2.5000000000000001E-2</v>
      </c>
      <c r="L18" s="18">
        <f t="shared" si="8"/>
        <v>0.4</v>
      </c>
      <c r="M18" s="18">
        <v>1</v>
      </c>
      <c r="N18">
        <f t="shared" si="36"/>
        <v>12271698.264</v>
      </c>
      <c r="O18">
        <f t="shared" si="9"/>
        <v>4908679.3056000005</v>
      </c>
      <c r="P18">
        <f t="shared" si="2"/>
        <v>289121211.09984004</v>
      </c>
      <c r="Q18" s="12">
        <f>4850*0.404686*1000</f>
        <v>1962727.1</v>
      </c>
      <c r="R18" s="12">
        <v>3240</v>
      </c>
      <c r="S18" s="12">
        <v>6912</v>
      </c>
      <c r="T18" s="18">
        <f t="shared" si="37"/>
        <v>2.5000000000000001E-2</v>
      </c>
      <c r="U18" s="18">
        <f t="shared" si="10"/>
        <v>0.17998560115190784</v>
      </c>
      <c r="V18" s="12">
        <f t="shared" si="11"/>
        <v>1126358.5774586352</v>
      </c>
      <c r="W18" s="12">
        <f t="shared" si="12"/>
        <v>202728.32567650022</v>
      </c>
      <c r="X18" s="12">
        <f t="shared" si="13"/>
        <v>0.6875</v>
      </c>
      <c r="Y18">
        <f t="shared" si="14"/>
        <v>1463445.1009772357</v>
      </c>
      <c r="Z18" s="12">
        <v>99707</v>
      </c>
      <c r="AA18" s="12">
        <v>2976</v>
      </c>
      <c r="AB18" s="12">
        <v>5304</v>
      </c>
      <c r="AC18" s="18">
        <f t="shared" si="38"/>
        <v>2.5000000000000001E-2</v>
      </c>
      <c r="AD18" s="18">
        <f t="shared" si="15"/>
        <v>0.30400000000000005</v>
      </c>
      <c r="AE18" s="12">
        <f t="shared" si="16"/>
        <v>997070</v>
      </c>
      <c r="AF18" s="12">
        <f t="shared" si="17"/>
        <v>303109.28000000003</v>
      </c>
      <c r="AG18" s="12">
        <f t="shared" si="18"/>
        <v>0.34</v>
      </c>
      <c r="AH18" s="12">
        <f t="shared" si="19"/>
        <v>1136491.4059555558</v>
      </c>
      <c r="AI18" s="12">
        <v>6728</v>
      </c>
      <c r="AJ18" s="12">
        <v>2976</v>
      </c>
      <c r="AK18" s="12">
        <f t="shared" si="20"/>
        <v>5304</v>
      </c>
      <c r="AL18" s="18">
        <f t="shared" si="39"/>
        <v>2.5000000000000001E-2</v>
      </c>
      <c r="AM18" s="18">
        <f t="shared" si="21"/>
        <v>0.4</v>
      </c>
      <c r="AN18" s="12">
        <f t="shared" si="22"/>
        <v>100920</v>
      </c>
      <c r="AO18" s="12">
        <f t="shared" si="23"/>
        <v>40368</v>
      </c>
      <c r="AP18" s="12">
        <v>0.34</v>
      </c>
      <c r="AQ18" s="12">
        <f t="shared" si="24"/>
        <v>151357.57333333336</v>
      </c>
    </row>
    <row r="19" spans="1:61" x14ac:dyDescent="0.2">
      <c r="B19" t="s">
        <v>21</v>
      </c>
      <c r="C19">
        <v>800000</v>
      </c>
      <c r="D19">
        <f t="shared" si="6"/>
        <v>1142400</v>
      </c>
      <c r="E19" s="8">
        <v>24935467</v>
      </c>
      <c r="F19" s="6">
        <f t="shared" si="7"/>
        <v>248831.62364420798</v>
      </c>
      <c r="G19">
        <f t="shared" si="25"/>
        <v>247003.20155998194</v>
      </c>
      <c r="H19" s="12">
        <f>1170*0.404686*1000</f>
        <v>473482.62</v>
      </c>
      <c r="I19" s="12">
        <v>3432</v>
      </c>
      <c r="J19" s="12">
        <v>7224</v>
      </c>
      <c r="K19" s="18">
        <f t="shared" si="35"/>
        <v>2.5000000000000001E-2</v>
      </c>
      <c r="L19" s="18">
        <f t="shared" si="8"/>
        <v>0.4</v>
      </c>
      <c r="M19" s="18">
        <v>1</v>
      </c>
      <c r="N19">
        <f t="shared" si="36"/>
        <v>3778391.3075999999</v>
      </c>
      <c r="O19">
        <f t="shared" si="9"/>
        <v>1511356.5230400001</v>
      </c>
      <c r="P19">
        <f t="shared" si="2"/>
        <v>89018899.207056001</v>
      </c>
      <c r="Q19" s="12">
        <f>330*0.404686*1000</f>
        <v>133546.38</v>
      </c>
      <c r="R19" s="12">
        <v>3720</v>
      </c>
      <c r="S19" s="12">
        <v>7128</v>
      </c>
      <c r="T19" s="18">
        <f t="shared" si="37"/>
        <v>2.5000000000000001E-2</v>
      </c>
      <c r="U19" s="18">
        <f t="shared" si="10"/>
        <v>0.17998560115190784</v>
      </c>
      <c r="V19" s="12">
        <f t="shared" si="11"/>
        <v>76638.831043577244</v>
      </c>
      <c r="W19" s="12">
        <f t="shared" si="12"/>
        <v>13793.886076957748</v>
      </c>
      <c r="X19" s="12">
        <f t="shared" si="13"/>
        <v>0.6875</v>
      </c>
      <c r="Y19">
        <f t="shared" si="14"/>
        <v>99574.615118038724</v>
      </c>
      <c r="Z19" s="12">
        <v>22772</v>
      </c>
      <c r="AA19" s="12">
        <v>2976</v>
      </c>
      <c r="AB19" s="12">
        <v>5304</v>
      </c>
      <c r="AC19" s="18">
        <f t="shared" si="38"/>
        <v>2.5000000000000001E-2</v>
      </c>
      <c r="AD19" s="18">
        <f t="shared" si="15"/>
        <v>0.30400000000000005</v>
      </c>
      <c r="AE19" s="12">
        <f t="shared" si="16"/>
        <v>227720</v>
      </c>
      <c r="AF19" s="12">
        <f t="shared" si="17"/>
        <v>69226.880000000005</v>
      </c>
      <c r="AG19" s="12">
        <f t="shared" si="18"/>
        <v>0.34</v>
      </c>
      <c r="AH19" s="12">
        <f t="shared" si="19"/>
        <v>259562.34062222228</v>
      </c>
      <c r="AI19" s="12">
        <v>1228</v>
      </c>
      <c r="AJ19" s="12">
        <v>2976</v>
      </c>
      <c r="AK19" s="12">
        <f t="shared" si="20"/>
        <v>5304</v>
      </c>
      <c r="AL19" s="18">
        <f t="shared" si="39"/>
        <v>2.5000000000000001E-2</v>
      </c>
      <c r="AM19" s="18">
        <f t="shared" si="21"/>
        <v>0.4</v>
      </c>
      <c r="AN19" s="12">
        <f t="shared" si="22"/>
        <v>18420</v>
      </c>
      <c r="AO19" s="12">
        <f t="shared" si="23"/>
        <v>7368</v>
      </c>
      <c r="AP19" s="12">
        <v>0.34</v>
      </c>
      <c r="AQ19" s="12">
        <f t="shared" si="24"/>
        <v>27625.906666666673</v>
      </c>
    </row>
    <row r="20" spans="1:61" x14ac:dyDescent="0.2">
      <c r="B20" t="s">
        <v>22</v>
      </c>
      <c r="C20">
        <v>1500000</v>
      </c>
      <c r="D20">
        <f t="shared" si="6"/>
        <v>2142000</v>
      </c>
      <c r="E20" s="8">
        <v>16136497</v>
      </c>
      <c r="F20" s="6">
        <f t="shared" si="7"/>
        <v>161026.49083892797</v>
      </c>
      <c r="G20">
        <f t="shared" si="25"/>
        <v>159843.26345133391</v>
      </c>
      <c r="H20" s="12">
        <f>1440*0.404686*1000</f>
        <v>582747.84</v>
      </c>
      <c r="I20" s="12">
        <v>3264</v>
      </c>
      <c r="J20" s="12">
        <v>7320</v>
      </c>
      <c r="K20" s="18">
        <f t="shared" si="35"/>
        <v>2.5000000000000001E-2</v>
      </c>
      <c r="L20" s="18">
        <f t="shared" si="8"/>
        <v>0.4</v>
      </c>
      <c r="M20" s="18">
        <v>1</v>
      </c>
      <c r="N20">
        <f t="shared" si="36"/>
        <v>4650327.7631999999</v>
      </c>
      <c r="O20">
        <f t="shared" si="9"/>
        <v>1860131.10528</v>
      </c>
      <c r="P20">
        <f t="shared" si="2"/>
        <v>109561722.10099199</v>
      </c>
      <c r="Q20" s="12">
        <f>580*0.404686*1000</f>
        <v>234717.88</v>
      </c>
      <c r="R20" s="12">
        <v>3624</v>
      </c>
      <c r="S20" s="12">
        <v>7296</v>
      </c>
      <c r="T20" s="18">
        <f t="shared" si="37"/>
        <v>2.5000000000000001E-2</v>
      </c>
      <c r="U20" s="18">
        <f t="shared" si="10"/>
        <v>0.17998560115190784</v>
      </c>
      <c r="V20" s="12">
        <f t="shared" si="11"/>
        <v>134698.55153113574</v>
      </c>
      <c r="W20" s="12">
        <f t="shared" si="12"/>
        <v>24243.799771622704</v>
      </c>
      <c r="X20" s="12">
        <f t="shared" si="13"/>
        <v>0.6875</v>
      </c>
      <c r="Y20">
        <f t="shared" si="14"/>
        <v>175009.92960140135</v>
      </c>
      <c r="Z20" s="12">
        <v>91020</v>
      </c>
      <c r="AA20" s="12">
        <v>2976</v>
      </c>
      <c r="AB20" s="12">
        <v>5304</v>
      </c>
      <c r="AC20" s="18">
        <f t="shared" si="38"/>
        <v>2.5000000000000001E-2</v>
      </c>
      <c r="AD20" s="18">
        <f t="shared" si="15"/>
        <v>0.30400000000000005</v>
      </c>
      <c r="AE20" s="12">
        <f t="shared" si="16"/>
        <v>910200</v>
      </c>
      <c r="AF20" s="12">
        <f t="shared" si="17"/>
        <v>276700.80000000005</v>
      </c>
      <c r="AG20" s="12">
        <f t="shared" si="18"/>
        <v>0.34</v>
      </c>
      <c r="AH20" s="12">
        <f t="shared" si="19"/>
        <v>1037474.2773333337</v>
      </c>
      <c r="AI20" s="12">
        <v>934</v>
      </c>
      <c r="AJ20" s="12">
        <v>2976</v>
      </c>
      <c r="AK20" s="12">
        <f t="shared" si="20"/>
        <v>5304</v>
      </c>
      <c r="AL20" s="18">
        <f t="shared" si="39"/>
        <v>2.5000000000000001E-2</v>
      </c>
      <c r="AM20" s="18">
        <f t="shared" si="21"/>
        <v>0.4</v>
      </c>
      <c r="AN20" s="12">
        <f t="shared" si="22"/>
        <v>14010</v>
      </c>
      <c r="AO20" s="12">
        <f t="shared" si="23"/>
        <v>5604</v>
      </c>
      <c r="AP20" s="12">
        <v>0.34</v>
      </c>
      <c r="AQ20" s="12">
        <f t="shared" si="24"/>
        <v>21011.886666666669</v>
      </c>
    </row>
    <row r="21" spans="1:61" x14ac:dyDescent="0.2">
      <c r="B21" t="s">
        <v>23</v>
      </c>
      <c r="C21">
        <v>1200000</v>
      </c>
      <c r="D21">
        <f t="shared" si="6"/>
        <v>1713600.0000000002</v>
      </c>
      <c r="E21" s="8">
        <v>2300073</v>
      </c>
      <c r="F21" s="6">
        <f t="shared" si="7"/>
        <v>22952.483668751996</v>
      </c>
      <c r="G21">
        <f t="shared" si="25"/>
        <v>22783.828144131898</v>
      </c>
      <c r="H21" s="12">
        <f>49*0.404686*1000</f>
        <v>19829.613999999998</v>
      </c>
      <c r="I21" s="12">
        <v>3288</v>
      </c>
      <c r="J21" s="12">
        <v>7128</v>
      </c>
      <c r="K21" s="18">
        <f t="shared" si="35"/>
        <v>2.5000000000000001E-2</v>
      </c>
      <c r="L21" s="18">
        <f t="shared" si="8"/>
        <v>0.4</v>
      </c>
      <c r="M21" s="18">
        <v>1</v>
      </c>
      <c r="N21">
        <f t="shared" si="36"/>
        <v>158240.31972</v>
      </c>
      <c r="O21">
        <f t="shared" si="9"/>
        <v>63296.127888000003</v>
      </c>
      <c r="P21">
        <f t="shared" si="2"/>
        <v>3728141.9326032</v>
      </c>
      <c r="Q21" s="12">
        <f>27*0.404686*1000</f>
        <v>10926.522000000001</v>
      </c>
      <c r="R21" s="12">
        <v>3720</v>
      </c>
      <c r="S21" s="12">
        <v>7320</v>
      </c>
      <c r="T21" s="18">
        <f t="shared" si="37"/>
        <v>2.5000000000000001E-2</v>
      </c>
      <c r="U21" s="18">
        <f t="shared" si="10"/>
        <v>0.17998560115190784</v>
      </c>
      <c r="V21" s="12">
        <f t="shared" si="11"/>
        <v>6270.4498126563203</v>
      </c>
      <c r="W21" s="12">
        <f t="shared" si="12"/>
        <v>1128.5906790238157</v>
      </c>
      <c r="X21" s="12">
        <f t="shared" si="13"/>
        <v>0.6875</v>
      </c>
      <c r="Y21">
        <f t="shared" si="14"/>
        <v>8147.0139642031681</v>
      </c>
      <c r="Z21" s="12">
        <v>314</v>
      </c>
      <c r="AA21" s="12">
        <v>2976</v>
      </c>
      <c r="AB21" s="12">
        <v>5304</v>
      </c>
      <c r="AC21" s="18">
        <f t="shared" si="38"/>
        <v>2.5000000000000001E-2</v>
      </c>
      <c r="AD21" s="18">
        <f t="shared" si="15"/>
        <v>0.30400000000000005</v>
      </c>
      <c r="AE21" s="12">
        <f t="shared" si="16"/>
        <v>3140</v>
      </c>
      <c r="AF21" s="12">
        <f t="shared" si="17"/>
        <v>954.56000000000017</v>
      </c>
      <c r="AG21" s="12">
        <f t="shared" si="18"/>
        <v>0.34</v>
      </c>
      <c r="AH21" s="12">
        <f t="shared" si="19"/>
        <v>3579.0696888888901</v>
      </c>
      <c r="AI21" s="12">
        <v>62</v>
      </c>
      <c r="AJ21" s="12">
        <v>2976</v>
      </c>
      <c r="AK21" s="12">
        <f t="shared" si="20"/>
        <v>5304</v>
      </c>
      <c r="AL21" s="18">
        <f t="shared" si="39"/>
        <v>2.5000000000000001E-2</v>
      </c>
      <c r="AM21" s="18">
        <f t="shared" si="21"/>
        <v>0.4</v>
      </c>
      <c r="AN21" s="12">
        <f t="shared" si="22"/>
        <v>930</v>
      </c>
      <c r="AO21" s="12">
        <f t="shared" si="23"/>
        <v>372</v>
      </c>
      <c r="AP21" s="12">
        <v>0.34</v>
      </c>
      <c r="AQ21" s="12">
        <f t="shared" si="24"/>
        <v>1394.7933333333335</v>
      </c>
    </row>
    <row r="22" spans="1:61" x14ac:dyDescent="0.2">
      <c r="B22" t="s">
        <v>24</v>
      </c>
      <c r="C22">
        <v>0</v>
      </c>
      <c r="D22">
        <f t="shared" si="6"/>
        <v>0</v>
      </c>
      <c r="E22" s="8">
        <v>7625747</v>
      </c>
      <c r="F22" s="6">
        <f t="shared" si="7"/>
        <v>76097.512330928002</v>
      </c>
      <c r="G22">
        <f t="shared" si="25"/>
        <v>75538.345573653292</v>
      </c>
      <c r="H22" s="12">
        <v>0</v>
      </c>
      <c r="I22" s="12">
        <v>0</v>
      </c>
      <c r="J22" s="12">
        <v>0</v>
      </c>
      <c r="K22" s="18">
        <f t="shared" si="35"/>
        <v>2.5000000000000001E-2</v>
      </c>
      <c r="L22" s="18">
        <f t="shared" si="8"/>
        <v>0.4</v>
      </c>
      <c r="M22" s="18">
        <v>1</v>
      </c>
      <c r="N22">
        <f t="shared" si="36"/>
        <v>0</v>
      </c>
      <c r="O22">
        <f t="shared" si="9"/>
        <v>0</v>
      </c>
      <c r="P22">
        <f t="shared" si="2"/>
        <v>0</v>
      </c>
      <c r="Q22" s="12">
        <f>520*0.404686*1000</f>
        <v>210436.72</v>
      </c>
      <c r="R22" s="12">
        <v>3888</v>
      </c>
      <c r="S22" s="12">
        <v>7296</v>
      </c>
      <c r="T22" s="18">
        <f t="shared" si="37"/>
        <v>2.5000000000000001E-2</v>
      </c>
      <c r="U22" s="18">
        <f t="shared" si="10"/>
        <v>0.17998560115190784</v>
      </c>
      <c r="V22" s="12">
        <f t="shared" si="11"/>
        <v>120764.21861412171</v>
      </c>
      <c r="W22" s="12">
        <f t="shared" si="12"/>
        <v>21735.820484903114</v>
      </c>
      <c r="X22" s="12">
        <f t="shared" si="13"/>
        <v>0.6875</v>
      </c>
      <c r="Y22">
        <f t="shared" si="14"/>
        <v>156905.45412539432</v>
      </c>
      <c r="Z22" s="12">
        <v>10085</v>
      </c>
      <c r="AA22" s="12">
        <v>2976</v>
      </c>
      <c r="AB22" s="12">
        <v>5304</v>
      </c>
      <c r="AC22" s="18">
        <f t="shared" si="38"/>
        <v>2.5000000000000001E-2</v>
      </c>
      <c r="AD22" s="18">
        <f t="shared" si="15"/>
        <v>0.30400000000000005</v>
      </c>
      <c r="AE22" s="12">
        <f t="shared" si="16"/>
        <v>100850</v>
      </c>
      <c r="AF22" s="12">
        <f t="shared" si="17"/>
        <v>30658.400000000005</v>
      </c>
      <c r="AG22" s="12">
        <f t="shared" si="18"/>
        <v>0.34</v>
      </c>
      <c r="AH22" s="12">
        <f t="shared" si="19"/>
        <v>114951.96755555559</v>
      </c>
      <c r="AI22" s="12">
        <v>863</v>
      </c>
      <c r="AJ22" s="12">
        <v>2976</v>
      </c>
      <c r="AK22" s="12">
        <f t="shared" si="20"/>
        <v>5304</v>
      </c>
      <c r="AL22" s="18">
        <f t="shared" si="39"/>
        <v>2.5000000000000001E-2</v>
      </c>
      <c r="AM22" s="18">
        <f t="shared" si="21"/>
        <v>0.4</v>
      </c>
      <c r="AN22" s="12">
        <f t="shared" si="22"/>
        <v>12945</v>
      </c>
      <c r="AO22" s="12">
        <f t="shared" si="23"/>
        <v>5178</v>
      </c>
      <c r="AP22" s="12">
        <v>0.34</v>
      </c>
      <c r="AQ22" s="12">
        <f t="shared" si="24"/>
        <v>19414.623333333337</v>
      </c>
    </row>
    <row r="23" spans="1:61" x14ac:dyDescent="0.2">
      <c r="B23" t="s">
        <v>25</v>
      </c>
      <c r="C23">
        <v>0</v>
      </c>
      <c r="D23">
        <f t="shared" si="6"/>
        <v>0</v>
      </c>
      <c r="E23" s="8">
        <v>1212527</v>
      </c>
      <c r="F23" s="6">
        <f t="shared" si="7"/>
        <v>12099.836033648</v>
      </c>
      <c r="G23">
        <f t="shared" si="25"/>
        <v>12010.926082832946</v>
      </c>
      <c r="H23" s="12">
        <v>0</v>
      </c>
      <c r="I23" s="12">
        <v>0</v>
      </c>
      <c r="J23" s="12">
        <v>0</v>
      </c>
      <c r="K23" s="18">
        <f t="shared" si="35"/>
        <v>2.5000000000000001E-2</v>
      </c>
      <c r="L23" s="18">
        <f t="shared" si="8"/>
        <v>0.4</v>
      </c>
      <c r="M23" s="18">
        <v>1</v>
      </c>
      <c r="N23">
        <f t="shared" si="36"/>
        <v>0</v>
      </c>
      <c r="O23">
        <f t="shared" si="9"/>
        <v>0</v>
      </c>
      <c r="P23">
        <f t="shared" si="2"/>
        <v>0</v>
      </c>
      <c r="Q23" s="12">
        <f>165*0.404686*1000</f>
        <v>66773.19</v>
      </c>
      <c r="R23" s="12">
        <v>3936</v>
      </c>
      <c r="S23" s="12">
        <v>7344</v>
      </c>
      <c r="T23" s="18">
        <f t="shared" si="37"/>
        <v>2.5000000000000001E-2</v>
      </c>
      <c r="U23" s="18">
        <f t="shared" si="10"/>
        <v>0.17998560115190784</v>
      </c>
      <c r="V23" s="12">
        <f t="shared" si="11"/>
        <v>38319.415521788622</v>
      </c>
      <c r="W23" s="12">
        <f t="shared" si="12"/>
        <v>6896.9430384788739</v>
      </c>
      <c r="X23" s="12">
        <f t="shared" si="13"/>
        <v>0.6875</v>
      </c>
      <c r="Y23">
        <f t="shared" si="14"/>
        <v>49787.307559019362</v>
      </c>
      <c r="Z23" s="12">
        <v>991</v>
      </c>
      <c r="AA23" s="12">
        <v>2976</v>
      </c>
      <c r="AB23" s="12">
        <v>5304</v>
      </c>
      <c r="AC23" s="18">
        <f t="shared" si="38"/>
        <v>2.5000000000000001E-2</v>
      </c>
      <c r="AD23" s="18">
        <f t="shared" si="15"/>
        <v>0.30400000000000005</v>
      </c>
      <c r="AE23" s="12">
        <f t="shared" si="16"/>
        <v>9910</v>
      </c>
      <c r="AF23" s="12">
        <f t="shared" si="17"/>
        <v>3012.6400000000003</v>
      </c>
      <c r="AG23" s="12">
        <f t="shared" si="18"/>
        <v>0.34</v>
      </c>
      <c r="AH23" s="12">
        <f t="shared" si="19"/>
        <v>11295.726311111113</v>
      </c>
      <c r="AI23" s="12">
        <v>1454</v>
      </c>
      <c r="AJ23" s="12">
        <v>2976</v>
      </c>
      <c r="AK23" s="12">
        <f t="shared" si="20"/>
        <v>5304</v>
      </c>
      <c r="AL23" s="18">
        <f t="shared" si="39"/>
        <v>2.5000000000000001E-2</v>
      </c>
      <c r="AM23" s="18">
        <f t="shared" si="21"/>
        <v>0.4</v>
      </c>
      <c r="AN23" s="12">
        <f t="shared" si="22"/>
        <v>21810</v>
      </c>
      <c r="AO23" s="12">
        <f t="shared" si="23"/>
        <v>8724</v>
      </c>
      <c r="AP23" s="12">
        <v>0.34</v>
      </c>
      <c r="AQ23" s="12">
        <f t="shared" si="24"/>
        <v>32710.153333333339</v>
      </c>
    </row>
    <row r="24" spans="1:61" x14ac:dyDescent="0.2">
      <c r="B24" t="s">
        <v>26</v>
      </c>
      <c r="C24">
        <v>0</v>
      </c>
      <c r="D24">
        <f t="shared" si="6"/>
        <v>0</v>
      </c>
      <c r="E24" s="8">
        <v>11308092</v>
      </c>
      <c r="F24" s="6">
        <f t="shared" si="7"/>
        <v>112843.72146220799</v>
      </c>
      <c r="G24">
        <f t="shared" si="25"/>
        <v>112014.54248018774</v>
      </c>
      <c r="H24" s="12">
        <v>0</v>
      </c>
      <c r="I24" s="12">
        <v>0</v>
      </c>
      <c r="J24" s="12">
        <v>0</v>
      </c>
      <c r="K24" s="18">
        <f t="shared" si="35"/>
        <v>2.5000000000000001E-2</v>
      </c>
      <c r="L24" s="18">
        <f t="shared" si="8"/>
        <v>0.4</v>
      </c>
      <c r="M24" s="18">
        <v>1</v>
      </c>
      <c r="N24">
        <f t="shared" si="36"/>
        <v>0</v>
      </c>
      <c r="O24">
        <f t="shared" si="9"/>
        <v>0</v>
      </c>
      <c r="P24">
        <f t="shared" si="2"/>
        <v>0</v>
      </c>
      <c r="Q24" s="12">
        <f>100*0.404686*1000</f>
        <v>40468.6</v>
      </c>
      <c r="R24" s="12">
        <v>3840</v>
      </c>
      <c r="S24" s="12">
        <v>7296</v>
      </c>
      <c r="T24" s="18">
        <f t="shared" si="37"/>
        <v>2.5000000000000001E-2</v>
      </c>
      <c r="U24" s="18">
        <f t="shared" si="10"/>
        <v>0.17998560115190784</v>
      </c>
      <c r="V24" s="12">
        <f t="shared" si="11"/>
        <v>23223.888195023406</v>
      </c>
      <c r="W24" s="12">
        <f t="shared" si="12"/>
        <v>4179.9654778659833</v>
      </c>
      <c r="X24" s="12">
        <f t="shared" si="13"/>
        <v>0.6875</v>
      </c>
      <c r="Y24">
        <f t="shared" si="14"/>
        <v>30174.125793345062</v>
      </c>
      <c r="Z24" s="12">
        <v>904</v>
      </c>
      <c r="AA24" s="12">
        <v>2976</v>
      </c>
      <c r="AB24" s="12">
        <v>5304</v>
      </c>
      <c r="AC24" s="18">
        <f t="shared" si="38"/>
        <v>2.5000000000000001E-2</v>
      </c>
      <c r="AD24" s="18">
        <f t="shared" si="15"/>
        <v>0.30400000000000005</v>
      </c>
      <c r="AE24" s="12">
        <f t="shared" si="16"/>
        <v>9040</v>
      </c>
      <c r="AF24" s="12">
        <f t="shared" si="17"/>
        <v>2748.1600000000003</v>
      </c>
      <c r="AG24" s="12">
        <f t="shared" si="18"/>
        <v>0.34</v>
      </c>
      <c r="AH24" s="12">
        <f t="shared" si="19"/>
        <v>10304.073244444447</v>
      </c>
      <c r="AI24" s="12">
        <v>65</v>
      </c>
      <c r="AJ24" s="12">
        <v>2976</v>
      </c>
      <c r="AK24" s="12">
        <f t="shared" si="20"/>
        <v>5304</v>
      </c>
      <c r="AL24" s="18">
        <f t="shared" si="39"/>
        <v>2.5000000000000001E-2</v>
      </c>
      <c r="AM24" s="18">
        <f t="shared" si="21"/>
        <v>0.4</v>
      </c>
      <c r="AN24" s="12">
        <f t="shared" si="22"/>
        <v>975</v>
      </c>
      <c r="AO24" s="12">
        <f t="shared" si="23"/>
        <v>390</v>
      </c>
      <c r="AP24" s="12">
        <v>0.34</v>
      </c>
      <c r="AQ24" s="12">
        <f t="shared" si="24"/>
        <v>1462.2833333333338</v>
      </c>
      <c r="BC24" s="4"/>
      <c r="BD24" s="4"/>
      <c r="BE24" s="5"/>
    </row>
    <row r="25" spans="1:61" x14ac:dyDescent="0.2">
      <c r="B25" t="s">
        <v>27</v>
      </c>
      <c r="C25">
        <v>0</v>
      </c>
      <c r="D25">
        <f t="shared" si="6"/>
        <v>0</v>
      </c>
      <c r="E25" s="8">
        <v>4506524</v>
      </c>
      <c r="F25" s="6">
        <f t="shared" si="7"/>
        <v>44970.71115257599</v>
      </c>
      <c r="G25">
        <f t="shared" si="25"/>
        <v>44640.26504524242</v>
      </c>
      <c r="H25" s="12">
        <v>0</v>
      </c>
      <c r="I25" s="12">
        <v>0</v>
      </c>
      <c r="J25" s="12">
        <v>0</v>
      </c>
      <c r="K25" s="18">
        <f t="shared" si="35"/>
        <v>2.5000000000000001E-2</v>
      </c>
      <c r="L25" s="18">
        <f t="shared" si="8"/>
        <v>0.4</v>
      </c>
      <c r="M25" s="18">
        <v>1</v>
      </c>
      <c r="N25">
        <f t="shared" si="36"/>
        <v>0</v>
      </c>
      <c r="O25">
        <f t="shared" si="9"/>
        <v>0</v>
      </c>
      <c r="P25">
        <f t="shared" si="2"/>
        <v>0</v>
      </c>
      <c r="Q25" s="12">
        <v>0</v>
      </c>
      <c r="R25" s="12">
        <v>0</v>
      </c>
      <c r="S25" s="12">
        <v>0</v>
      </c>
      <c r="T25" s="18">
        <f t="shared" si="37"/>
        <v>2.5000000000000001E-2</v>
      </c>
      <c r="U25" s="18">
        <f t="shared" si="10"/>
        <v>0.17998560115190784</v>
      </c>
      <c r="V25" s="12">
        <f t="shared" si="11"/>
        <v>0</v>
      </c>
      <c r="W25" s="12">
        <f t="shared" si="12"/>
        <v>0</v>
      </c>
      <c r="X25" s="12">
        <f t="shared" si="13"/>
        <v>0.6875</v>
      </c>
      <c r="Y25">
        <f t="shared" si="14"/>
        <v>0</v>
      </c>
      <c r="Z25" s="12">
        <v>0</v>
      </c>
      <c r="AA25" s="12">
        <v>2976</v>
      </c>
      <c r="AB25" s="12">
        <v>5304</v>
      </c>
      <c r="AC25" s="18">
        <f t="shared" si="38"/>
        <v>2.5000000000000001E-2</v>
      </c>
      <c r="AD25" s="18">
        <f t="shared" si="15"/>
        <v>0.30400000000000005</v>
      </c>
      <c r="AE25" s="12">
        <f t="shared" si="16"/>
        <v>0</v>
      </c>
      <c r="AF25" s="12">
        <f t="shared" si="17"/>
        <v>0</v>
      </c>
      <c r="AG25" s="12">
        <f t="shared" si="18"/>
        <v>0.34</v>
      </c>
      <c r="AH25" s="12">
        <f t="shared" si="19"/>
        <v>0</v>
      </c>
      <c r="AI25" s="12">
        <v>0</v>
      </c>
      <c r="AJ25" s="12">
        <v>2976</v>
      </c>
      <c r="AK25" s="12">
        <f t="shared" si="20"/>
        <v>5304</v>
      </c>
      <c r="AL25" s="18">
        <f t="shared" si="39"/>
        <v>2.5000000000000001E-2</v>
      </c>
      <c r="AM25" s="18">
        <f t="shared" si="21"/>
        <v>0.4</v>
      </c>
      <c r="AN25" s="12">
        <f t="shared" si="22"/>
        <v>0</v>
      </c>
      <c r="AO25" s="12">
        <f t="shared" si="23"/>
        <v>0</v>
      </c>
      <c r="AP25" s="12">
        <v>0.34</v>
      </c>
      <c r="AQ25" s="12">
        <f t="shared" si="24"/>
        <v>0</v>
      </c>
      <c r="BE25" s="5"/>
    </row>
    <row r="26" spans="1:61" x14ac:dyDescent="0.2">
      <c r="B26" t="s">
        <v>28</v>
      </c>
      <c r="C26">
        <v>0</v>
      </c>
      <c r="D26">
        <f t="shared" si="6"/>
        <v>0</v>
      </c>
      <c r="E26" s="8">
        <v>1335277</v>
      </c>
      <c r="F26" s="6">
        <f t="shared" si="7"/>
        <v>13324.761229647998</v>
      </c>
      <c r="G26">
        <f t="shared" si="25"/>
        <v>13226.850492489591</v>
      </c>
      <c r="H26" s="12">
        <v>0</v>
      </c>
      <c r="I26" s="12">
        <v>0</v>
      </c>
      <c r="J26" s="12">
        <v>0</v>
      </c>
      <c r="K26" s="18">
        <f t="shared" si="35"/>
        <v>2.5000000000000001E-2</v>
      </c>
      <c r="L26" s="18">
        <f t="shared" si="8"/>
        <v>0.4</v>
      </c>
      <c r="M26" s="18">
        <v>1</v>
      </c>
      <c r="N26">
        <f t="shared" si="36"/>
        <v>0</v>
      </c>
      <c r="O26">
        <f t="shared" si="9"/>
        <v>0</v>
      </c>
      <c r="P26">
        <f t="shared" si="2"/>
        <v>0</v>
      </c>
      <c r="Q26" s="12">
        <v>0</v>
      </c>
      <c r="R26" s="12">
        <v>0</v>
      </c>
      <c r="S26" s="12">
        <v>0</v>
      </c>
      <c r="T26" s="18">
        <f t="shared" si="37"/>
        <v>2.5000000000000001E-2</v>
      </c>
      <c r="U26" s="18">
        <f t="shared" si="10"/>
        <v>0.17998560115190784</v>
      </c>
      <c r="V26" s="12">
        <f t="shared" si="11"/>
        <v>0</v>
      </c>
      <c r="W26" s="12">
        <f t="shared" si="12"/>
        <v>0</v>
      </c>
      <c r="X26" s="12">
        <f t="shared" si="13"/>
        <v>0.6875</v>
      </c>
      <c r="Y26">
        <f t="shared" si="14"/>
        <v>0</v>
      </c>
      <c r="Z26" s="12">
        <v>0</v>
      </c>
      <c r="AA26" s="12">
        <v>2976</v>
      </c>
      <c r="AB26" s="12">
        <v>5304</v>
      </c>
      <c r="AC26" s="18">
        <f t="shared" si="38"/>
        <v>2.5000000000000001E-2</v>
      </c>
      <c r="AD26" s="18">
        <f t="shared" si="15"/>
        <v>0.30400000000000005</v>
      </c>
      <c r="AE26" s="12">
        <f t="shared" si="16"/>
        <v>0</v>
      </c>
      <c r="AF26" s="12">
        <f t="shared" si="17"/>
        <v>0</v>
      </c>
      <c r="AG26" s="12">
        <f t="shared" si="18"/>
        <v>0.34</v>
      </c>
      <c r="AH26" s="12">
        <f t="shared" si="19"/>
        <v>0</v>
      </c>
      <c r="AI26" s="12">
        <v>0</v>
      </c>
      <c r="AJ26" s="12">
        <v>2976</v>
      </c>
      <c r="AK26" s="12">
        <f t="shared" si="20"/>
        <v>5304</v>
      </c>
      <c r="AL26" s="18">
        <f t="shared" si="39"/>
        <v>2.5000000000000001E-2</v>
      </c>
      <c r="AM26" s="18">
        <f t="shared" si="21"/>
        <v>0.4</v>
      </c>
      <c r="AN26" s="12">
        <f t="shared" si="22"/>
        <v>0</v>
      </c>
      <c r="AO26" s="12">
        <f t="shared" si="23"/>
        <v>0</v>
      </c>
      <c r="AP26" s="12">
        <v>0.34</v>
      </c>
      <c r="AQ26" s="12">
        <f t="shared" si="24"/>
        <v>0</v>
      </c>
      <c r="BE26" s="5"/>
      <c r="BG26" s="5"/>
      <c r="BI26" s="5"/>
    </row>
    <row r="27" spans="1:61" x14ac:dyDescent="0.2">
      <c r="B27" t="s">
        <v>29</v>
      </c>
      <c r="C27">
        <v>0</v>
      </c>
      <c r="D27">
        <f t="shared" si="6"/>
        <v>0</v>
      </c>
      <c r="E27" s="6">
        <v>8637906</v>
      </c>
      <c r="F27" s="6">
        <f t="shared" si="7"/>
        <v>86197.871283743996</v>
      </c>
      <c r="G27">
        <f t="shared" si="25"/>
        <v>85564.486792013064</v>
      </c>
      <c r="H27" s="12">
        <v>0</v>
      </c>
      <c r="I27" s="12">
        <v>0</v>
      </c>
      <c r="J27" s="12">
        <v>0</v>
      </c>
      <c r="K27" s="18">
        <f t="shared" si="35"/>
        <v>2.5000000000000001E-2</v>
      </c>
      <c r="L27" s="18">
        <f t="shared" si="8"/>
        <v>0.4</v>
      </c>
      <c r="M27" s="18">
        <v>1</v>
      </c>
      <c r="N27">
        <f t="shared" si="36"/>
        <v>0</v>
      </c>
      <c r="O27">
        <f t="shared" si="9"/>
        <v>0</v>
      </c>
      <c r="P27">
        <f t="shared" si="2"/>
        <v>0</v>
      </c>
      <c r="Q27" s="12">
        <v>0</v>
      </c>
      <c r="R27" s="12">
        <v>0</v>
      </c>
      <c r="S27" s="12">
        <v>0</v>
      </c>
      <c r="T27" s="18">
        <f t="shared" si="37"/>
        <v>2.5000000000000001E-2</v>
      </c>
      <c r="U27" s="18">
        <f t="shared" si="10"/>
        <v>0.17998560115190784</v>
      </c>
      <c r="V27" s="12">
        <f t="shared" si="11"/>
        <v>0</v>
      </c>
      <c r="W27" s="12">
        <f t="shared" si="12"/>
        <v>0</v>
      </c>
      <c r="X27" s="12">
        <f t="shared" si="13"/>
        <v>0.6875</v>
      </c>
      <c r="Y27">
        <f t="shared" si="14"/>
        <v>0</v>
      </c>
      <c r="Z27" s="12">
        <v>0</v>
      </c>
      <c r="AA27" s="12">
        <v>2976</v>
      </c>
      <c r="AB27" s="12">
        <v>5304</v>
      </c>
      <c r="AC27" s="18">
        <f t="shared" si="38"/>
        <v>2.5000000000000001E-2</v>
      </c>
      <c r="AD27" s="18">
        <f t="shared" si="15"/>
        <v>0.30400000000000005</v>
      </c>
      <c r="AE27" s="12">
        <f t="shared" si="16"/>
        <v>0</v>
      </c>
      <c r="AF27" s="12">
        <f t="shared" si="17"/>
        <v>0</v>
      </c>
      <c r="AG27" s="12">
        <f t="shared" si="18"/>
        <v>0.34</v>
      </c>
      <c r="AH27" s="12">
        <f t="shared" si="19"/>
        <v>0</v>
      </c>
      <c r="AI27" s="12">
        <v>0</v>
      </c>
      <c r="AJ27" s="12">
        <v>2976</v>
      </c>
      <c r="AK27" s="12">
        <f t="shared" si="20"/>
        <v>5304</v>
      </c>
      <c r="AL27" s="18">
        <f t="shared" si="39"/>
        <v>2.5000000000000001E-2</v>
      </c>
      <c r="AM27" s="18">
        <f t="shared" si="21"/>
        <v>0.4</v>
      </c>
      <c r="AN27" s="12">
        <f t="shared" si="22"/>
        <v>0</v>
      </c>
      <c r="AO27" s="12">
        <f t="shared" si="23"/>
        <v>0</v>
      </c>
      <c r="AP27" s="12">
        <v>0.34</v>
      </c>
      <c r="AQ27" s="12">
        <f t="shared" si="24"/>
        <v>0</v>
      </c>
    </row>
    <row r="28" spans="1:61" x14ac:dyDescent="0.2">
      <c r="B28" t="s">
        <v>30</v>
      </c>
      <c r="C28">
        <v>0</v>
      </c>
      <c r="D28">
        <f t="shared" si="6"/>
        <v>0</v>
      </c>
      <c r="E28" s="6">
        <v>786961</v>
      </c>
      <c r="F28" s="6">
        <f t="shared" si="7"/>
        <v>7853.102706063999</v>
      </c>
      <c r="G28">
        <f t="shared" si="25"/>
        <v>7795.3978765605207</v>
      </c>
      <c r="H28" s="12">
        <v>0</v>
      </c>
      <c r="I28" s="12">
        <v>0</v>
      </c>
      <c r="J28" s="12">
        <v>0</v>
      </c>
      <c r="K28" s="18">
        <f t="shared" si="35"/>
        <v>2.5000000000000001E-2</v>
      </c>
      <c r="L28" s="18">
        <f t="shared" si="8"/>
        <v>0.4</v>
      </c>
      <c r="M28" s="18">
        <v>1</v>
      </c>
      <c r="N28">
        <f t="shared" si="36"/>
        <v>0</v>
      </c>
      <c r="O28">
        <f t="shared" si="9"/>
        <v>0</v>
      </c>
      <c r="P28">
        <f t="shared" si="2"/>
        <v>0</v>
      </c>
      <c r="Q28" s="12">
        <v>0</v>
      </c>
      <c r="R28" s="12">
        <v>0</v>
      </c>
      <c r="S28" s="12">
        <v>0</v>
      </c>
      <c r="T28" s="18">
        <f t="shared" si="37"/>
        <v>2.5000000000000001E-2</v>
      </c>
      <c r="U28" s="18">
        <f t="shared" si="10"/>
        <v>0.17998560115190784</v>
      </c>
      <c r="V28" s="12">
        <f t="shared" si="11"/>
        <v>0</v>
      </c>
      <c r="W28" s="12">
        <f t="shared" si="12"/>
        <v>0</v>
      </c>
      <c r="X28" s="12">
        <f t="shared" si="13"/>
        <v>0.6875</v>
      </c>
      <c r="Y28">
        <f t="shared" si="14"/>
        <v>0</v>
      </c>
      <c r="Z28" s="12">
        <v>0</v>
      </c>
      <c r="AA28" s="12">
        <v>2976</v>
      </c>
      <c r="AB28" s="12">
        <v>5304</v>
      </c>
      <c r="AC28" s="18">
        <f t="shared" si="38"/>
        <v>2.5000000000000001E-2</v>
      </c>
      <c r="AD28" s="18">
        <f t="shared" si="15"/>
        <v>0.30400000000000005</v>
      </c>
      <c r="AE28" s="12">
        <f t="shared" si="16"/>
        <v>0</v>
      </c>
      <c r="AF28" s="12">
        <f t="shared" si="17"/>
        <v>0</v>
      </c>
      <c r="AG28" s="12">
        <f t="shared" si="18"/>
        <v>0.34</v>
      </c>
      <c r="AH28" s="12">
        <f t="shared" si="19"/>
        <v>0</v>
      </c>
      <c r="AI28" s="12">
        <v>0</v>
      </c>
      <c r="AJ28" s="12">
        <v>2976</v>
      </c>
      <c r="AK28" s="12">
        <f t="shared" si="20"/>
        <v>5304</v>
      </c>
      <c r="AL28" s="18">
        <f t="shared" si="39"/>
        <v>2.5000000000000001E-2</v>
      </c>
      <c r="AM28" s="18">
        <f t="shared" si="21"/>
        <v>0.4</v>
      </c>
      <c r="AN28" s="12">
        <f t="shared" si="22"/>
        <v>0</v>
      </c>
      <c r="AO28" s="12">
        <f t="shared" si="23"/>
        <v>0</v>
      </c>
      <c r="AP28" s="12">
        <v>0.34</v>
      </c>
      <c r="AQ28" s="12">
        <f t="shared" si="24"/>
        <v>0</v>
      </c>
    </row>
    <row r="29" spans="1:61" x14ac:dyDescent="0.2">
      <c r="B29" t="s">
        <v>31</v>
      </c>
      <c r="C29">
        <v>800000</v>
      </c>
      <c r="D29">
        <f t="shared" si="6"/>
        <v>1142400</v>
      </c>
      <c r="E29" s="6">
        <v>1691732</v>
      </c>
      <c r="F29" s="6">
        <f t="shared" si="7"/>
        <v>16881.834229567998</v>
      </c>
      <c r="G29">
        <f t="shared" si="25"/>
        <v>16757.78601545627</v>
      </c>
      <c r="H29" s="12">
        <v>0</v>
      </c>
      <c r="I29" s="12">
        <v>0</v>
      </c>
      <c r="J29" s="12">
        <v>0</v>
      </c>
      <c r="K29" s="18">
        <f t="shared" si="35"/>
        <v>2.5000000000000001E-2</v>
      </c>
      <c r="L29" s="18">
        <f t="shared" si="8"/>
        <v>0.4</v>
      </c>
      <c r="M29" s="18">
        <v>1</v>
      </c>
      <c r="N29">
        <f t="shared" si="36"/>
        <v>0</v>
      </c>
      <c r="O29">
        <f t="shared" si="9"/>
        <v>0</v>
      </c>
      <c r="P29">
        <f t="shared" si="2"/>
        <v>0</v>
      </c>
      <c r="Q29" s="12">
        <v>0</v>
      </c>
      <c r="R29" s="12">
        <v>0</v>
      </c>
      <c r="S29" s="12">
        <v>0</v>
      </c>
      <c r="T29" s="18">
        <f t="shared" si="37"/>
        <v>2.5000000000000001E-2</v>
      </c>
      <c r="U29" s="18">
        <f t="shared" si="10"/>
        <v>0.17998560115190784</v>
      </c>
      <c r="V29" s="12">
        <f t="shared" si="11"/>
        <v>0</v>
      </c>
      <c r="W29" s="12">
        <f t="shared" si="12"/>
        <v>0</v>
      </c>
      <c r="X29" s="12">
        <f t="shared" si="13"/>
        <v>0.6875</v>
      </c>
      <c r="Y29">
        <f t="shared" si="14"/>
        <v>0</v>
      </c>
      <c r="Z29" s="12">
        <v>0</v>
      </c>
      <c r="AA29" s="12">
        <v>2976</v>
      </c>
      <c r="AB29" s="12">
        <v>5304</v>
      </c>
      <c r="AC29" s="18">
        <f t="shared" si="38"/>
        <v>2.5000000000000001E-2</v>
      </c>
      <c r="AD29" s="18">
        <f t="shared" si="15"/>
        <v>0.30400000000000005</v>
      </c>
      <c r="AE29" s="12">
        <f t="shared" si="16"/>
        <v>0</v>
      </c>
      <c r="AF29" s="12">
        <f t="shared" si="17"/>
        <v>0</v>
      </c>
      <c r="AG29" s="12">
        <f t="shared" si="18"/>
        <v>0.34</v>
      </c>
      <c r="AH29" s="12">
        <f t="shared" si="19"/>
        <v>0</v>
      </c>
      <c r="AI29" s="12">
        <v>0</v>
      </c>
      <c r="AJ29" s="12">
        <v>2976</v>
      </c>
      <c r="AK29" s="12">
        <f t="shared" si="20"/>
        <v>5304</v>
      </c>
      <c r="AL29" s="18">
        <f t="shared" si="39"/>
        <v>2.5000000000000001E-2</v>
      </c>
      <c r="AM29" s="18">
        <f t="shared" si="21"/>
        <v>0.4</v>
      </c>
      <c r="AN29" s="12">
        <f t="shared" si="22"/>
        <v>0</v>
      </c>
      <c r="AO29" s="12">
        <f t="shared" si="23"/>
        <v>0</v>
      </c>
      <c r="AP29" s="12">
        <v>0.34</v>
      </c>
      <c r="AQ29" s="12">
        <f t="shared" si="24"/>
        <v>0</v>
      </c>
    </row>
    <row r="30" spans="1:61" x14ac:dyDescent="0.2">
      <c r="B30" t="s">
        <v>20</v>
      </c>
      <c r="C30">
        <v>2300000</v>
      </c>
      <c r="D30">
        <f t="shared" si="6"/>
        <v>3284400.0000000005</v>
      </c>
      <c r="E30" s="6">
        <v>1684187</v>
      </c>
      <c r="F30" s="6">
        <f t="shared" si="7"/>
        <v>16806.542493487999</v>
      </c>
      <c r="G30">
        <f t="shared" si="25"/>
        <v>16683.047525265971</v>
      </c>
      <c r="H30" s="12">
        <f>29*0.404686*1000</f>
        <v>11735.894</v>
      </c>
      <c r="I30" s="12">
        <v>3432</v>
      </c>
      <c r="J30" s="12">
        <v>7224</v>
      </c>
      <c r="K30" s="18">
        <f t="shared" si="35"/>
        <v>2.5000000000000001E-2</v>
      </c>
      <c r="L30" s="18">
        <f t="shared" si="8"/>
        <v>0.4</v>
      </c>
      <c r="M30" s="18">
        <v>1</v>
      </c>
      <c r="N30">
        <f t="shared" si="36"/>
        <v>93652.434120000005</v>
      </c>
      <c r="O30">
        <f t="shared" si="9"/>
        <v>37460.973648000007</v>
      </c>
      <c r="P30">
        <f t="shared" si="2"/>
        <v>2206451.3478672002</v>
      </c>
      <c r="Q30" s="12">
        <v>0</v>
      </c>
      <c r="R30" s="12">
        <v>0</v>
      </c>
      <c r="S30" s="12">
        <v>0</v>
      </c>
      <c r="T30" s="18">
        <f t="shared" si="37"/>
        <v>2.5000000000000001E-2</v>
      </c>
      <c r="U30" s="18">
        <f t="shared" si="10"/>
        <v>0.17998560115190784</v>
      </c>
      <c r="V30" s="12">
        <f t="shared" si="11"/>
        <v>0</v>
      </c>
      <c r="W30" s="12">
        <f t="shared" si="12"/>
        <v>0</v>
      </c>
      <c r="X30" s="12">
        <f t="shared" si="13"/>
        <v>0.6875</v>
      </c>
      <c r="Y30">
        <f t="shared" si="14"/>
        <v>0</v>
      </c>
      <c r="Z30" s="12">
        <v>0</v>
      </c>
      <c r="AA30" s="12">
        <v>2976</v>
      </c>
      <c r="AB30" s="12">
        <v>5304</v>
      </c>
      <c r="AC30" s="18">
        <f t="shared" si="38"/>
        <v>2.5000000000000001E-2</v>
      </c>
      <c r="AD30" s="18">
        <f t="shared" si="15"/>
        <v>0.30400000000000005</v>
      </c>
      <c r="AE30" s="12">
        <f t="shared" si="16"/>
        <v>0</v>
      </c>
      <c r="AF30" s="12">
        <f t="shared" si="17"/>
        <v>0</v>
      </c>
      <c r="AG30" s="12">
        <f t="shared" si="18"/>
        <v>0.34</v>
      </c>
      <c r="AH30" s="12">
        <f t="shared" si="19"/>
        <v>0</v>
      </c>
      <c r="AI30" s="12">
        <v>0</v>
      </c>
      <c r="AJ30" s="12">
        <v>2976</v>
      </c>
      <c r="AK30" s="12">
        <f t="shared" si="20"/>
        <v>5304</v>
      </c>
      <c r="AL30" s="18">
        <f t="shared" si="39"/>
        <v>2.5000000000000001E-2</v>
      </c>
      <c r="AM30" s="18">
        <f t="shared" si="21"/>
        <v>0.4</v>
      </c>
      <c r="AN30" s="12">
        <f t="shared" si="22"/>
        <v>0</v>
      </c>
      <c r="AO30" s="12">
        <f t="shared" si="23"/>
        <v>0</v>
      </c>
      <c r="AP30" s="12">
        <v>0.34</v>
      </c>
      <c r="AQ30" s="12">
        <f t="shared" si="24"/>
        <v>0</v>
      </c>
    </row>
    <row r="31" spans="1:61" x14ac:dyDescent="0.2">
      <c r="B31" t="s">
        <v>49</v>
      </c>
      <c r="C31">
        <v>1100000</v>
      </c>
      <c r="D31">
        <f t="shared" si="6"/>
        <v>1570799.9999999998</v>
      </c>
      <c r="E31" s="6">
        <v>10679776</v>
      </c>
      <c r="F31" s="6">
        <f t="shared" si="7"/>
        <v>106573.741018624</v>
      </c>
      <c r="G31">
        <f t="shared" si="25"/>
        <v>105790.63403719119</v>
      </c>
      <c r="H31" s="12">
        <f>500*0.404686*1000</f>
        <v>202343</v>
      </c>
      <c r="I31" s="12">
        <v>2856</v>
      </c>
      <c r="J31" s="12">
        <v>6576</v>
      </c>
      <c r="K31" s="18">
        <f t="shared" si="35"/>
        <v>2.5000000000000001E-2</v>
      </c>
      <c r="L31" s="18">
        <f t="shared" si="8"/>
        <v>0.4</v>
      </c>
      <c r="M31" s="18">
        <v>1</v>
      </c>
      <c r="N31">
        <f t="shared" ref="N31:N32" si="40">7.98*H31</f>
        <v>1614697.1400000001</v>
      </c>
      <c r="O31">
        <f t="shared" si="9"/>
        <v>645878.85600000015</v>
      </c>
      <c r="P31">
        <f t="shared" si="2"/>
        <v>38042264.618400007</v>
      </c>
      <c r="Q31" s="12">
        <f>610*0.404686*1000</f>
        <v>246858.46000000002</v>
      </c>
      <c r="R31" s="12">
        <v>3816</v>
      </c>
      <c r="S31" s="12">
        <v>7440</v>
      </c>
      <c r="T31" s="18">
        <f t="shared" si="37"/>
        <v>2.5000000000000001E-2</v>
      </c>
      <c r="U31" s="18">
        <f t="shared" si="10"/>
        <v>0.17998560115190784</v>
      </c>
      <c r="V31" s="12">
        <f t="shared" ref="V31:V32" si="41">(1/36.74)*52.1*0.404686*Q31</f>
        <v>141665.71798964278</v>
      </c>
      <c r="W31" s="12">
        <f t="shared" ref="W31:W32" si="42">V31*U31</f>
        <v>25497.789414982501</v>
      </c>
      <c r="X31" s="12">
        <f t="shared" si="13"/>
        <v>0.6875</v>
      </c>
      <c r="Y31">
        <f t="shared" ref="Y31:Y32" si="43">X31*W31*(37.8/3.6)</f>
        <v>184062.1673394049</v>
      </c>
      <c r="Z31" s="12">
        <v>9628</v>
      </c>
      <c r="AA31" s="12">
        <v>2976</v>
      </c>
      <c r="AB31" s="12">
        <v>5304</v>
      </c>
      <c r="AC31" s="18">
        <f t="shared" si="38"/>
        <v>2.5000000000000001E-2</v>
      </c>
      <c r="AD31" s="18">
        <f t="shared" si="15"/>
        <v>0.30400000000000005</v>
      </c>
      <c r="AE31" s="12">
        <f t="shared" ref="AE31:AE32" si="44">10*Z31</f>
        <v>96280</v>
      </c>
      <c r="AF31" s="12">
        <f t="shared" ref="AF31:AF32" si="45">AE31*AD31</f>
        <v>29269.120000000006</v>
      </c>
      <c r="AG31" s="12">
        <f t="shared" si="18"/>
        <v>0.34</v>
      </c>
      <c r="AH31" s="12">
        <f t="shared" ref="AH31:AH32" si="46">AG31*AF31*(39.7/3.6)</f>
        <v>109742.93937777782</v>
      </c>
      <c r="AI31" s="12">
        <v>8990</v>
      </c>
      <c r="AJ31" s="12">
        <v>2976</v>
      </c>
      <c r="AK31" s="12">
        <f t="shared" si="20"/>
        <v>5304</v>
      </c>
      <c r="AL31" s="18">
        <f t="shared" si="39"/>
        <v>2.5000000000000001E-2</v>
      </c>
      <c r="AM31" s="18">
        <f t="shared" si="21"/>
        <v>0.4</v>
      </c>
      <c r="AN31" s="12">
        <f t="shared" ref="AN31:AN32" si="47">15*AI31</f>
        <v>134850</v>
      </c>
      <c r="AO31" s="12">
        <f t="shared" ref="AO31:AO32" si="48">AN31*AM31</f>
        <v>53940</v>
      </c>
      <c r="AP31" s="12">
        <v>0.34</v>
      </c>
      <c r="AQ31" s="12">
        <f t="shared" si="24"/>
        <v>202245.03333333338</v>
      </c>
    </row>
    <row r="32" spans="1:61" s="16" customFormat="1" x14ac:dyDescent="0.2">
      <c r="A32" s="16" t="s">
        <v>82</v>
      </c>
      <c r="B32" s="12"/>
      <c r="C32" s="12">
        <f>SUM(C12:C31)</f>
        <v>12300000</v>
      </c>
      <c r="D32" s="19">
        <f t="shared" ref="D32" si="49">(C32/(2.5*3.6))*37.8*0.34</f>
        <v>17564400</v>
      </c>
      <c r="E32" s="8">
        <f>SUM(E12:E31)</f>
        <v>162903559</v>
      </c>
      <c r="F32" s="20">
        <f>SUM(F12:F31)</f>
        <v>1625618.5249464163</v>
      </c>
      <c r="G32" s="21">
        <f t="shared" si="25"/>
        <v>1613673.4322447388</v>
      </c>
      <c r="H32" s="22">
        <f>SUM(H12:H31)</f>
        <v>22536153.968000006</v>
      </c>
      <c r="I32" s="22">
        <f>AVERAGE(I12:I21,I30:I31)</f>
        <v>3172</v>
      </c>
      <c r="J32" s="22">
        <f>AVERAGE(J12:J21,J30:J31)</f>
        <v>7104</v>
      </c>
      <c r="K32" s="23">
        <f>AVERAGE(K12:K31)</f>
        <v>2.5000000000000005E-2</v>
      </c>
      <c r="L32" s="23">
        <f>AVERAGE(L12:L31)</f>
        <v>0.40000000000000008</v>
      </c>
      <c r="M32" s="23">
        <f>AVERAGE(M12:M31)</f>
        <v>1</v>
      </c>
      <c r="N32">
        <f t="shared" si="40"/>
        <v>179838508.66464007</v>
      </c>
      <c r="O32">
        <f t="shared" si="9"/>
        <v>71935403.465856045</v>
      </c>
      <c r="P32">
        <f t="shared" si="2"/>
        <v>4236995264.1389208</v>
      </c>
      <c r="Q32" s="14">
        <f>SUM(Q12:Q31)</f>
        <v>17811040.232000001</v>
      </c>
      <c r="R32" s="14">
        <f>AVERAGE(R12:R21,R30:R31)</f>
        <v>3220</v>
      </c>
      <c r="S32" s="14">
        <f>AVERAGE(S12:S21,S30:S31)</f>
        <v>6430</v>
      </c>
      <c r="T32" s="15">
        <f>AVERAGE(T12:T31)</f>
        <v>2.5000000000000005E-2</v>
      </c>
      <c r="U32" s="15">
        <f>AVERAGE(U12:U31)</f>
        <v>0.17998560115190776</v>
      </c>
      <c r="V32" s="12">
        <f t="shared" si="41"/>
        <v>10221297.672393702</v>
      </c>
      <c r="W32" s="12">
        <f t="shared" si="42"/>
        <v>1839686.4061183759</v>
      </c>
      <c r="X32" s="14">
        <f>AVERAGE(X12:X31)</f>
        <v>0.6875</v>
      </c>
      <c r="Y32" s="12">
        <f t="shared" si="43"/>
        <v>13280236.244167024</v>
      </c>
      <c r="Z32" s="24">
        <f>SUM(Z12:Z31)</f>
        <v>1871040</v>
      </c>
      <c r="AA32" s="24">
        <f>AVERAGE(AA12:AA31)</f>
        <v>2976</v>
      </c>
      <c r="AB32" s="24">
        <f>AVERAGE(AB12:AB31)</f>
        <v>5304</v>
      </c>
      <c r="AC32" s="25">
        <f>AVERAGE(AC12:AC31)</f>
        <v>2.5000000000000005E-2</v>
      </c>
      <c r="AD32" s="25">
        <f>AVERAGE(AD12:AD31)</f>
        <v>0.30400000000000016</v>
      </c>
      <c r="AE32" s="12">
        <f t="shared" si="44"/>
        <v>18710400</v>
      </c>
      <c r="AF32" s="12">
        <f t="shared" si="45"/>
        <v>5687961.6000000034</v>
      </c>
      <c r="AG32" s="24">
        <f>AVERAGE(AG12:AG31)</f>
        <v>0.33999999999999991</v>
      </c>
      <c r="AH32" s="12">
        <f t="shared" si="46"/>
        <v>21326696.021333341</v>
      </c>
      <c r="AI32" s="26">
        <f>SUM(AI24:AI31)</f>
        <v>9055</v>
      </c>
      <c r="AJ32" s="26">
        <f>AVERAGE(AJ24:AJ31)</f>
        <v>2976</v>
      </c>
      <c r="AK32" s="26">
        <f>AVERAGE(AK24:AK31)</f>
        <v>5304</v>
      </c>
      <c r="AL32" s="27">
        <f>AVERAGE(AL24:AL31)</f>
        <v>2.4999999999999998E-2</v>
      </c>
      <c r="AM32" s="27">
        <f>AVERAGE(AM24:AM31)</f>
        <v>0.39999999999999997</v>
      </c>
      <c r="AN32" s="12">
        <f t="shared" si="47"/>
        <v>135825</v>
      </c>
      <c r="AO32" s="12">
        <f t="shared" si="48"/>
        <v>54329.999999999993</v>
      </c>
      <c r="AP32" s="26">
        <f>AVERAGE(AP24:AP31)</f>
        <v>0.33999999999999997</v>
      </c>
      <c r="AQ32" s="12">
        <f t="shared" si="24"/>
        <v>203707.31666666665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x14ac:dyDescent="0.2">
      <c r="A33">
        <v>3</v>
      </c>
      <c r="B33" t="s">
        <v>32</v>
      </c>
      <c r="C33">
        <v>800000</v>
      </c>
      <c r="D33">
        <f t="shared" si="6"/>
        <v>1142400</v>
      </c>
      <c r="E33" s="6">
        <v>49895314</v>
      </c>
      <c r="F33" s="6">
        <f t="shared" si="7"/>
        <v>497906.535893536</v>
      </c>
      <c r="G33">
        <f t="shared" si="25"/>
        <v>494247.90403326263</v>
      </c>
      <c r="H33" s="12">
        <f>640*0.404686*1000</f>
        <v>258999.03999999998</v>
      </c>
      <c r="I33" s="12">
        <v>3216</v>
      </c>
      <c r="J33" s="12">
        <v>6888</v>
      </c>
      <c r="K33" s="18">
        <f>$BD$12</f>
        <v>2.5000000000000001E-2</v>
      </c>
      <c r="L33" s="18">
        <f t="shared" si="8"/>
        <v>0.4</v>
      </c>
      <c r="M33" s="18">
        <v>1</v>
      </c>
      <c r="N33">
        <f t="shared" ref="N33:N56" si="50">7.98*H33</f>
        <v>2066812.3392</v>
      </c>
      <c r="O33">
        <f t="shared" si="9"/>
        <v>826724.93568000011</v>
      </c>
      <c r="P33">
        <f t="shared" si="2"/>
        <v>48694098.711552009</v>
      </c>
      <c r="Q33" s="12">
        <v>0</v>
      </c>
      <c r="R33" s="12">
        <v>0</v>
      </c>
      <c r="S33" s="12">
        <v>0</v>
      </c>
      <c r="T33" s="18">
        <f>$BD$12</f>
        <v>2.5000000000000001E-2</v>
      </c>
      <c r="U33" s="18">
        <f t="shared" si="10"/>
        <v>0.17998560115190784</v>
      </c>
      <c r="V33" s="12">
        <f t="shared" si="11"/>
        <v>0</v>
      </c>
      <c r="W33" s="12">
        <f t="shared" si="12"/>
        <v>0</v>
      </c>
      <c r="X33" s="12">
        <f t="shared" si="13"/>
        <v>0.6875</v>
      </c>
      <c r="Y33" s="12">
        <f t="shared" si="14"/>
        <v>0</v>
      </c>
      <c r="Z33" s="12">
        <v>0</v>
      </c>
      <c r="AA33" s="12">
        <v>2976</v>
      </c>
      <c r="AB33" s="12">
        <v>5304</v>
      </c>
      <c r="AC33" s="18">
        <f>$BD$12</f>
        <v>2.5000000000000001E-2</v>
      </c>
      <c r="AD33" s="18">
        <f t="shared" si="15"/>
        <v>0.30400000000000005</v>
      </c>
      <c r="AE33" s="12">
        <f t="shared" si="16"/>
        <v>0</v>
      </c>
      <c r="AF33" s="12">
        <f t="shared" si="17"/>
        <v>0</v>
      </c>
      <c r="AG33" s="12">
        <f t="shared" si="18"/>
        <v>0.34</v>
      </c>
      <c r="AH33" s="12">
        <f t="shared" si="19"/>
        <v>0</v>
      </c>
      <c r="AI33" s="12">
        <v>0</v>
      </c>
      <c r="AJ33" s="12">
        <v>2976</v>
      </c>
      <c r="AK33" s="12">
        <f t="shared" si="20"/>
        <v>5304</v>
      </c>
      <c r="AL33" s="18">
        <f>$BD$12</f>
        <v>2.5000000000000001E-2</v>
      </c>
      <c r="AM33" s="18">
        <f t="shared" si="21"/>
        <v>0.4</v>
      </c>
      <c r="AN33" s="12">
        <f t="shared" si="22"/>
        <v>0</v>
      </c>
      <c r="AO33" s="12">
        <f t="shared" si="23"/>
        <v>0</v>
      </c>
      <c r="AP33" s="12">
        <v>0.34</v>
      </c>
      <c r="AQ33" s="12">
        <f t="shared" si="24"/>
        <v>0</v>
      </c>
      <c r="BB33" s="12"/>
      <c r="BC33" s="12"/>
      <c r="BD33" s="12"/>
      <c r="BE33" s="12"/>
      <c r="BF33" s="12"/>
      <c r="BG33" s="12"/>
    </row>
    <row r="34" spans="1:59" x14ac:dyDescent="0.2">
      <c r="B34" t="s">
        <v>33</v>
      </c>
      <c r="C34">
        <v>0</v>
      </c>
      <c r="D34">
        <f t="shared" si="6"/>
        <v>0</v>
      </c>
      <c r="E34" s="6">
        <v>3784333</v>
      </c>
      <c r="F34" s="6">
        <f t="shared" si="7"/>
        <v>37763.949830992002</v>
      </c>
      <c r="G34">
        <f t="shared" si="25"/>
        <v>37486.459217671407</v>
      </c>
      <c r="H34" s="12">
        <f>6*0.404686*1000</f>
        <v>2428.116</v>
      </c>
      <c r="I34" s="12">
        <v>3216</v>
      </c>
      <c r="J34" s="12">
        <v>6888</v>
      </c>
      <c r="K34" s="18">
        <f>$BD$12</f>
        <v>2.5000000000000001E-2</v>
      </c>
      <c r="L34" s="18">
        <f t="shared" si="8"/>
        <v>0.4</v>
      </c>
      <c r="M34" s="18">
        <v>1</v>
      </c>
      <c r="N34">
        <f t="shared" si="50"/>
        <v>19376.365680000003</v>
      </c>
      <c r="O34">
        <f t="shared" si="9"/>
        <v>7750.5462720000014</v>
      </c>
      <c r="P34">
        <f t="shared" si="2"/>
        <v>456507.17542080005</v>
      </c>
      <c r="Q34" s="12">
        <v>0</v>
      </c>
      <c r="R34" s="12">
        <v>0</v>
      </c>
      <c r="S34" s="12">
        <v>0</v>
      </c>
      <c r="T34" s="18">
        <f>$BD$12</f>
        <v>2.5000000000000001E-2</v>
      </c>
      <c r="U34" s="18">
        <f t="shared" si="10"/>
        <v>0.17998560115190784</v>
      </c>
      <c r="V34" s="12">
        <f t="shared" si="11"/>
        <v>0</v>
      </c>
      <c r="W34" s="12">
        <f t="shared" si="12"/>
        <v>0</v>
      </c>
      <c r="X34" s="12">
        <f t="shared" si="13"/>
        <v>0.6875</v>
      </c>
      <c r="Y34" s="12">
        <f t="shared" si="14"/>
        <v>0</v>
      </c>
      <c r="Z34" s="12">
        <v>0</v>
      </c>
      <c r="AA34" s="12">
        <v>2976</v>
      </c>
      <c r="AB34" s="12">
        <v>5304</v>
      </c>
      <c r="AC34" s="18">
        <f>$BD$12</f>
        <v>2.5000000000000001E-2</v>
      </c>
      <c r="AD34" s="18">
        <f t="shared" si="15"/>
        <v>0.30400000000000005</v>
      </c>
      <c r="AE34" s="12">
        <f t="shared" si="16"/>
        <v>0</v>
      </c>
      <c r="AF34" s="12">
        <f t="shared" si="17"/>
        <v>0</v>
      </c>
      <c r="AG34" s="12">
        <f t="shared" si="18"/>
        <v>0.34</v>
      </c>
      <c r="AH34" s="12">
        <f t="shared" si="19"/>
        <v>0</v>
      </c>
      <c r="AI34" s="12">
        <v>0</v>
      </c>
      <c r="AJ34" s="12">
        <v>2976</v>
      </c>
      <c r="AK34" s="12">
        <f t="shared" si="20"/>
        <v>5304</v>
      </c>
      <c r="AL34" s="18">
        <f>$BD$12</f>
        <v>2.5000000000000001E-2</v>
      </c>
      <c r="AM34" s="18">
        <f t="shared" si="21"/>
        <v>0.4</v>
      </c>
      <c r="AN34" s="12">
        <f t="shared" si="22"/>
        <v>0</v>
      </c>
      <c r="AO34" s="12">
        <f t="shared" si="23"/>
        <v>0</v>
      </c>
      <c r="AP34" s="12">
        <v>0.34</v>
      </c>
      <c r="AQ34" s="12">
        <f t="shared" si="24"/>
        <v>0</v>
      </c>
      <c r="BB34" s="12"/>
      <c r="BC34" s="12"/>
      <c r="BD34" s="12"/>
      <c r="BE34" s="12"/>
      <c r="BF34" s="12"/>
      <c r="BG34" s="12"/>
    </row>
    <row r="35" spans="1:59" ht="16" thickBot="1" x14ac:dyDescent="0.25">
      <c r="B35" t="s">
        <v>34</v>
      </c>
      <c r="C35">
        <v>0</v>
      </c>
      <c r="D35">
        <f t="shared" si="6"/>
        <v>0</v>
      </c>
      <c r="E35" s="6">
        <v>3930136</v>
      </c>
      <c r="F35" s="6">
        <f t="shared" si="7"/>
        <v>39218.921467264001</v>
      </c>
      <c r="G35">
        <f t="shared" si="25"/>
        <v>38930.739679595383</v>
      </c>
      <c r="H35" s="12">
        <f>85*0.404686*1000</f>
        <v>34398.310000000005</v>
      </c>
      <c r="I35" s="12">
        <v>3096</v>
      </c>
      <c r="J35" s="12">
        <v>7008</v>
      </c>
      <c r="K35" s="18">
        <f>$BD$12</f>
        <v>2.5000000000000001E-2</v>
      </c>
      <c r="L35" s="18">
        <f t="shared" si="8"/>
        <v>0.4</v>
      </c>
      <c r="M35" s="18">
        <v>1</v>
      </c>
      <c r="N35">
        <f t="shared" si="50"/>
        <v>274498.51380000007</v>
      </c>
      <c r="O35">
        <f t="shared" si="9"/>
        <v>109799.40552000003</v>
      </c>
      <c r="P35">
        <f t="shared" si="2"/>
        <v>6467184.9851280013</v>
      </c>
      <c r="Q35" s="12">
        <v>0</v>
      </c>
      <c r="R35" s="12">
        <v>0</v>
      </c>
      <c r="S35" s="12">
        <v>0</v>
      </c>
      <c r="T35" s="18">
        <f>$BD$12</f>
        <v>2.5000000000000001E-2</v>
      </c>
      <c r="U35" s="18">
        <f t="shared" si="10"/>
        <v>0.17998560115190784</v>
      </c>
      <c r="V35" s="12">
        <f t="shared" si="11"/>
        <v>0</v>
      </c>
      <c r="W35" s="12">
        <f t="shared" si="12"/>
        <v>0</v>
      </c>
      <c r="X35" s="12">
        <f t="shared" si="13"/>
        <v>0.6875</v>
      </c>
      <c r="Y35" s="12">
        <f t="shared" si="14"/>
        <v>0</v>
      </c>
      <c r="Z35" s="12">
        <v>0</v>
      </c>
      <c r="AA35" s="12">
        <v>2976</v>
      </c>
      <c r="AB35" s="12">
        <v>5304</v>
      </c>
      <c r="AC35" s="18">
        <f>$BD$12</f>
        <v>2.5000000000000001E-2</v>
      </c>
      <c r="AD35" s="18">
        <f t="shared" si="15"/>
        <v>0.30400000000000005</v>
      </c>
      <c r="AE35" s="12">
        <f t="shared" si="16"/>
        <v>0</v>
      </c>
      <c r="AF35" s="12">
        <f t="shared" si="17"/>
        <v>0</v>
      </c>
      <c r="AG35" s="12">
        <f t="shared" si="18"/>
        <v>0.34</v>
      </c>
      <c r="AH35" s="12">
        <f t="shared" si="19"/>
        <v>0</v>
      </c>
      <c r="AI35" s="12">
        <v>0</v>
      </c>
      <c r="AJ35" s="12">
        <v>2976</v>
      </c>
      <c r="AK35" s="12">
        <f t="shared" si="20"/>
        <v>5304</v>
      </c>
      <c r="AL35" s="18">
        <f>$BD$12</f>
        <v>2.5000000000000001E-2</v>
      </c>
      <c r="AM35" s="18">
        <f t="shared" si="21"/>
        <v>0.4</v>
      </c>
      <c r="AN35" s="12">
        <f t="shared" si="22"/>
        <v>0</v>
      </c>
      <c r="AO35" s="12">
        <f t="shared" si="23"/>
        <v>0</v>
      </c>
      <c r="AP35" s="12">
        <v>0.34</v>
      </c>
      <c r="AQ35" s="12">
        <f t="shared" si="24"/>
        <v>0</v>
      </c>
      <c r="BB35" s="12"/>
      <c r="BC35" s="12"/>
      <c r="BD35" s="12"/>
      <c r="BE35" s="12"/>
      <c r="BF35" s="12"/>
      <c r="BG35" s="12"/>
    </row>
    <row r="36" spans="1:59" ht="16" thickBot="1" x14ac:dyDescent="0.25">
      <c r="B36" t="s">
        <v>35</v>
      </c>
      <c r="C36">
        <v>0</v>
      </c>
      <c r="D36">
        <f t="shared" si="6"/>
        <v>0</v>
      </c>
      <c r="E36" s="7">
        <v>8897143</v>
      </c>
      <c r="F36" s="6">
        <f t="shared" si="7"/>
        <v>88784.803528431992</v>
      </c>
      <c r="G36">
        <f t="shared" si="25"/>
        <v>88132.410182531661</v>
      </c>
      <c r="H36" s="12">
        <f>60*0.404686*1000</f>
        <v>24281.16</v>
      </c>
      <c r="I36" s="12">
        <v>2568</v>
      </c>
      <c r="J36" s="12">
        <v>6888</v>
      </c>
      <c r="K36" s="18">
        <f>$BD$12</f>
        <v>2.5000000000000001E-2</v>
      </c>
      <c r="L36" s="18">
        <f t="shared" si="8"/>
        <v>0.4</v>
      </c>
      <c r="M36" s="18">
        <v>1</v>
      </c>
      <c r="N36">
        <f t="shared" si="50"/>
        <v>193763.6568</v>
      </c>
      <c r="O36">
        <f t="shared" si="9"/>
        <v>77505.462719999996</v>
      </c>
      <c r="P36">
        <f t="shared" si="2"/>
        <v>4565071.7542079994</v>
      </c>
      <c r="Q36" s="12">
        <v>0</v>
      </c>
      <c r="R36" s="12">
        <v>0</v>
      </c>
      <c r="S36" s="12">
        <v>0</v>
      </c>
      <c r="T36" s="18">
        <f>$BD$12</f>
        <v>2.5000000000000001E-2</v>
      </c>
      <c r="U36" s="18">
        <f t="shared" si="10"/>
        <v>0.17998560115190784</v>
      </c>
      <c r="V36" s="12">
        <f t="shared" si="11"/>
        <v>0</v>
      </c>
      <c r="W36" s="12">
        <f t="shared" si="12"/>
        <v>0</v>
      </c>
      <c r="X36" s="12">
        <f t="shared" si="13"/>
        <v>0.6875</v>
      </c>
      <c r="Y36" s="12">
        <f t="shared" si="14"/>
        <v>0</v>
      </c>
      <c r="Z36" s="12">
        <v>0</v>
      </c>
      <c r="AA36" s="12">
        <v>2976</v>
      </c>
      <c r="AB36" s="12">
        <v>5304</v>
      </c>
      <c r="AC36" s="18">
        <f>$BD$12</f>
        <v>2.5000000000000001E-2</v>
      </c>
      <c r="AD36" s="18">
        <f t="shared" si="15"/>
        <v>0.30400000000000005</v>
      </c>
      <c r="AE36" s="12">
        <f t="shared" si="16"/>
        <v>0</v>
      </c>
      <c r="AF36" s="12">
        <f t="shared" si="17"/>
        <v>0</v>
      </c>
      <c r="AG36" s="12">
        <f t="shared" si="18"/>
        <v>0.34</v>
      </c>
      <c r="AH36" s="12">
        <f t="shared" si="19"/>
        <v>0</v>
      </c>
      <c r="AI36" s="12">
        <v>0</v>
      </c>
      <c r="AJ36" s="12">
        <v>2976</v>
      </c>
      <c r="AK36" s="12">
        <f t="shared" si="20"/>
        <v>5304</v>
      </c>
      <c r="AL36" s="18">
        <f>$BD$12</f>
        <v>2.5000000000000001E-2</v>
      </c>
      <c r="AM36" s="18">
        <f t="shared" si="21"/>
        <v>0.4</v>
      </c>
      <c r="AN36" s="12">
        <f t="shared" si="22"/>
        <v>0</v>
      </c>
      <c r="AO36" s="12">
        <f t="shared" si="23"/>
        <v>0</v>
      </c>
      <c r="AP36" s="12">
        <v>0.34</v>
      </c>
      <c r="AQ36" s="12">
        <f t="shared" si="24"/>
        <v>0</v>
      </c>
      <c r="BB36" s="12"/>
      <c r="BC36" s="12"/>
      <c r="BD36" s="12"/>
      <c r="BE36" s="12"/>
      <c r="BF36" s="12"/>
      <c r="BG36" s="12"/>
    </row>
    <row r="37" spans="1:59" ht="16" thickBot="1" x14ac:dyDescent="0.25">
      <c r="B37" t="s">
        <v>36</v>
      </c>
      <c r="C37">
        <v>0</v>
      </c>
      <c r="D37">
        <f t="shared" si="6"/>
        <v>0</v>
      </c>
      <c r="E37" s="7">
        <v>7113432</v>
      </c>
      <c r="F37" s="6">
        <f t="shared" si="7"/>
        <v>70985.108650367998</v>
      </c>
      <c r="G37">
        <f t="shared" si="25"/>
        <v>70463.507985602409</v>
      </c>
      <c r="H37" s="12">
        <f>1480*0.404686*1000</f>
        <v>598935.28</v>
      </c>
      <c r="I37" s="12">
        <v>3120</v>
      </c>
      <c r="J37" s="12">
        <v>7152</v>
      </c>
      <c r="K37" s="18">
        <f t="shared" ref="K37:K56" si="51">$BD$12</f>
        <v>2.5000000000000001E-2</v>
      </c>
      <c r="L37" s="18">
        <f t="shared" si="8"/>
        <v>0.4</v>
      </c>
      <c r="M37" s="18">
        <v>1</v>
      </c>
      <c r="N37">
        <f t="shared" si="50"/>
        <v>4779503.5344000002</v>
      </c>
      <c r="O37">
        <f t="shared" si="9"/>
        <v>1911801.4137600001</v>
      </c>
      <c r="P37">
        <f t="shared" ref="P37:P58" si="52">58.9*O37</f>
        <v>112605103.270464</v>
      </c>
      <c r="Q37" s="12">
        <v>0</v>
      </c>
      <c r="R37" s="12">
        <v>0</v>
      </c>
      <c r="S37" s="12">
        <v>0</v>
      </c>
      <c r="T37" s="18">
        <f t="shared" ref="T37:T56" si="53">$BD$12</f>
        <v>2.5000000000000001E-2</v>
      </c>
      <c r="U37" s="18">
        <f t="shared" si="10"/>
        <v>0.17998560115190784</v>
      </c>
      <c r="V37" s="12">
        <f t="shared" si="11"/>
        <v>0</v>
      </c>
      <c r="W37" s="12">
        <f t="shared" si="12"/>
        <v>0</v>
      </c>
      <c r="X37" s="12">
        <f t="shared" si="13"/>
        <v>0.6875</v>
      </c>
      <c r="Y37" s="12">
        <f t="shared" si="14"/>
        <v>0</v>
      </c>
      <c r="Z37" s="12">
        <v>0</v>
      </c>
      <c r="AA37" s="12">
        <v>2976</v>
      </c>
      <c r="AB37" s="12">
        <v>5304</v>
      </c>
      <c r="AC37" s="18">
        <f t="shared" ref="AC37:AC56" si="54">$BD$12</f>
        <v>2.5000000000000001E-2</v>
      </c>
      <c r="AD37" s="18">
        <f t="shared" si="15"/>
        <v>0.30400000000000005</v>
      </c>
      <c r="AE37" s="12">
        <f t="shared" si="16"/>
        <v>0</v>
      </c>
      <c r="AF37" s="12">
        <f t="shared" si="17"/>
        <v>0</v>
      </c>
      <c r="AG37" s="12">
        <f t="shared" si="18"/>
        <v>0.34</v>
      </c>
      <c r="AH37" s="12">
        <f t="shared" si="19"/>
        <v>0</v>
      </c>
      <c r="AI37" s="12">
        <v>0</v>
      </c>
      <c r="AJ37" s="12">
        <v>2976</v>
      </c>
      <c r="AK37" s="12">
        <f t="shared" si="20"/>
        <v>5304</v>
      </c>
      <c r="AL37" s="18">
        <f t="shared" ref="AL37:AL56" si="55">$BD$12</f>
        <v>2.5000000000000001E-2</v>
      </c>
      <c r="AM37" s="18">
        <f t="shared" si="21"/>
        <v>0.4</v>
      </c>
      <c r="AN37" s="12">
        <f t="shared" si="22"/>
        <v>0</v>
      </c>
      <c r="AO37" s="12">
        <f t="shared" si="23"/>
        <v>0</v>
      </c>
      <c r="AP37" s="12">
        <v>0.34</v>
      </c>
      <c r="AQ37" s="12">
        <f t="shared" si="24"/>
        <v>0</v>
      </c>
      <c r="BB37" s="12"/>
      <c r="BC37" s="12"/>
      <c r="BD37" s="12"/>
      <c r="BE37" s="12"/>
      <c r="BF37" s="12"/>
      <c r="BG37" s="12"/>
    </row>
    <row r="38" spans="1:59" ht="16" thickBot="1" x14ac:dyDescent="0.25">
      <c r="B38" t="s">
        <v>37</v>
      </c>
      <c r="C38">
        <v>0</v>
      </c>
      <c r="D38">
        <f t="shared" si="6"/>
        <v>0</v>
      </c>
      <c r="E38" s="7">
        <v>2629143</v>
      </c>
      <c r="F38" s="6">
        <f t="shared" si="7"/>
        <v>26236.281096431998</v>
      </c>
      <c r="G38">
        <f t="shared" si="25"/>
        <v>26043.496131795549</v>
      </c>
      <c r="H38" s="12">
        <f>125*0.404686*1000</f>
        <v>50585.75</v>
      </c>
      <c r="I38" s="12">
        <v>2880</v>
      </c>
      <c r="J38" s="12">
        <v>6912</v>
      </c>
      <c r="K38" s="18">
        <f t="shared" si="51"/>
        <v>2.5000000000000001E-2</v>
      </c>
      <c r="L38" s="18">
        <f t="shared" si="8"/>
        <v>0.4</v>
      </c>
      <c r="M38" s="18">
        <v>1</v>
      </c>
      <c r="N38">
        <f t="shared" si="50"/>
        <v>403674.28500000003</v>
      </c>
      <c r="O38">
        <f t="shared" si="9"/>
        <v>161469.71400000004</v>
      </c>
      <c r="P38">
        <f t="shared" si="52"/>
        <v>9510566.1546000019</v>
      </c>
      <c r="Q38" s="12">
        <v>0</v>
      </c>
      <c r="R38" s="12">
        <v>0</v>
      </c>
      <c r="S38" s="12">
        <v>0</v>
      </c>
      <c r="T38" s="18">
        <f t="shared" si="53"/>
        <v>2.5000000000000001E-2</v>
      </c>
      <c r="U38" s="18">
        <f t="shared" si="10"/>
        <v>0.17998560115190784</v>
      </c>
      <c r="V38" s="12">
        <f t="shared" si="11"/>
        <v>0</v>
      </c>
      <c r="W38" s="12">
        <f t="shared" si="12"/>
        <v>0</v>
      </c>
      <c r="X38" s="12">
        <f t="shared" si="13"/>
        <v>0.6875</v>
      </c>
      <c r="Y38" s="12">
        <f t="shared" si="14"/>
        <v>0</v>
      </c>
      <c r="Z38" s="12">
        <v>0</v>
      </c>
      <c r="AA38" s="12">
        <v>2976</v>
      </c>
      <c r="AB38" s="12">
        <v>5304</v>
      </c>
      <c r="AC38" s="18">
        <f t="shared" si="54"/>
        <v>2.5000000000000001E-2</v>
      </c>
      <c r="AD38" s="18">
        <f t="shared" si="15"/>
        <v>0.30400000000000005</v>
      </c>
      <c r="AE38" s="12">
        <f t="shared" si="16"/>
        <v>0</v>
      </c>
      <c r="AF38" s="12">
        <f t="shared" si="17"/>
        <v>0</v>
      </c>
      <c r="AG38" s="12">
        <f t="shared" si="18"/>
        <v>0.34</v>
      </c>
      <c r="AH38" s="12">
        <f t="shared" si="19"/>
        <v>0</v>
      </c>
      <c r="AI38" s="12">
        <v>0</v>
      </c>
      <c r="AJ38" s="12">
        <v>2976</v>
      </c>
      <c r="AK38" s="12">
        <f t="shared" si="20"/>
        <v>5304</v>
      </c>
      <c r="AL38" s="18">
        <f t="shared" si="55"/>
        <v>2.5000000000000001E-2</v>
      </c>
      <c r="AM38" s="18">
        <f t="shared" si="21"/>
        <v>0.4</v>
      </c>
      <c r="AN38" s="12">
        <f t="shared" si="22"/>
        <v>0</v>
      </c>
      <c r="AO38" s="12">
        <f t="shared" si="23"/>
        <v>0</v>
      </c>
      <c r="AP38" s="12">
        <v>0.34</v>
      </c>
      <c r="AQ38" s="12">
        <f t="shared" si="24"/>
        <v>0</v>
      </c>
      <c r="BB38" s="12"/>
      <c r="BC38" s="12"/>
      <c r="BD38" s="12"/>
      <c r="BE38" s="12"/>
      <c r="BF38" s="12"/>
      <c r="BG38" s="12"/>
    </row>
    <row r="39" spans="1:59" x14ac:dyDescent="0.2">
      <c r="B39" t="s">
        <v>38</v>
      </c>
      <c r="C39">
        <v>1400000</v>
      </c>
      <c r="D39">
        <f t="shared" si="6"/>
        <v>1999200.0000000002</v>
      </c>
      <c r="E39" s="6">
        <v>35736651</v>
      </c>
      <c r="F39" s="6">
        <f t="shared" si="7"/>
        <v>356616.89800862398</v>
      </c>
      <c r="G39">
        <f t="shared" si="25"/>
        <v>353996.46656033065</v>
      </c>
      <c r="H39" s="12">
        <f>1900*0.404686*1000</f>
        <v>768903.4</v>
      </c>
      <c r="I39" s="12">
        <v>2328</v>
      </c>
      <c r="J39" s="12">
        <v>5952</v>
      </c>
      <c r="K39" s="18">
        <f t="shared" si="51"/>
        <v>2.5000000000000001E-2</v>
      </c>
      <c r="L39" s="18">
        <f t="shared" si="8"/>
        <v>0.4</v>
      </c>
      <c r="M39" s="18">
        <v>1</v>
      </c>
      <c r="N39">
        <f t="shared" si="50"/>
        <v>6135849.1320000002</v>
      </c>
      <c r="O39">
        <f t="shared" si="9"/>
        <v>2454339.6528000003</v>
      </c>
      <c r="P39">
        <f t="shared" si="52"/>
        <v>144560605.54992002</v>
      </c>
      <c r="Q39" s="12">
        <f>165*0.404686*1000</f>
        <v>66773.19</v>
      </c>
      <c r="R39" s="12">
        <v>2856</v>
      </c>
      <c r="S39" s="12">
        <v>6264</v>
      </c>
      <c r="T39" s="18">
        <f t="shared" si="53"/>
        <v>2.5000000000000001E-2</v>
      </c>
      <c r="U39" s="18">
        <f t="shared" si="10"/>
        <v>0.17998560115190784</v>
      </c>
      <c r="V39" s="12">
        <f t="shared" si="11"/>
        <v>38319.415521788622</v>
      </c>
      <c r="W39" s="12">
        <f t="shared" si="12"/>
        <v>6896.9430384788739</v>
      </c>
      <c r="X39" s="12">
        <f t="shared" si="13"/>
        <v>0.6875</v>
      </c>
      <c r="Y39" s="12">
        <f t="shared" si="14"/>
        <v>49787.307559019362</v>
      </c>
      <c r="Z39" s="12">
        <v>1812145</v>
      </c>
      <c r="AA39" s="12">
        <v>2976</v>
      </c>
      <c r="AB39" s="12">
        <v>5304</v>
      </c>
      <c r="AC39" s="18">
        <f t="shared" si="54"/>
        <v>2.5000000000000001E-2</v>
      </c>
      <c r="AD39" s="18">
        <f t="shared" si="15"/>
        <v>0.30400000000000005</v>
      </c>
      <c r="AE39" s="12">
        <f t="shared" si="16"/>
        <v>18121450</v>
      </c>
      <c r="AF39" s="12">
        <f t="shared" si="17"/>
        <v>5508920.8000000007</v>
      </c>
      <c r="AG39" s="12">
        <f t="shared" si="18"/>
        <v>0.34</v>
      </c>
      <c r="AH39" s="12">
        <f t="shared" si="19"/>
        <v>20655392.488444451</v>
      </c>
      <c r="AI39" s="12">
        <v>4208</v>
      </c>
      <c r="AJ39" s="12">
        <v>2976</v>
      </c>
      <c r="AK39" s="12">
        <f t="shared" si="20"/>
        <v>5304</v>
      </c>
      <c r="AL39" s="18">
        <f t="shared" si="55"/>
        <v>2.5000000000000001E-2</v>
      </c>
      <c r="AM39" s="18">
        <f t="shared" si="21"/>
        <v>0.4</v>
      </c>
      <c r="AN39" s="12">
        <f t="shared" si="22"/>
        <v>63120</v>
      </c>
      <c r="AO39" s="12">
        <f t="shared" si="23"/>
        <v>25248</v>
      </c>
      <c r="AP39" s="12">
        <v>0.34</v>
      </c>
      <c r="AQ39" s="12">
        <f t="shared" si="24"/>
        <v>94665.973333333342</v>
      </c>
      <c r="BB39" s="12"/>
      <c r="BC39" s="12"/>
      <c r="BD39" s="12"/>
      <c r="BE39" s="12"/>
      <c r="BF39" s="12"/>
      <c r="BG39" s="12"/>
    </row>
    <row r="40" spans="1:59" x14ac:dyDescent="0.2">
      <c r="B40" t="s">
        <v>40</v>
      </c>
      <c r="C40">
        <v>0</v>
      </c>
      <c r="D40">
        <f t="shared" si="6"/>
        <v>0</v>
      </c>
      <c r="E40" s="6">
        <v>3672558</v>
      </c>
      <c r="F40" s="6">
        <f t="shared" si="7"/>
        <v>36648.544423391999</v>
      </c>
      <c r="G40">
        <f t="shared" si="25"/>
        <v>36379.249841790574</v>
      </c>
      <c r="H40" s="12">
        <f>4700*0.404686*1000</f>
        <v>1902024.2</v>
      </c>
      <c r="I40" s="12">
        <v>2880</v>
      </c>
      <c r="J40" s="12">
        <v>6576</v>
      </c>
      <c r="K40" s="18">
        <f t="shared" si="51"/>
        <v>2.5000000000000001E-2</v>
      </c>
      <c r="L40" s="18">
        <f t="shared" si="8"/>
        <v>0.4</v>
      </c>
      <c r="M40" s="18">
        <v>1</v>
      </c>
      <c r="N40">
        <f t="shared" si="50"/>
        <v>15178153.116</v>
      </c>
      <c r="O40">
        <f t="shared" si="9"/>
        <v>6071261.2464000005</v>
      </c>
      <c r="P40">
        <f t="shared" si="52"/>
        <v>357597287.41295999</v>
      </c>
      <c r="Q40" s="12">
        <f>4050*0.404686*1000</f>
        <v>1638978.3</v>
      </c>
      <c r="R40" s="12">
        <v>3648</v>
      </c>
      <c r="S40" s="12">
        <v>6912</v>
      </c>
      <c r="T40" s="18">
        <f t="shared" si="53"/>
        <v>2.5000000000000001E-2</v>
      </c>
      <c r="U40" s="18">
        <f t="shared" si="10"/>
        <v>0.17998560115190784</v>
      </c>
      <c r="V40" s="12">
        <f t="shared" si="11"/>
        <v>940567.47189844796</v>
      </c>
      <c r="W40" s="12">
        <f t="shared" si="12"/>
        <v>169288.60185357236</v>
      </c>
      <c r="X40" s="12">
        <f t="shared" si="13"/>
        <v>0.6875</v>
      </c>
      <c r="Y40" s="12">
        <f t="shared" si="14"/>
        <v>1222052.0946304754</v>
      </c>
      <c r="Z40" s="12">
        <v>1187273</v>
      </c>
      <c r="AA40" s="12">
        <v>2976</v>
      </c>
      <c r="AB40" s="12">
        <v>5304</v>
      </c>
      <c r="AC40" s="18">
        <f t="shared" si="54"/>
        <v>2.5000000000000001E-2</v>
      </c>
      <c r="AD40" s="18">
        <f t="shared" si="15"/>
        <v>0.30400000000000005</v>
      </c>
      <c r="AE40" s="12">
        <f t="shared" si="16"/>
        <v>11872730</v>
      </c>
      <c r="AF40" s="12">
        <f t="shared" si="17"/>
        <v>3609309.9200000004</v>
      </c>
      <c r="AG40" s="12">
        <f t="shared" si="18"/>
        <v>0.34</v>
      </c>
      <c r="AH40" s="12">
        <f t="shared" si="19"/>
        <v>13532907.027822226</v>
      </c>
      <c r="AI40" s="12">
        <v>926</v>
      </c>
      <c r="AJ40" s="12">
        <v>2976</v>
      </c>
      <c r="AK40" s="12">
        <f t="shared" si="20"/>
        <v>5304</v>
      </c>
      <c r="AL40" s="18">
        <f t="shared" si="55"/>
        <v>2.5000000000000001E-2</v>
      </c>
      <c r="AM40" s="18">
        <f t="shared" si="21"/>
        <v>0.4</v>
      </c>
      <c r="AN40" s="12">
        <f t="shared" si="22"/>
        <v>13890</v>
      </c>
      <c r="AO40" s="12">
        <f t="shared" si="23"/>
        <v>5556</v>
      </c>
      <c r="AP40" s="12">
        <v>0.34</v>
      </c>
      <c r="AQ40" s="12">
        <f t="shared" si="24"/>
        <v>20831.913333333338</v>
      </c>
      <c r="BB40" s="12"/>
      <c r="BC40" s="12"/>
      <c r="BD40" s="12"/>
      <c r="BE40" s="12"/>
      <c r="BF40" s="12"/>
      <c r="BG40" s="12"/>
    </row>
    <row r="41" spans="1:59" x14ac:dyDescent="0.2">
      <c r="B41" t="s">
        <v>41</v>
      </c>
      <c r="C41">
        <v>0</v>
      </c>
      <c r="D41">
        <f t="shared" si="6"/>
        <v>0</v>
      </c>
      <c r="E41" s="6">
        <v>4975763</v>
      </c>
      <c r="F41" s="6">
        <f t="shared" si="7"/>
        <v>49653.258395311997</v>
      </c>
      <c r="G41">
        <f t="shared" si="25"/>
        <v>49288.404793208814</v>
      </c>
      <c r="H41" s="12">
        <f>370*0.404686*1000</f>
        <v>149733.82</v>
      </c>
      <c r="I41" s="12">
        <v>2616</v>
      </c>
      <c r="J41" s="12">
        <v>6288</v>
      </c>
      <c r="K41" s="18">
        <f t="shared" si="51"/>
        <v>2.5000000000000001E-2</v>
      </c>
      <c r="L41" s="18">
        <f t="shared" si="8"/>
        <v>0.4</v>
      </c>
      <c r="M41" s="18">
        <v>1</v>
      </c>
      <c r="N41">
        <f t="shared" si="50"/>
        <v>1194875.8836000001</v>
      </c>
      <c r="O41">
        <f t="shared" si="9"/>
        <v>477950.35344000004</v>
      </c>
      <c r="P41">
        <f t="shared" si="52"/>
        <v>28151275.817616001</v>
      </c>
      <c r="Q41" s="12">
        <f>485*0.404686*1000</f>
        <v>196272.71</v>
      </c>
      <c r="R41" s="12">
        <v>3144</v>
      </c>
      <c r="S41" s="12">
        <v>7032</v>
      </c>
      <c r="T41" s="18">
        <f t="shared" si="53"/>
        <v>2.5000000000000001E-2</v>
      </c>
      <c r="U41" s="18">
        <f t="shared" si="10"/>
        <v>0.17998560115190784</v>
      </c>
      <c r="V41" s="12">
        <f t="shared" si="11"/>
        <v>112635.85774586351</v>
      </c>
      <c r="W41" s="12">
        <f t="shared" si="12"/>
        <v>20272.832567650021</v>
      </c>
      <c r="X41" s="12">
        <f t="shared" si="13"/>
        <v>0.6875</v>
      </c>
      <c r="Y41" s="12">
        <f t="shared" si="14"/>
        <v>146344.51009772357</v>
      </c>
      <c r="Z41" s="12">
        <v>464033</v>
      </c>
      <c r="AA41" s="12">
        <v>2976</v>
      </c>
      <c r="AB41" s="12">
        <v>5304</v>
      </c>
      <c r="AC41" s="18">
        <f t="shared" si="54"/>
        <v>2.5000000000000001E-2</v>
      </c>
      <c r="AD41" s="18">
        <f t="shared" si="15"/>
        <v>0.30400000000000005</v>
      </c>
      <c r="AE41" s="12">
        <f t="shared" si="16"/>
        <v>4640330</v>
      </c>
      <c r="AF41" s="12">
        <f t="shared" si="17"/>
        <v>1410660.3200000003</v>
      </c>
      <c r="AG41" s="12">
        <f t="shared" si="18"/>
        <v>0.34</v>
      </c>
      <c r="AH41" s="12">
        <f t="shared" si="19"/>
        <v>5289192.4998222236</v>
      </c>
      <c r="AI41" s="12">
        <v>568</v>
      </c>
      <c r="AJ41" s="12">
        <v>2976</v>
      </c>
      <c r="AK41" s="12">
        <f t="shared" si="20"/>
        <v>5304</v>
      </c>
      <c r="AL41" s="18">
        <f t="shared" si="55"/>
        <v>2.5000000000000001E-2</v>
      </c>
      <c r="AM41" s="18">
        <f t="shared" si="21"/>
        <v>0.4</v>
      </c>
      <c r="AN41" s="12">
        <f t="shared" si="22"/>
        <v>8520</v>
      </c>
      <c r="AO41" s="12">
        <f t="shared" si="23"/>
        <v>3408</v>
      </c>
      <c r="AP41" s="12">
        <v>0.34</v>
      </c>
      <c r="AQ41" s="12">
        <f t="shared" si="24"/>
        <v>12778.106666666668</v>
      </c>
      <c r="BB41" s="12"/>
      <c r="BC41" s="12"/>
      <c r="BD41" s="12"/>
      <c r="BE41" s="12"/>
      <c r="BF41" s="12"/>
      <c r="BG41" s="12"/>
    </row>
    <row r="42" spans="1:59" s="16" customFormat="1" x14ac:dyDescent="0.2">
      <c r="A42" s="16" t="s">
        <v>84</v>
      </c>
      <c r="B42" s="12"/>
      <c r="C42" s="12">
        <f>SUM(C33:C41)</f>
        <v>2200000</v>
      </c>
      <c r="D42" s="19">
        <f t="shared" ref="D42" si="56">(C42/(2.5*3.6))*37.8*0.34</f>
        <v>3141599.9999999995</v>
      </c>
      <c r="E42" s="8">
        <f>SUM(E33:E41)</f>
        <v>120634473</v>
      </c>
      <c r="F42" s="20">
        <f>SUM(F33:F41)</f>
        <v>1203814.3012943519</v>
      </c>
      <c r="G42" s="21">
        <f t="shared" si="25"/>
        <v>1194968.6384257893</v>
      </c>
      <c r="H42" s="22">
        <f>SUM(H33:H41)</f>
        <v>3790289.0759999999</v>
      </c>
      <c r="I42" s="22">
        <f>AVERAGE(I33:I41)</f>
        <v>2880</v>
      </c>
      <c r="J42" s="22">
        <f>AVERAGE(J33:J41)</f>
        <v>6728</v>
      </c>
      <c r="K42" s="23">
        <f>AVERAGE(K33:K41)</f>
        <v>2.4999999999999998E-2</v>
      </c>
      <c r="L42" s="23">
        <f>AVERAGE(L33:L41)</f>
        <v>0.39999999999999997</v>
      </c>
      <c r="M42" s="23">
        <f>AVERAGE(M33:M41)</f>
        <v>1</v>
      </c>
      <c r="N42">
        <f t="shared" si="50"/>
        <v>30246506.826480001</v>
      </c>
      <c r="O42">
        <f t="shared" ref="O42" si="57">N42*L42*M42</f>
        <v>12098602.730591999</v>
      </c>
      <c r="P42">
        <f t="shared" si="52"/>
        <v>712607700.83186877</v>
      </c>
      <c r="Q42" s="14">
        <f>SUM(Q33:Q41)</f>
        <v>1902024.2</v>
      </c>
      <c r="R42" s="14">
        <f>AVERAGE(R39:R41)</f>
        <v>3216</v>
      </c>
      <c r="S42" s="14">
        <f>AVERAGE(S39:S41)</f>
        <v>6736</v>
      </c>
      <c r="T42" s="15">
        <f>AVERAGE(T33:T41)</f>
        <v>2.4999999999999998E-2</v>
      </c>
      <c r="U42" s="15">
        <f>AVERAGE(U33:U41)</f>
        <v>0.17998560115190784</v>
      </c>
      <c r="V42" s="12">
        <f t="shared" si="11"/>
        <v>1091522.7451661001</v>
      </c>
      <c r="W42" s="12">
        <f t="shared" si="12"/>
        <v>196458.37745970124</v>
      </c>
      <c r="X42" s="14">
        <f>AVERAGE(X33:X41)</f>
        <v>0.6875</v>
      </c>
      <c r="Y42" s="12">
        <f t="shared" si="14"/>
        <v>1418183.912287218</v>
      </c>
      <c r="Z42" s="24">
        <f>SUM(Z33:Z41)</f>
        <v>3463451</v>
      </c>
      <c r="AA42" s="24">
        <f>AVERAGE(AA33:AA41)</f>
        <v>2976</v>
      </c>
      <c r="AB42" s="24">
        <f>AVERAGE(AB33:AB41)</f>
        <v>5304</v>
      </c>
      <c r="AC42" s="25">
        <f>AVERAGE(AC33:AC41)</f>
        <v>2.4999999999999998E-2</v>
      </c>
      <c r="AD42" s="25">
        <f>AVERAGE(AD33:AD41)</f>
        <v>0.30400000000000005</v>
      </c>
      <c r="AE42" s="12">
        <f t="shared" si="16"/>
        <v>34634510</v>
      </c>
      <c r="AF42" s="12">
        <f t="shared" si="17"/>
        <v>10528891.040000001</v>
      </c>
      <c r="AG42" s="24">
        <f>AVERAGE(AG33:AG41)</f>
        <v>0.33999999999999997</v>
      </c>
      <c r="AH42" s="12">
        <f t="shared" si="19"/>
        <v>39477492.016088895</v>
      </c>
      <c r="AI42" s="26">
        <f>SUM(AI33:AI41)</f>
        <v>5702</v>
      </c>
      <c r="AJ42" s="26">
        <f>AVERAGE(AJ33:AJ41)</f>
        <v>2976</v>
      </c>
      <c r="AK42" s="26">
        <f>AVERAGE(AK33:AK41)</f>
        <v>5304</v>
      </c>
      <c r="AL42" s="27">
        <f>AVERAGE(AL33:AL41)</f>
        <v>2.4999999999999998E-2</v>
      </c>
      <c r="AM42" s="27">
        <f>AVERAGE(AM33:AM41)</f>
        <v>0.39999999999999997</v>
      </c>
      <c r="AN42" s="12">
        <f t="shared" si="22"/>
        <v>85530</v>
      </c>
      <c r="AO42" s="12">
        <f t="shared" si="23"/>
        <v>34212</v>
      </c>
      <c r="AP42" s="26">
        <f>AVERAGE(AP33:AP41)</f>
        <v>0.33999999999999997</v>
      </c>
      <c r="AQ42" s="12">
        <f t="shared" ref="AQ42" si="58">AP42*AO42*(39.7/3.6)</f>
        <v>128275.99333333332</v>
      </c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x14ac:dyDescent="0.2">
      <c r="A43">
        <v>4</v>
      </c>
      <c r="B43" t="s">
        <v>42</v>
      </c>
      <c r="C43">
        <v>800000</v>
      </c>
      <c r="D43">
        <f t="shared" si="6"/>
        <v>1142400</v>
      </c>
      <c r="E43" s="6">
        <v>7716536</v>
      </c>
      <c r="F43" s="6">
        <f t="shared" si="7"/>
        <v>77003.497940863992</v>
      </c>
      <c r="G43">
        <f t="shared" si="25"/>
        <v>76437.673974698642</v>
      </c>
      <c r="H43" s="12">
        <f>3300*0.404686*1000</f>
        <v>1335463.8</v>
      </c>
      <c r="I43" s="12">
        <v>2952</v>
      </c>
      <c r="J43" s="12">
        <v>6648</v>
      </c>
      <c r="K43" s="18">
        <f t="shared" si="51"/>
        <v>2.5000000000000001E-2</v>
      </c>
      <c r="L43" s="18">
        <f t="shared" si="8"/>
        <v>0.4</v>
      </c>
      <c r="M43" s="18">
        <v>1</v>
      </c>
      <c r="N43">
        <f t="shared" si="50"/>
        <v>10657001.124000002</v>
      </c>
      <c r="O43">
        <f t="shared" si="9"/>
        <v>4262800.4496000009</v>
      </c>
      <c r="P43">
        <f t="shared" si="52"/>
        <v>251078946.48144004</v>
      </c>
      <c r="Q43" s="12">
        <f>5600*0.404686*1000</f>
        <v>2266241.5999999996</v>
      </c>
      <c r="R43" s="12">
        <v>3672</v>
      </c>
      <c r="S43" s="12">
        <v>7008</v>
      </c>
      <c r="T43" s="18">
        <f t="shared" si="53"/>
        <v>2.5000000000000001E-2</v>
      </c>
      <c r="U43" s="18">
        <f t="shared" si="10"/>
        <v>0.17998560115190784</v>
      </c>
      <c r="V43" s="12">
        <f t="shared" si="11"/>
        <v>1300537.7389213105</v>
      </c>
      <c r="W43" s="12">
        <f t="shared" si="12"/>
        <v>234078.06676049504</v>
      </c>
      <c r="X43" s="12">
        <f t="shared" si="13"/>
        <v>0.6875</v>
      </c>
      <c r="Y43" s="12">
        <f t="shared" si="14"/>
        <v>1689751.0444273234</v>
      </c>
      <c r="Z43" s="12">
        <v>626196</v>
      </c>
      <c r="AA43" s="12">
        <v>2976</v>
      </c>
      <c r="AB43" s="12">
        <v>5304</v>
      </c>
      <c r="AC43" s="18">
        <f t="shared" si="54"/>
        <v>2.5000000000000001E-2</v>
      </c>
      <c r="AD43" s="18">
        <f t="shared" si="15"/>
        <v>0.30400000000000005</v>
      </c>
      <c r="AE43" s="12">
        <f t="shared" si="16"/>
        <v>6261960</v>
      </c>
      <c r="AF43" s="12">
        <f t="shared" si="17"/>
        <v>1903635.8400000003</v>
      </c>
      <c r="AG43" s="12">
        <f t="shared" si="18"/>
        <v>0.34</v>
      </c>
      <c r="AH43" s="12">
        <f t="shared" si="19"/>
        <v>7137576.8245333359</v>
      </c>
      <c r="AI43" s="12">
        <v>13156</v>
      </c>
      <c r="AJ43" s="12">
        <v>2976</v>
      </c>
      <c r="AK43" s="12">
        <f t="shared" si="20"/>
        <v>5304</v>
      </c>
      <c r="AL43" s="18">
        <f t="shared" si="55"/>
        <v>2.5000000000000001E-2</v>
      </c>
      <c r="AM43" s="18">
        <f t="shared" si="21"/>
        <v>0.4</v>
      </c>
      <c r="AN43" s="12">
        <f t="shared" si="22"/>
        <v>197340</v>
      </c>
      <c r="AO43" s="12">
        <f t="shared" si="23"/>
        <v>78936</v>
      </c>
      <c r="AP43" s="12">
        <v>0.34</v>
      </c>
      <c r="AQ43" s="12">
        <f t="shared" si="24"/>
        <v>295966.14666666673</v>
      </c>
      <c r="BB43" s="12"/>
      <c r="BC43" s="12"/>
      <c r="BD43" s="12"/>
      <c r="BE43" s="12"/>
      <c r="BF43" s="12"/>
      <c r="BG43" s="12"/>
    </row>
    <row r="44" spans="1:59" x14ac:dyDescent="0.2">
      <c r="B44" t="s">
        <v>43</v>
      </c>
      <c r="C44">
        <v>1550000</v>
      </c>
      <c r="D44">
        <f t="shared" si="6"/>
        <v>2213400</v>
      </c>
      <c r="E44" s="6">
        <v>3787219</v>
      </c>
      <c r="F44" s="6">
        <f t="shared" si="7"/>
        <v>37792.749294255998</v>
      </c>
      <c r="G44">
        <f t="shared" si="25"/>
        <v>37515.047061632868</v>
      </c>
      <c r="H44" s="12">
        <f>660*0.404686*1000</f>
        <v>267092.76</v>
      </c>
      <c r="I44" s="12">
        <v>2472</v>
      </c>
      <c r="J44" s="12">
        <v>6000</v>
      </c>
      <c r="K44" s="18">
        <f t="shared" si="51"/>
        <v>2.5000000000000001E-2</v>
      </c>
      <c r="L44" s="18">
        <f t="shared" si="8"/>
        <v>0.4</v>
      </c>
      <c r="M44" s="18">
        <v>1</v>
      </c>
      <c r="N44">
        <f t="shared" si="50"/>
        <v>2131400.2248</v>
      </c>
      <c r="O44">
        <f t="shared" si="9"/>
        <v>852560.08992000006</v>
      </c>
      <c r="P44">
        <f t="shared" si="52"/>
        <v>50215789.296287999</v>
      </c>
      <c r="Q44" s="12">
        <f>3130*0.404686*1000</f>
        <v>1266667.18</v>
      </c>
      <c r="R44" s="12">
        <v>3408</v>
      </c>
      <c r="S44" s="12">
        <v>7032</v>
      </c>
      <c r="T44" s="18">
        <f t="shared" si="53"/>
        <v>2.5000000000000001E-2</v>
      </c>
      <c r="U44" s="18">
        <f t="shared" si="10"/>
        <v>0.17998560115190784</v>
      </c>
      <c r="V44" s="12">
        <f t="shared" si="11"/>
        <v>726907.70050423255</v>
      </c>
      <c r="W44" s="12">
        <f t="shared" si="12"/>
        <v>130832.91945720528</v>
      </c>
      <c r="X44" s="12">
        <f t="shared" si="13"/>
        <v>0.6875</v>
      </c>
      <c r="Y44" s="12">
        <f t="shared" si="14"/>
        <v>944450.13733170042</v>
      </c>
      <c r="Z44" s="12">
        <v>0</v>
      </c>
      <c r="AA44" s="12">
        <v>2976</v>
      </c>
      <c r="AB44" s="12">
        <v>5304</v>
      </c>
      <c r="AC44" s="18">
        <f t="shared" si="54"/>
        <v>2.5000000000000001E-2</v>
      </c>
      <c r="AD44" s="18">
        <f t="shared" si="15"/>
        <v>0.30400000000000005</v>
      </c>
      <c r="AE44" s="12">
        <f t="shared" si="16"/>
        <v>0</v>
      </c>
      <c r="AF44" s="12">
        <f t="shared" si="17"/>
        <v>0</v>
      </c>
      <c r="AG44" s="12">
        <f t="shared" si="18"/>
        <v>0.34</v>
      </c>
      <c r="AH44" s="12">
        <f t="shared" si="19"/>
        <v>0</v>
      </c>
      <c r="AI44" s="12">
        <v>0</v>
      </c>
      <c r="AJ44" s="12">
        <v>2976</v>
      </c>
      <c r="AK44" s="12">
        <f t="shared" si="20"/>
        <v>5304</v>
      </c>
      <c r="AL44" s="18">
        <f t="shared" si="55"/>
        <v>2.5000000000000001E-2</v>
      </c>
      <c r="AM44" s="18">
        <f t="shared" si="21"/>
        <v>0.4</v>
      </c>
      <c r="AN44" s="12">
        <f t="shared" si="22"/>
        <v>0</v>
      </c>
      <c r="AO44" s="12">
        <f t="shared" si="23"/>
        <v>0</v>
      </c>
      <c r="AP44" s="12">
        <v>0.34</v>
      </c>
      <c r="AQ44" s="12">
        <f t="shared" si="24"/>
        <v>0</v>
      </c>
      <c r="BB44" s="12"/>
      <c r="BC44" s="12"/>
      <c r="BD44" s="12"/>
      <c r="BE44" s="12"/>
      <c r="BF44" s="12"/>
      <c r="BG44" s="12"/>
    </row>
    <row r="45" spans="1:59" x14ac:dyDescent="0.2">
      <c r="B45" t="s">
        <v>44</v>
      </c>
      <c r="C45">
        <v>1400000</v>
      </c>
      <c r="D45">
        <f t="shared" si="6"/>
        <v>1999200.0000000002</v>
      </c>
      <c r="E45" s="6">
        <v>5928887</v>
      </c>
      <c r="F45" s="6">
        <f t="shared" si="7"/>
        <v>59164.505666287994</v>
      </c>
      <c r="G45">
        <f t="shared" si="25"/>
        <v>58729.763139681985</v>
      </c>
      <c r="H45" s="12">
        <f>590*0.404686*1000</f>
        <v>238764.74</v>
      </c>
      <c r="I45" s="13">
        <v>2088</v>
      </c>
      <c r="J45" s="12">
        <v>5592</v>
      </c>
      <c r="K45" s="18">
        <f t="shared" si="51"/>
        <v>2.5000000000000001E-2</v>
      </c>
      <c r="L45" s="18">
        <f t="shared" si="8"/>
        <v>0.4</v>
      </c>
      <c r="M45" s="18">
        <v>1</v>
      </c>
      <c r="N45">
        <f t="shared" si="50"/>
        <v>1905342.6252000001</v>
      </c>
      <c r="O45">
        <f t="shared" si="9"/>
        <v>762137.05008000007</v>
      </c>
      <c r="P45">
        <f t="shared" si="52"/>
        <v>44889872.249712005</v>
      </c>
      <c r="Q45" s="12">
        <f>1230*0.404686*1000</f>
        <v>497763.77999999997</v>
      </c>
      <c r="R45" s="12">
        <v>3168</v>
      </c>
      <c r="S45" s="12">
        <v>6504</v>
      </c>
      <c r="T45" s="18">
        <f t="shared" si="53"/>
        <v>2.5000000000000001E-2</v>
      </c>
      <c r="U45" s="18">
        <f t="shared" si="10"/>
        <v>0.17998560115190784</v>
      </c>
      <c r="V45" s="12">
        <f t="shared" si="11"/>
        <v>285653.82479878789</v>
      </c>
      <c r="W45" s="12">
        <f t="shared" si="12"/>
        <v>51413.5753777516</v>
      </c>
      <c r="X45" s="12">
        <f t="shared" si="13"/>
        <v>0.6875</v>
      </c>
      <c r="Y45" s="12">
        <f t="shared" si="14"/>
        <v>371141.74725814426</v>
      </c>
      <c r="Z45" s="12">
        <v>19795</v>
      </c>
      <c r="AA45" s="12">
        <v>2976</v>
      </c>
      <c r="AB45" s="12">
        <v>5304</v>
      </c>
      <c r="AC45" s="18">
        <f t="shared" si="54"/>
        <v>2.5000000000000001E-2</v>
      </c>
      <c r="AD45" s="18">
        <f t="shared" si="15"/>
        <v>0.30400000000000005</v>
      </c>
      <c r="AE45" s="12">
        <f t="shared" si="16"/>
        <v>197950</v>
      </c>
      <c r="AF45" s="12">
        <f t="shared" si="17"/>
        <v>60176.80000000001</v>
      </c>
      <c r="AG45" s="12">
        <f t="shared" si="18"/>
        <v>0.34</v>
      </c>
      <c r="AH45" s="12">
        <f t="shared" si="19"/>
        <v>225629.56844444451</v>
      </c>
      <c r="AI45" s="12">
        <v>84240</v>
      </c>
      <c r="AJ45" s="12">
        <v>2976</v>
      </c>
      <c r="AK45" s="12">
        <f t="shared" si="20"/>
        <v>5304</v>
      </c>
      <c r="AL45" s="18">
        <f t="shared" si="55"/>
        <v>2.5000000000000001E-2</v>
      </c>
      <c r="AM45" s="18">
        <f t="shared" si="21"/>
        <v>0.4</v>
      </c>
      <c r="AN45" s="12">
        <f t="shared" si="22"/>
        <v>1263600</v>
      </c>
      <c r="AO45" s="12">
        <f t="shared" si="23"/>
        <v>505440</v>
      </c>
      <c r="AP45" s="12">
        <v>0.34</v>
      </c>
      <c r="AQ45" s="12">
        <f t="shared" si="24"/>
        <v>1895119.2000000002</v>
      </c>
      <c r="BB45" s="12"/>
      <c r="BC45" s="12"/>
      <c r="BD45" s="12"/>
      <c r="BE45" s="12"/>
      <c r="BF45" s="12"/>
      <c r="BG45" s="12"/>
    </row>
    <row r="46" spans="1:59" x14ac:dyDescent="0.2">
      <c r="B46" t="s">
        <v>45</v>
      </c>
      <c r="C46">
        <v>2300000</v>
      </c>
      <c r="D46">
        <f t="shared" si="6"/>
        <v>3284400.0000000005</v>
      </c>
      <c r="E46" s="6">
        <v>3773856</v>
      </c>
      <c r="F46" s="6">
        <f t="shared" si="7"/>
        <v>37659.399596543997</v>
      </c>
      <c r="G46">
        <f t="shared" si="25"/>
        <v>37382.677221419079</v>
      </c>
      <c r="H46" s="12">
        <f>900*0.404686*1000</f>
        <v>364217.4</v>
      </c>
      <c r="I46" s="13">
        <v>2376</v>
      </c>
      <c r="J46" s="12">
        <v>6000</v>
      </c>
      <c r="K46" s="18">
        <f t="shared" si="51"/>
        <v>2.5000000000000001E-2</v>
      </c>
      <c r="L46" s="18">
        <f t="shared" si="8"/>
        <v>0.4</v>
      </c>
      <c r="M46" s="18">
        <v>1</v>
      </c>
      <c r="N46">
        <f t="shared" si="50"/>
        <v>2906454.8520000004</v>
      </c>
      <c r="O46">
        <f t="shared" si="9"/>
        <v>1162581.9408000002</v>
      </c>
      <c r="P46">
        <f t="shared" si="52"/>
        <v>68476076.313120008</v>
      </c>
      <c r="Q46" s="12">
        <f>2040*0.404686*1000</f>
        <v>825559.44</v>
      </c>
      <c r="R46" s="12">
        <v>3168</v>
      </c>
      <c r="S46" s="12">
        <v>6696</v>
      </c>
      <c r="T46" s="18">
        <f t="shared" si="53"/>
        <v>2.5000000000000001E-2</v>
      </c>
      <c r="U46" s="18">
        <f t="shared" si="10"/>
        <v>0.17998560115190784</v>
      </c>
      <c r="V46" s="12">
        <f t="shared" si="11"/>
        <v>473767.31917847745</v>
      </c>
      <c r="W46" s="12">
        <f t="shared" si="12"/>
        <v>85271.295748466058</v>
      </c>
      <c r="X46" s="12">
        <f t="shared" si="13"/>
        <v>0.6875</v>
      </c>
      <c r="Y46" s="12">
        <f t="shared" si="14"/>
        <v>615552.16618423921</v>
      </c>
      <c r="Z46" s="12">
        <v>66520</v>
      </c>
      <c r="AA46" s="12">
        <v>2976</v>
      </c>
      <c r="AB46" s="12">
        <v>5304</v>
      </c>
      <c r="AC46" s="18">
        <f t="shared" si="54"/>
        <v>2.5000000000000001E-2</v>
      </c>
      <c r="AD46" s="18">
        <f t="shared" si="15"/>
        <v>0.30400000000000005</v>
      </c>
      <c r="AE46" s="12">
        <f t="shared" si="16"/>
        <v>665200</v>
      </c>
      <c r="AF46" s="12">
        <f t="shared" si="17"/>
        <v>202220.80000000002</v>
      </c>
      <c r="AG46" s="12">
        <f t="shared" si="18"/>
        <v>0.34</v>
      </c>
      <c r="AH46" s="12">
        <f t="shared" si="19"/>
        <v>758215.65511111135</v>
      </c>
      <c r="AI46" s="12">
        <v>288460</v>
      </c>
      <c r="AJ46" s="12">
        <v>2976</v>
      </c>
      <c r="AK46" s="12">
        <f t="shared" si="20"/>
        <v>5304</v>
      </c>
      <c r="AL46" s="18">
        <f t="shared" si="55"/>
        <v>2.5000000000000001E-2</v>
      </c>
      <c r="AM46" s="18">
        <f t="shared" si="21"/>
        <v>0.4</v>
      </c>
      <c r="AN46" s="12">
        <f t="shared" si="22"/>
        <v>4326900</v>
      </c>
      <c r="AO46" s="12">
        <f t="shared" si="23"/>
        <v>1730760</v>
      </c>
      <c r="AP46" s="12">
        <v>0.34</v>
      </c>
      <c r="AQ46" s="12">
        <f t="shared" si="24"/>
        <v>6489388.4666666677</v>
      </c>
      <c r="BB46" s="12"/>
      <c r="BC46" s="12"/>
      <c r="BD46" s="12"/>
      <c r="BE46" s="12"/>
      <c r="BF46" s="12"/>
      <c r="BG46" s="12"/>
    </row>
    <row r="47" spans="1:59" x14ac:dyDescent="0.2">
      <c r="B47" t="s">
        <v>46</v>
      </c>
      <c r="C47">
        <v>800000</v>
      </c>
      <c r="D47">
        <f t="shared" si="6"/>
        <v>1142400</v>
      </c>
      <c r="E47" s="6">
        <v>5619413</v>
      </c>
      <c r="F47" s="6">
        <f t="shared" si="7"/>
        <v>56076.257192912002</v>
      </c>
      <c r="G47">
        <f t="shared" si="25"/>
        <v>55664.207206858518</v>
      </c>
      <c r="H47" s="12">
        <f>1500*0.404686*1000</f>
        <v>607029</v>
      </c>
      <c r="I47" s="13">
        <v>2832</v>
      </c>
      <c r="J47" s="12">
        <v>6552</v>
      </c>
      <c r="K47" s="18">
        <f t="shared" si="51"/>
        <v>2.5000000000000001E-2</v>
      </c>
      <c r="L47" s="18">
        <f t="shared" si="8"/>
        <v>0.4</v>
      </c>
      <c r="M47" s="18">
        <v>1</v>
      </c>
      <c r="N47">
        <f t="shared" si="50"/>
        <v>4844091.42</v>
      </c>
      <c r="O47">
        <f t="shared" si="9"/>
        <v>1937636.568</v>
      </c>
      <c r="P47">
        <f t="shared" si="52"/>
        <v>114126793.85519999</v>
      </c>
      <c r="Q47" s="12">
        <f>1790*0.404686*1000</f>
        <v>724387.94</v>
      </c>
      <c r="R47" s="12">
        <v>3768</v>
      </c>
      <c r="S47" s="12">
        <v>7176</v>
      </c>
      <c r="T47" s="18">
        <f t="shared" si="53"/>
        <v>2.5000000000000001E-2</v>
      </c>
      <c r="U47" s="18">
        <f t="shared" si="10"/>
        <v>0.17998560115190784</v>
      </c>
      <c r="V47" s="12">
        <f t="shared" si="11"/>
        <v>415707.59869091894</v>
      </c>
      <c r="W47" s="12">
        <f t="shared" si="12"/>
        <v>74821.382053801106</v>
      </c>
      <c r="X47" s="12">
        <f t="shared" si="13"/>
        <v>0.6875</v>
      </c>
      <c r="Y47" s="12">
        <f t="shared" si="14"/>
        <v>540116.85170087661</v>
      </c>
      <c r="Z47" s="12">
        <v>124220</v>
      </c>
      <c r="AA47" s="12">
        <v>2976</v>
      </c>
      <c r="AB47" s="12">
        <v>5304</v>
      </c>
      <c r="AC47" s="18">
        <f t="shared" si="54"/>
        <v>2.5000000000000001E-2</v>
      </c>
      <c r="AD47" s="18">
        <f t="shared" si="15"/>
        <v>0.30400000000000005</v>
      </c>
      <c r="AE47" s="12">
        <f t="shared" si="16"/>
        <v>1242200</v>
      </c>
      <c r="AF47" s="12">
        <f t="shared" si="17"/>
        <v>377628.80000000005</v>
      </c>
      <c r="AG47" s="12">
        <f t="shared" si="18"/>
        <v>0.34</v>
      </c>
      <c r="AH47" s="12">
        <f t="shared" si="19"/>
        <v>1415898.2062222227</v>
      </c>
      <c r="AI47" s="12">
        <v>3985</v>
      </c>
      <c r="AJ47" s="12">
        <v>2976</v>
      </c>
      <c r="AK47" s="12">
        <f t="shared" si="20"/>
        <v>5304</v>
      </c>
      <c r="AL47" s="18">
        <f t="shared" si="55"/>
        <v>2.5000000000000001E-2</v>
      </c>
      <c r="AM47" s="18">
        <f t="shared" si="21"/>
        <v>0.4</v>
      </c>
      <c r="AN47" s="12">
        <f t="shared" si="22"/>
        <v>59775</v>
      </c>
      <c r="AO47" s="12">
        <f t="shared" si="23"/>
        <v>23910</v>
      </c>
      <c r="AP47" s="12">
        <v>0.34</v>
      </c>
      <c r="AQ47" s="12">
        <f t="shared" si="24"/>
        <v>89649.216666666674</v>
      </c>
      <c r="BB47" s="12"/>
      <c r="BC47" s="12"/>
      <c r="BD47" s="12"/>
      <c r="BE47" s="12"/>
      <c r="BF47" s="12"/>
      <c r="BG47" s="12"/>
    </row>
    <row r="48" spans="1:59" x14ac:dyDescent="0.2">
      <c r="B48" t="s">
        <v>47</v>
      </c>
      <c r="C48">
        <v>1100000</v>
      </c>
      <c r="D48">
        <f t="shared" si="6"/>
        <v>1570799.9999999998</v>
      </c>
      <c r="E48" s="6">
        <v>8471210</v>
      </c>
      <c r="F48" s="6">
        <f t="shared" si="7"/>
        <v>84534.407899040001</v>
      </c>
      <c r="G48">
        <f t="shared" si="25"/>
        <v>83913.246585152578</v>
      </c>
      <c r="H48" s="12">
        <f>950*0.404686*1000</f>
        <v>384451.7</v>
      </c>
      <c r="I48" s="13">
        <v>2688</v>
      </c>
      <c r="J48" s="12">
        <v>6312</v>
      </c>
      <c r="K48" s="18">
        <f t="shared" si="51"/>
        <v>2.5000000000000001E-2</v>
      </c>
      <c r="L48" s="18">
        <f t="shared" si="8"/>
        <v>0.4</v>
      </c>
      <c r="M48" s="18">
        <v>1</v>
      </c>
      <c r="N48">
        <f t="shared" si="50"/>
        <v>3067924.5660000001</v>
      </c>
      <c r="O48">
        <f t="shared" si="9"/>
        <v>1227169.8264000001</v>
      </c>
      <c r="P48">
        <f t="shared" si="52"/>
        <v>72280302.774960011</v>
      </c>
      <c r="Q48" s="12">
        <f>1660*0.404686*1000</f>
        <v>671778.76</v>
      </c>
      <c r="R48" s="12">
        <v>3720</v>
      </c>
      <c r="S48" s="12">
        <v>7200</v>
      </c>
      <c r="T48" s="18">
        <f t="shared" si="53"/>
        <v>2.5000000000000001E-2</v>
      </c>
      <c r="U48" s="18">
        <f t="shared" si="10"/>
        <v>0.17998560115190784</v>
      </c>
      <c r="V48" s="12">
        <f t="shared" si="11"/>
        <v>385516.54403738852</v>
      </c>
      <c r="W48" s="12">
        <f t="shared" si="12"/>
        <v>69387.426932575327</v>
      </c>
      <c r="X48" s="12">
        <f t="shared" si="13"/>
        <v>0.6875</v>
      </c>
      <c r="Y48" s="12">
        <f t="shared" si="14"/>
        <v>500890.48816952808</v>
      </c>
      <c r="Z48" s="12">
        <v>99609</v>
      </c>
      <c r="AA48" s="12">
        <v>2976</v>
      </c>
      <c r="AB48" s="12">
        <v>5304</v>
      </c>
      <c r="AC48" s="18">
        <f t="shared" si="54"/>
        <v>2.5000000000000001E-2</v>
      </c>
      <c r="AD48" s="18">
        <f t="shared" si="15"/>
        <v>0.30400000000000005</v>
      </c>
      <c r="AE48" s="12">
        <f t="shared" si="16"/>
        <v>996090</v>
      </c>
      <c r="AF48" s="12">
        <f t="shared" si="17"/>
        <v>302811.36000000004</v>
      </c>
      <c r="AG48" s="12">
        <f t="shared" si="18"/>
        <v>0.34</v>
      </c>
      <c r="AH48" s="12">
        <f t="shared" si="19"/>
        <v>1135374.3714666672</v>
      </c>
      <c r="AI48" s="12">
        <v>15743</v>
      </c>
      <c r="AJ48" s="12">
        <v>2976</v>
      </c>
      <c r="AK48" s="12">
        <f t="shared" si="20"/>
        <v>5304</v>
      </c>
      <c r="AL48" s="18">
        <f t="shared" si="55"/>
        <v>2.5000000000000001E-2</v>
      </c>
      <c r="AM48" s="18">
        <f t="shared" si="21"/>
        <v>0.4</v>
      </c>
      <c r="AN48" s="12">
        <f t="shared" si="22"/>
        <v>236145</v>
      </c>
      <c r="AO48" s="12">
        <f t="shared" si="23"/>
        <v>94458</v>
      </c>
      <c r="AP48" s="12">
        <v>0.34</v>
      </c>
      <c r="AQ48" s="12">
        <f t="shared" si="24"/>
        <v>354165.02333333337</v>
      </c>
      <c r="BB48" s="12"/>
      <c r="BC48" s="12"/>
      <c r="BD48" s="12"/>
      <c r="BE48" s="12"/>
      <c r="BF48" s="12"/>
      <c r="BG48" s="12"/>
    </row>
    <row r="49" spans="1:59" x14ac:dyDescent="0.2">
      <c r="B49" t="s">
        <v>48</v>
      </c>
      <c r="C49">
        <v>2550000</v>
      </c>
      <c r="D49">
        <f t="shared" si="6"/>
        <v>3641399.9999999995</v>
      </c>
      <c r="E49" s="6">
        <v>6154143</v>
      </c>
      <c r="F49" s="6">
        <f t="shared" si="7"/>
        <v>61412.340696431995</v>
      </c>
      <c r="G49">
        <f t="shared" si="25"/>
        <v>60961.081011955859</v>
      </c>
      <c r="H49" s="12">
        <f>290*0.404686*1000</f>
        <v>117358.94</v>
      </c>
      <c r="I49" s="12">
        <v>2376</v>
      </c>
      <c r="J49" s="12">
        <v>5784</v>
      </c>
      <c r="K49" s="18">
        <f t="shared" si="51"/>
        <v>2.5000000000000001E-2</v>
      </c>
      <c r="L49" s="18">
        <f t="shared" si="8"/>
        <v>0.4</v>
      </c>
      <c r="M49" s="18">
        <v>1</v>
      </c>
      <c r="N49">
        <f t="shared" si="50"/>
        <v>936524.34120000002</v>
      </c>
      <c r="O49">
        <f t="shared" si="9"/>
        <v>374609.73648000002</v>
      </c>
      <c r="P49">
        <f t="shared" si="52"/>
        <v>22064513.478672002</v>
      </c>
      <c r="Q49" s="12">
        <f>420*0.404686*1000</f>
        <v>169968.12</v>
      </c>
      <c r="R49" s="12">
        <v>3840</v>
      </c>
      <c r="S49" s="12">
        <v>7584</v>
      </c>
      <c r="T49" s="18">
        <f t="shared" si="53"/>
        <v>2.5000000000000001E-2</v>
      </c>
      <c r="U49" s="18">
        <f t="shared" si="10"/>
        <v>0.17998560115190784</v>
      </c>
      <c r="V49" s="12">
        <f t="shared" si="11"/>
        <v>97540.330419098304</v>
      </c>
      <c r="W49" s="12">
        <f t="shared" si="12"/>
        <v>17555.855007037131</v>
      </c>
      <c r="X49" s="12">
        <f t="shared" si="13"/>
        <v>0.6875</v>
      </c>
      <c r="Y49" s="12">
        <f t="shared" si="14"/>
        <v>126731.32833204928</v>
      </c>
      <c r="Z49" s="12">
        <v>61597</v>
      </c>
      <c r="AA49" s="12">
        <v>2976</v>
      </c>
      <c r="AB49" s="12">
        <v>5304</v>
      </c>
      <c r="AC49" s="18">
        <f t="shared" si="54"/>
        <v>2.5000000000000001E-2</v>
      </c>
      <c r="AD49" s="18">
        <f t="shared" si="15"/>
        <v>0.30400000000000005</v>
      </c>
      <c r="AE49" s="12">
        <f t="shared" si="16"/>
        <v>615970</v>
      </c>
      <c r="AF49" s="12">
        <f t="shared" si="17"/>
        <v>187254.88000000003</v>
      </c>
      <c r="AG49" s="12">
        <f t="shared" si="18"/>
        <v>0.34</v>
      </c>
      <c r="AH49" s="12">
        <f t="shared" si="19"/>
        <v>702101.76951111131</v>
      </c>
      <c r="AI49" s="12">
        <v>145954</v>
      </c>
      <c r="AJ49" s="12">
        <v>2976</v>
      </c>
      <c r="AK49" s="12">
        <f t="shared" si="20"/>
        <v>5304</v>
      </c>
      <c r="AL49" s="18">
        <f t="shared" si="55"/>
        <v>2.5000000000000001E-2</v>
      </c>
      <c r="AM49" s="18">
        <f t="shared" si="21"/>
        <v>0.4</v>
      </c>
      <c r="AN49" s="12">
        <f t="shared" si="22"/>
        <v>2189310</v>
      </c>
      <c r="AO49" s="12">
        <f t="shared" si="23"/>
        <v>875724</v>
      </c>
      <c r="AP49" s="12">
        <v>0.34</v>
      </c>
      <c r="AQ49" s="12">
        <f t="shared" si="24"/>
        <v>3283478.4866666673</v>
      </c>
      <c r="BB49" s="12"/>
      <c r="BC49" s="12"/>
      <c r="BD49" s="12"/>
      <c r="BE49" s="12"/>
      <c r="BF49" s="12"/>
      <c r="BG49" s="12"/>
    </row>
    <row r="50" spans="1:59" x14ac:dyDescent="0.2">
      <c r="B50" t="s">
        <v>50</v>
      </c>
      <c r="C50">
        <v>1550000</v>
      </c>
      <c r="D50">
        <f t="shared" si="6"/>
        <v>2213400</v>
      </c>
      <c r="E50" s="6">
        <v>12956117</v>
      </c>
      <c r="F50" s="6">
        <f t="shared" si="7"/>
        <v>129289.402489808</v>
      </c>
      <c r="G50">
        <f t="shared" si="25"/>
        <v>128339.38016022352</v>
      </c>
      <c r="H50" s="12">
        <f>900*0.404686*1000</f>
        <v>364217.4</v>
      </c>
      <c r="I50" s="12">
        <v>2568</v>
      </c>
      <c r="J50" s="12">
        <v>6408</v>
      </c>
      <c r="K50" s="18">
        <f t="shared" si="51"/>
        <v>2.5000000000000001E-2</v>
      </c>
      <c r="L50" s="18">
        <f t="shared" si="8"/>
        <v>0.4</v>
      </c>
      <c r="M50" s="18">
        <v>1</v>
      </c>
      <c r="N50">
        <f t="shared" si="50"/>
        <v>2906454.8520000004</v>
      </c>
      <c r="O50">
        <f t="shared" si="9"/>
        <v>1162581.9408000002</v>
      </c>
      <c r="P50">
        <f t="shared" si="52"/>
        <v>68476076.313120008</v>
      </c>
      <c r="Q50" s="12">
        <f>1690*0.404686*1000</f>
        <v>683919.34000000008</v>
      </c>
      <c r="R50" s="12">
        <v>3840</v>
      </c>
      <c r="S50" s="12">
        <v>7800</v>
      </c>
      <c r="T50" s="18">
        <f t="shared" si="53"/>
        <v>2.5000000000000001E-2</v>
      </c>
      <c r="U50" s="18">
        <f t="shared" si="10"/>
        <v>0.17998560115190784</v>
      </c>
      <c r="V50" s="12">
        <f t="shared" si="11"/>
        <v>392483.71049589559</v>
      </c>
      <c r="W50" s="12">
        <f t="shared" si="12"/>
        <v>70641.416575935131</v>
      </c>
      <c r="X50" s="12">
        <f t="shared" si="13"/>
        <v>0.6875</v>
      </c>
      <c r="Y50" s="12">
        <f t="shared" si="14"/>
        <v>509942.72590753163</v>
      </c>
      <c r="Z50" s="12">
        <v>11219</v>
      </c>
      <c r="AA50" s="12">
        <v>2976</v>
      </c>
      <c r="AB50" s="12">
        <v>5304</v>
      </c>
      <c r="AC50" s="18">
        <f t="shared" si="54"/>
        <v>2.5000000000000001E-2</v>
      </c>
      <c r="AD50" s="18">
        <f t="shared" si="15"/>
        <v>0.30400000000000005</v>
      </c>
      <c r="AE50" s="12">
        <f t="shared" si="16"/>
        <v>112190</v>
      </c>
      <c r="AF50" s="12">
        <f t="shared" si="17"/>
        <v>34105.760000000002</v>
      </c>
      <c r="AG50" s="12">
        <f t="shared" si="18"/>
        <v>0.34</v>
      </c>
      <c r="AH50" s="12">
        <f t="shared" si="19"/>
        <v>127877.65235555558</v>
      </c>
      <c r="AI50" s="12">
        <v>27514</v>
      </c>
      <c r="AJ50" s="12">
        <v>2976</v>
      </c>
      <c r="AK50" s="12">
        <f t="shared" si="20"/>
        <v>5304</v>
      </c>
      <c r="AL50" s="18">
        <f t="shared" si="55"/>
        <v>2.5000000000000001E-2</v>
      </c>
      <c r="AM50" s="18">
        <f t="shared" si="21"/>
        <v>0.4</v>
      </c>
      <c r="AN50" s="12">
        <f t="shared" si="22"/>
        <v>412710</v>
      </c>
      <c r="AO50" s="12">
        <f t="shared" si="23"/>
        <v>165084</v>
      </c>
      <c r="AP50" s="12">
        <v>0.34</v>
      </c>
      <c r="AQ50" s="12">
        <f t="shared" si="24"/>
        <v>618973.28666666674</v>
      </c>
      <c r="BB50" s="12"/>
      <c r="BC50" s="12"/>
      <c r="BD50" s="12"/>
      <c r="BE50" s="12"/>
      <c r="BF50" s="12"/>
      <c r="BG50" s="12"/>
    </row>
    <row r="51" spans="1:59" x14ac:dyDescent="0.2">
      <c r="B51" t="s">
        <v>51</v>
      </c>
      <c r="C51">
        <v>1000000</v>
      </c>
      <c r="D51">
        <f t="shared" si="6"/>
        <v>1428000</v>
      </c>
      <c r="E51" s="6">
        <v>6349499</v>
      </c>
      <c r="F51" s="6">
        <f t="shared" si="7"/>
        <v>63361.802908975995</v>
      </c>
      <c r="G51">
        <f t="shared" si="25"/>
        <v>62896.218518863257</v>
      </c>
      <c r="H51" s="12">
        <f>350*0.404686*1000</f>
        <v>141640.09999999998</v>
      </c>
      <c r="I51" s="12">
        <v>2256</v>
      </c>
      <c r="J51" s="12">
        <v>6000</v>
      </c>
      <c r="K51" s="18">
        <f t="shared" si="51"/>
        <v>2.5000000000000001E-2</v>
      </c>
      <c r="L51" s="18">
        <f t="shared" si="8"/>
        <v>0.4</v>
      </c>
      <c r="M51" s="18">
        <v>1</v>
      </c>
      <c r="N51">
        <f t="shared" si="50"/>
        <v>1130287.9979999999</v>
      </c>
      <c r="O51">
        <f t="shared" si="9"/>
        <v>452115.19919999997</v>
      </c>
      <c r="P51">
        <f t="shared" si="52"/>
        <v>26629585.232879996</v>
      </c>
      <c r="Q51" s="12">
        <f>420*0.404686*1000</f>
        <v>169968.12</v>
      </c>
      <c r="R51" s="12">
        <v>3888</v>
      </c>
      <c r="S51" s="12">
        <v>7872</v>
      </c>
      <c r="T51" s="18">
        <f t="shared" si="53"/>
        <v>2.5000000000000001E-2</v>
      </c>
      <c r="U51" s="18">
        <f t="shared" si="10"/>
        <v>0.17998560115190784</v>
      </c>
      <c r="V51" s="12">
        <f t="shared" si="11"/>
        <v>97540.330419098304</v>
      </c>
      <c r="W51" s="12">
        <f t="shared" si="12"/>
        <v>17555.855007037131</v>
      </c>
      <c r="X51" s="12">
        <f t="shared" si="13"/>
        <v>0.6875</v>
      </c>
      <c r="Y51" s="12">
        <f t="shared" si="14"/>
        <v>126731.32833204928</v>
      </c>
      <c r="Z51" s="12">
        <v>9740</v>
      </c>
      <c r="AA51" s="12">
        <v>2976</v>
      </c>
      <c r="AB51" s="12">
        <v>5304</v>
      </c>
      <c r="AC51" s="18">
        <f t="shared" si="54"/>
        <v>2.5000000000000001E-2</v>
      </c>
      <c r="AD51" s="18">
        <f t="shared" si="15"/>
        <v>0.30400000000000005</v>
      </c>
      <c r="AE51" s="12">
        <f t="shared" si="16"/>
        <v>97400</v>
      </c>
      <c r="AF51" s="12">
        <f t="shared" si="17"/>
        <v>29609.600000000006</v>
      </c>
      <c r="AG51" s="12">
        <f t="shared" si="18"/>
        <v>0.34</v>
      </c>
      <c r="AH51" s="12">
        <f t="shared" si="19"/>
        <v>111019.55022222226</v>
      </c>
      <c r="AI51" s="12">
        <v>68974</v>
      </c>
      <c r="AJ51" s="12">
        <v>2976</v>
      </c>
      <c r="AK51" s="12">
        <f t="shared" si="20"/>
        <v>5304</v>
      </c>
      <c r="AL51" s="18">
        <f t="shared" si="55"/>
        <v>2.5000000000000001E-2</v>
      </c>
      <c r="AM51" s="18">
        <f t="shared" si="21"/>
        <v>0.4</v>
      </c>
      <c r="AN51" s="12">
        <f t="shared" si="22"/>
        <v>1034610</v>
      </c>
      <c r="AO51" s="12">
        <f t="shared" si="23"/>
        <v>413844</v>
      </c>
      <c r="AP51" s="12">
        <v>0.34</v>
      </c>
      <c r="AQ51" s="12">
        <f t="shared" si="24"/>
        <v>1551685.0866666669</v>
      </c>
      <c r="BB51" s="12"/>
      <c r="BC51" s="12"/>
      <c r="BD51" s="12"/>
      <c r="BE51" s="12"/>
      <c r="BF51" s="12"/>
      <c r="BG51" s="12"/>
    </row>
    <row r="52" spans="1:59" x14ac:dyDescent="0.2">
      <c r="B52" t="s">
        <v>52</v>
      </c>
      <c r="C52">
        <v>2000000</v>
      </c>
      <c r="D52">
        <f t="shared" si="6"/>
        <v>2856000</v>
      </c>
      <c r="E52" s="6">
        <v>13161925</v>
      </c>
      <c r="F52" s="6">
        <f t="shared" si="7"/>
        <v>131343.1654612</v>
      </c>
      <c r="G52">
        <f t="shared" si="25"/>
        <v>130378.05202093731</v>
      </c>
      <c r="H52" s="12">
        <f>340*0.404686*1000</f>
        <v>137593.24000000002</v>
      </c>
      <c r="I52" s="12">
        <v>2304</v>
      </c>
      <c r="J52" s="12">
        <v>5904</v>
      </c>
      <c r="K52" s="18">
        <f t="shared" si="51"/>
        <v>2.5000000000000001E-2</v>
      </c>
      <c r="L52" s="18">
        <f t="shared" si="8"/>
        <v>0.4</v>
      </c>
      <c r="M52" s="18">
        <v>1</v>
      </c>
      <c r="N52">
        <f t="shared" si="50"/>
        <v>1097994.0552000003</v>
      </c>
      <c r="O52">
        <f t="shared" si="9"/>
        <v>439197.62208000012</v>
      </c>
      <c r="P52">
        <f t="shared" si="52"/>
        <v>25868739.940512005</v>
      </c>
      <c r="Q52" s="12">
        <f>260*0.404686*1000</f>
        <v>105218.36</v>
      </c>
      <c r="R52" s="12">
        <v>3744</v>
      </c>
      <c r="S52" s="12">
        <v>7680</v>
      </c>
      <c r="T52" s="18">
        <f t="shared" si="53"/>
        <v>2.5000000000000001E-2</v>
      </c>
      <c r="U52" s="18">
        <f t="shared" si="10"/>
        <v>0.17998560115190784</v>
      </c>
      <c r="V52" s="12">
        <f t="shared" si="11"/>
        <v>60382.109307060855</v>
      </c>
      <c r="W52" s="12">
        <f t="shared" si="12"/>
        <v>10867.910242451557</v>
      </c>
      <c r="X52" s="12">
        <f t="shared" si="13"/>
        <v>0.6875</v>
      </c>
      <c r="Y52" s="12">
        <f t="shared" si="14"/>
        <v>78452.727062697159</v>
      </c>
      <c r="Z52" s="12">
        <v>7394</v>
      </c>
      <c r="AA52" s="12">
        <v>2976</v>
      </c>
      <c r="AB52" s="12">
        <v>5304</v>
      </c>
      <c r="AC52" s="18">
        <f t="shared" si="54"/>
        <v>2.5000000000000001E-2</v>
      </c>
      <c r="AD52" s="18">
        <f t="shared" si="15"/>
        <v>0.30400000000000005</v>
      </c>
      <c r="AE52" s="12">
        <f t="shared" si="16"/>
        <v>73940</v>
      </c>
      <c r="AF52" s="12">
        <f t="shared" si="17"/>
        <v>22477.760000000002</v>
      </c>
      <c r="AG52" s="12">
        <f t="shared" si="18"/>
        <v>0.34</v>
      </c>
      <c r="AH52" s="12">
        <f t="shared" si="19"/>
        <v>84279.112355555568</v>
      </c>
      <c r="AI52" s="12">
        <v>129891</v>
      </c>
      <c r="AJ52" s="12">
        <v>2976</v>
      </c>
      <c r="AK52" s="12">
        <f t="shared" si="20"/>
        <v>5304</v>
      </c>
      <c r="AL52" s="18">
        <f t="shared" si="55"/>
        <v>2.5000000000000001E-2</v>
      </c>
      <c r="AM52" s="18">
        <f t="shared" si="21"/>
        <v>0.4</v>
      </c>
      <c r="AN52" s="12">
        <f t="shared" si="22"/>
        <v>1948365</v>
      </c>
      <c r="AO52" s="12">
        <f t="shared" si="23"/>
        <v>779346</v>
      </c>
      <c r="AP52" s="12">
        <v>0.34</v>
      </c>
      <c r="AQ52" s="12">
        <f t="shared" si="24"/>
        <v>2922114.5300000003</v>
      </c>
      <c r="BB52" s="12"/>
      <c r="BC52" s="12"/>
      <c r="BD52" s="12"/>
      <c r="BE52" s="12"/>
      <c r="BF52" s="12"/>
      <c r="BG52" s="12"/>
    </row>
    <row r="53" spans="1:59" x14ac:dyDescent="0.2">
      <c r="B53" t="s">
        <v>53</v>
      </c>
      <c r="C53">
        <v>0</v>
      </c>
      <c r="D53">
        <f t="shared" si="6"/>
        <v>0</v>
      </c>
      <c r="E53" s="6">
        <v>26497226</v>
      </c>
      <c r="F53" s="6">
        <f t="shared" si="7"/>
        <v>264416.45418742398</v>
      </c>
      <c r="G53">
        <f t="shared" si="25"/>
        <v>262473.51431029523</v>
      </c>
      <c r="H53" s="12">
        <f>70*0.404686*1000</f>
        <v>28328.02</v>
      </c>
      <c r="I53" s="12">
        <v>2280</v>
      </c>
      <c r="J53" s="12">
        <v>5568</v>
      </c>
      <c r="K53" s="18">
        <f t="shared" si="51"/>
        <v>2.5000000000000001E-2</v>
      </c>
      <c r="L53" s="18">
        <f t="shared" si="8"/>
        <v>0.4</v>
      </c>
      <c r="M53" s="18">
        <v>1</v>
      </c>
      <c r="N53">
        <f t="shared" si="50"/>
        <v>226057.59960000002</v>
      </c>
      <c r="O53">
        <f t="shared" si="9"/>
        <v>90423.039840000012</v>
      </c>
      <c r="P53">
        <f t="shared" si="52"/>
        <v>5325917.0465760008</v>
      </c>
      <c r="Q53" s="12">
        <f>31*0.404686*1000</f>
        <v>12545.266</v>
      </c>
      <c r="R53" s="12">
        <v>3432</v>
      </c>
      <c r="S53" s="12">
        <v>7392</v>
      </c>
      <c r="T53" s="18">
        <f t="shared" si="53"/>
        <v>2.5000000000000001E-2</v>
      </c>
      <c r="U53" s="18">
        <f t="shared" si="10"/>
        <v>0.17998560115190784</v>
      </c>
      <c r="V53" s="12">
        <f t="shared" si="11"/>
        <v>7199.4053404572551</v>
      </c>
      <c r="W53" s="12">
        <f t="shared" si="12"/>
        <v>1295.7892981384548</v>
      </c>
      <c r="X53" s="12">
        <f t="shared" si="13"/>
        <v>0.6875</v>
      </c>
      <c r="Y53" s="12">
        <f t="shared" si="14"/>
        <v>9353.97899593697</v>
      </c>
      <c r="Z53" s="12">
        <v>2722</v>
      </c>
      <c r="AA53" s="12">
        <v>2976</v>
      </c>
      <c r="AB53" s="12">
        <v>5304</v>
      </c>
      <c r="AC53" s="18">
        <f t="shared" si="54"/>
        <v>2.5000000000000001E-2</v>
      </c>
      <c r="AD53" s="18">
        <f t="shared" si="15"/>
        <v>0.30400000000000005</v>
      </c>
      <c r="AE53" s="12">
        <f t="shared" si="16"/>
        <v>27220</v>
      </c>
      <c r="AF53" s="12">
        <f t="shared" si="17"/>
        <v>8274.880000000001</v>
      </c>
      <c r="AG53" s="12">
        <f t="shared" si="18"/>
        <v>0.34</v>
      </c>
      <c r="AH53" s="12">
        <f t="shared" si="19"/>
        <v>31026.202844444455</v>
      </c>
      <c r="AI53" s="12">
        <v>35548</v>
      </c>
      <c r="AJ53" s="12">
        <v>2976</v>
      </c>
      <c r="AK53" s="12">
        <f t="shared" si="20"/>
        <v>5304</v>
      </c>
      <c r="AL53" s="18">
        <f t="shared" si="55"/>
        <v>2.5000000000000001E-2</v>
      </c>
      <c r="AM53" s="18">
        <f t="shared" si="21"/>
        <v>0.4</v>
      </c>
      <c r="AN53" s="12">
        <f t="shared" si="22"/>
        <v>533220</v>
      </c>
      <c r="AO53" s="12">
        <f t="shared" si="23"/>
        <v>213288</v>
      </c>
      <c r="AP53" s="12">
        <v>0.34</v>
      </c>
      <c r="AQ53" s="12">
        <f t="shared" si="24"/>
        <v>799711.50666666671</v>
      </c>
      <c r="BB53" s="12"/>
      <c r="BC53" s="12"/>
      <c r="BD53" s="12"/>
      <c r="BE53" s="12"/>
      <c r="BF53" s="12"/>
      <c r="BG53" s="12"/>
    </row>
    <row r="54" spans="1:59" x14ac:dyDescent="0.2">
      <c r="A54">
        <v>4</v>
      </c>
      <c r="B54" t="s">
        <v>65</v>
      </c>
      <c r="F54" s="6"/>
      <c r="K54" s="18"/>
      <c r="L54" s="18"/>
      <c r="M54" s="18"/>
      <c r="P54">
        <f>58.9*O54</f>
        <v>0</v>
      </c>
      <c r="U54" s="18"/>
      <c r="Y54" s="12"/>
      <c r="AD54" s="18"/>
      <c r="AE54" s="12">
        <f>10*Z54</f>
        <v>0</v>
      </c>
      <c r="AF54" s="12">
        <f>AE54*AD54</f>
        <v>0</v>
      </c>
      <c r="AH54" s="12">
        <f>AG54*AF54*(39.7/3.6)</f>
        <v>0</v>
      </c>
      <c r="AM54" s="18"/>
      <c r="AN54" s="12">
        <f>15*AI54</f>
        <v>0</v>
      </c>
      <c r="AO54" s="12">
        <f>AN54*AM54</f>
        <v>0</v>
      </c>
      <c r="AQ54" s="12">
        <f>AP54*AO54*(39.7/3.6)</f>
        <v>0</v>
      </c>
      <c r="AR54" s="12">
        <v>100000</v>
      </c>
      <c r="AS54" s="12">
        <v>1</v>
      </c>
      <c r="AT54" s="12">
        <v>8760</v>
      </c>
      <c r="AU54" s="11">
        <f>$BD$13</f>
        <v>0.01</v>
      </c>
      <c r="AV54" s="11">
        <f>0.3/1</f>
        <v>0.3</v>
      </c>
      <c r="AW54" s="13">
        <f>1.3*AR54</f>
        <v>130000</v>
      </c>
      <c r="AX54" s="12">
        <f>AV54*AW54</f>
        <v>39000</v>
      </c>
      <c r="AY54" s="12">
        <f>2.2/3.2</f>
        <v>0.6875</v>
      </c>
      <c r="AZ54" s="12">
        <f>AY54*AX54*(37.8/3.6)</f>
        <v>281531.24999999994</v>
      </c>
      <c r="BA54" s="12">
        <f>(1-AY54)*AX54*37.8</f>
        <v>460687.49999999994</v>
      </c>
      <c r="BB54" s="12"/>
      <c r="BC54" s="12"/>
      <c r="BD54" s="12"/>
      <c r="BE54" s="12"/>
      <c r="BF54" s="12"/>
      <c r="BG54" s="12"/>
    </row>
    <row r="55" spans="1:59" s="16" customFormat="1" x14ac:dyDescent="0.2">
      <c r="A55" s="16" t="s">
        <v>85</v>
      </c>
      <c r="B55" s="12"/>
      <c r="C55" s="12">
        <f>SUM(C43:C53)</f>
        <v>15050000</v>
      </c>
      <c r="D55" s="19">
        <f t="shared" si="6"/>
        <v>21491400</v>
      </c>
      <c r="E55" s="8">
        <f>SUM(E43:E53)</f>
        <v>100416031</v>
      </c>
      <c r="F55" s="20">
        <f>SUM(F43:F53)</f>
        <v>1002053.9833337439</v>
      </c>
      <c r="G55" s="21">
        <f>(F55/3.5)*(37.8/3.6)*((44.91-30.05)/44.91)</f>
        <v>994690.86121171887</v>
      </c>
      <c r="H55" s="22">
        <f>SUM(H4:H53)</f>
        <v>72757281.881999999</v>
      </c>
      <c r="I55" s="22">
        <f>AVERAGE(I43:I53)</f>
        <v>2472</v>
      </c>
      <c r="J55" s="22">
        <f>AVERAGE(J43:J53)</f>
        <v>6069.818181818182</v>
      </c>
      <c r="K55" s="23">
        <f>AVERAGE(K43:K53)</f>
        <v>2.4999999999999998E-2</v>
      </c>
      <c r="L55" s="23">
        <f>AVERAGE(L43:L53)</f>
        <v>0.39999999999999997</v>
      </c>
      <c r="M55" s="23">
        <f>AVERAGE(M43:M53)</f>
        <v>1</v>
      </c>
      <c r="N55">
        <f t="shared" ref="N55" si="59">7.98*H55</f>
        <v>580603109.41835999</v>
      </c>
      <c r="O55">
        <f t="shared" si="9"/>
        <v>232241243.76734397</v>
      </c>
      <c r="P55">
        <f t="shared" si="52"/>
        <v>13679009257.896559</v>
      </c>
      <c r="Q55" s="14">
        <f>SUM(Q43:Q53)</f>
        <v>7394017.9059999995</v>
      </c>
      <c r="R55" s="14">
        <f>AVERAGE(R43:R53)</f>
        <v>3604.3636363636365</v>
      </c>
      <c r="S55" s="14">
        <f>AVERAGE(S43:S53)</f>
        <v>7267.636363636364</v>
      </c>
      <c r="T55" s="15">
        <f>AVERAGE(T43:T53)</f>
        <v>2.4999999999999998E-2</v>
      </c>
      <c r="U55" s="15">
        <f>AVERAGE(U43:U53)</f>
        <v>0.17998560115190784</v>
      </c>
      <c r="V55" s="12">
        <f t="shared" ref="V55" si="60">(1/36.74)*52.1*0.404686*Q55</f>
        <v>4243236.6121127261</v>
      </c>
      <c r="W55" s="12">
        <f t="shared" ref="W55" si="61">V55*U55</f>
        <v>763721.49246089382</v>
      </c>
      <c r="X55" s="14">
        <f>AVERAGE(X43:X53)</f>
        <v>0.6875</v>
      </c>
      <c r="Y55" s="12">
        <f t="shared" ref="Y55" si="62">X55*W55*(37.8/3.6)</f>
        <v>5513114.5237020766</v>
      </c>
      <c r="Z55" s="24">
        <f>SUM(Z43:Z53)</f>
        <v>1029012</v>
      </c>
      <c r="AA55" s="24">
        <f>AVERAGE(AA43:AA53)</f>
        <v>2976</v>
      </c>
      <c r="AB55" s="24">
        <f>AVERAGE(AB43:AB53)</f>
        <v>5304</v>
      </c>
      <c r="AC55" s="25">
        <f>AVERAGE(AC43:AC53)</f>
        <v>2.4999999999999998E-2</v>
      </c>
      <c r="AD55" s="25">
        <f>AVERAGE(AD43:AD53)</f>
        <v>0.3040000000000001</v>
      </c>
      <c r="AE55" s="12">
        <f t="shared" ref="AE55" si="63">10*Z55</f>
        <v>10290120</v>
      </c>
      <c r="AF55" s="12">
        <f t="shared" ref="AF55" si="64">AE55*AD55</f>
        <v>3128196.4800000009</v>
      </c>
      <c r="AG55" s="24">
        <f>AVERAGE(AG43:AG53)</f>
        <v>0.33999999999999991</v>
      </c>
      <c r="AH55" s="12">
        <f t="shared" ref="AH55" si="65">AG55*AF55*(39.7/3.6)</f>
        <v>11728998.913066667</v>
      </c>
      <c r="AI55" s="26">
        <f>SUM(AI43:AI53)</f>
        <v>813465</v>
      </c>
      <c r="AJ55" s="26">
        <f>AVERAGE(AJ43:AJ53)</f>
        <v>2976</v>
      </c>
      <c r="AK55" s="26">
        <f>AVERAGE(AK43:AK53)</f>
        <v>5304</v>
      </c>
      <c r="AL55" s="27">
        <f>AVERAGE(AL43:AL53)</f>
        <v>2.4999999999999998E-2</v>
      </c>
      <c r="AM55" s="27">
        <f>AVERAGE(AM43:AM53)</f>
        <v>0.39999999999999997</v>
      </c>
      <c r="AN55" s="12">
        <f t="shared" ref="AN55" si="66">15*AI55</f>
        <v>12201975</v>
      </c>
      <c r="AO55" s="12">
        <f t="shared" ref="AO55" si="67">AN55*AM55</f>
        <v>4880790</v>
      </c>
      <c r="AP55" s="26">
        <f>AVERAGE(AP43:AP53)</f>
        <v>0.33999999999999991</v>
      </c>
      <c r="AQ55" s="12">
        <f t="shared" si="24"/>
        <v>18300250.949999996</v>
      </c>
      <c r="AR55" s="17">
        <f>AR54</f>
        <v>100000</v>
      </c>
      <c r="AS55" s="17">
        <f>AS54</f>
        <v>1</v>
      </c>
      <c r="AT55" s="17">
        <f>AT54</f>
        <v>8760</v>
      </c>
      <c r="AU55" s="31">
        <f>AU54</f>
        <v>0.01</v>
      </c>
      <c r="AV55" s="31">
        <f>AV54</f>
        <v>0.3</v>
      </c>
      <c r="AW55" s="12"/>
      <c r="AX55" s="12"/>
      <c r="AY55" s="17">
        <f>AY54</f>
        <v>0.6875</v>
      </c>
      <c r="AZ55" s="12"/>
      <c r="BA55" s="12"/>
      <c r="BB55" s="12"/>
      <c r="BC55" s="12"/>
      <c r="BD55" s="12"/>
      <c r="BE55" s="12"/>
      <c r="BF55" s="12"/>
      <c r="BG55" s="12"/>
    </row>
    <row r="56" spans="1:59" x14ac:dyDescent="0.2">
      <c r="A56">
        <v>5</v>
      </c>
      <c r="B56" t="s">
        <v>66</v>
      </c>
      <c r="C56">
        <f>(1964000000/695662)*C39</f>
        <v>3952494171.0198345</v>
      </c>
      <c r="D56">
        <f t="shared" si="6"/>
        <v>5644161676.2163229</v>
      </c>
      <c r="E56" s="6">
        <v>163130331</v>
      </c>
      <c r="F56" s="6">
        <f>(((0.37+0.84)/2)*10^6)+(((0.37+0.84)/2)*10^6*13/9)</f>
        <v>1478888.888888889</v>
      </c>
      <c r="G56">
        <f>(F56/3.5)*(37.8/3.6)*((44.91-30.05)/44.91)</f>
        <v>1468021.9698656569</v>
      </c>
      <c r="H56" s="12">
        <f>(196400/(295254+695662+315194))*(H39+H38+H36)</f>
        <v>126877.89610675978</v>
      </c>
      <c r="I56" s="12">
        <f>(I36+I38+I39)/3</f>
        <v>2592</v>
      </c>
      <c r="J56" s="12">
        <f>(J36+J38+J39)/3</f>
        <v>6584</v>
      </c>
      <c r="K56" s="18">
        <f t="shared" si="51"/>
        <v>2.5000000000000001E-2</v>
      </c>
      <c r="L56" s="18">
        <f t="shared" si="8"/>
        <v>0.4</v>
      </c>
      <c r="M56" s="18">
        <v>1</v>
      </c>
      <c r="N56">
        <f t="shared" si="50"/>
        <v>1012485.6109319432</v>
      </c>
      <c r="O56">
        <f t="shared" si="9"/>
        <v>404994.24437277729</v>
      </c>
      <c r="P56">
        <f t="shared" si="52"/>
        <v>23854160.993556581</v>
      </c>
      <c r="Q56" s="12">
        <f>(1964000/(295254+695662+315194))*(Q39+Q38+Q36)</f>
        <v>100406.9681420401</v>
      </c>
      <c r="R56" s="12">
        <f>(R36+R38+R39)/1</f>
        <v>2856</v>
      </c>
      <c r="S56" s="12">
        <f>(S36+S38+S39)/1</f>
        <v>6264</v>
      </c>
      <c r="T56" s="18">
        <f t="shared" si="53"/>
        <v>2.5000000000000001E-2</v>
      </c>
      <c r="U56" s="18">
        <f t="shared" si="10"/>
        <v>0.17998560115190784</v>
      </c>
      <c r="V56" s="12">
        <f t="shared" si="11"/>
        <v>57620.97532734061</v>
      </c>
      <c r="W56" s="12">
        <f t="shared" si="12"/>
        <v>10370.94588325065</v>
      </c>
      <c r="X56" s="12">
        <f t="shared" si="13"/>
        <v>0.6875</v>
      </c>
      <c r="Y56" s="12">
        <f t="shared" si="14"/>
        <v>74865.265594715616</v>
      </c>
      <c r="Z56" s="12">
        <f>(1964000/(295254+695662+315194))*(Z39+Z38+Z36)</f>
        <v>2724925.7566361181</v>
      </c>
      <c r="AA56" s="12">
        <v>2976</v>
      </c>
      <c r="AB56" s="12">
        <v>5304</v>
      </c>
      <c r="AC56" s="18">
        <f t="shared" si="54"/>
        <v>2.5000000000000001E-2</v>
      </c>
      <c r="AD56" s="18">
        <f t="shared" si="15"/>
        <v>0.30400000000000005</v>
      </c>
      <c r="AE56" s="12">
        <f t="shared" si="16"/>
        <v>27249257.566361181</v>
      </c>
      <c r="AF56" s="12">
        <f t="shared" si="17"/>
        <v>8283774.3001738004</v>
      </c>
      <c r="AG56" s="12">
        <f t="shared" si="18"/>
        <v>0.34</v>
      </c>
      <c r="AH56" s="12">
        <f t="shared" si="19"/>
        <v>31059551.528818328</v>
      </c>
      <c r="AI56" s="12">
        <f>(1964000/(295254+695662+315194))*(AI39+AI38+AI36)</f>
        <v>6327.5773097212332</v>
      </c>
      <c r="AJ56" s="12">
        <v>2976</v>
      </c>
      <c r="AK56" s="12">
        <f t="shared" si="20"/>
        <v>5304</v>
      </c>
      <c r="AL56" s="18">
        <f t="shared" si="55"/>
        <v>2.5000000000000001E-2</v>
      </c>
      <c r="AM56" s="18">
        <f t="shared" si="21"/>
        <v>0.4</v>
      </c>
      <c r="AN56" s="12">
        <f t="shared" si="22"/>
        <v>94913.659645818494</v>
      </c>
      <c r="AO56" s="12">
        <f t="shared" si="23"/>
        <v>37965.463858327399</v>
      </c>
      <c r="AP56" s="12">
        <v>0.34</v>
      </c>
      <c r="AQ56" s="12">
        <f t="shared" si="24"/>
        <v>142349.39754436203</v>
      </c>
      <c r="BB56" s="12"/>
      <c r="BC56" s="12"/>
      <c r="BD56" s="12"/>
      <c r="BE56" s="12"/>
      <c r="BF56" s="12"/>
      <c r="BG56" s="12"/>
    </row>
    <row r="57" spans="1:59" x14ac:dyDescent="0.2">
      <c r="B57" t="s">
        <v>65</v>
      </c>
      <c r="F57" s="6"/>
      <c r="L57" s="18"/>
      <c r="M57" s="18"/>
      <c r="P57">
        <f t="shared" si="52"/>
        <v>0</v>
      </c>
      <c r="U57" s="18"/>
      <c r="Y57" s="12"/>
      <c r="AD57" s="18"/>
      <c r="AE57" s="12">
        <f t="shared" si="16"/>
        <v>0</v>
      </c>
      <c r="AF57" s="12">
        <f t="shared" si="17"/>
        <v>0</v>
      </c>
      <c r="AH57" s="12">
        <f t="shared" si="19"/>
        <v>0</v>
      </c>
      <c r="AM57" s="18"/>
      <c r="AN57" s="12">
        <f t="shared" si="22"/>
        <v>0</v>
      </c>
      <c r="AO57" s="12">
        <f t="shared" si="23"/>
        <v>0</v>
      </c>
      <c r="AQ57" s="12">
        <f t="shared" si="24"/>
        <v>0</v>
      </c>
      <c r="AR57" s="12">
        <v>100000</v>
      </c>
      <c r="AS57" s="12">
        <v>1</v>
      </c>
      <c r="AT57" s="12">
        <v>8760</v>
      </c>
      <c r="AU57" s="11">
        <f>$BD$13</f>
        <v>0.01</v>
      </c>
      <c r="AV57" s="11">
        <f>0.3/1</f>
        <v>0.3</v>
      </c>
      <c r="AW57" s="13">
        <f>1.3*AR57</f>
        <v>130000</v>
      </c>
      <c r="AX57" s="12">
        <f>AV57*AW57</f>
        <v>39000</v>
      </c>
      <c r="AY57" s="12">
        <f>2.2/3.2</f>
        <v>0.6875</v>
      </c>
      <c r="AZ57" s="12">
        <f>AY57*AX57*(37.8/3.6)</f>
        <v>281531.24999999994</v>
      </c>
      <c r="BA57" s="12">
        <f>(1-AY57)*AX57*37.8</f>
        <v>460687.49999999994</v>
      </c>
      <c r="BB57" s="12"/>
      <c r="BC57" s="12"/>
      <c r="BD57" s="12"/>
      <c r="BE57" s="12"/>
      <c r="BF57" s="12"/>
      <c r="BG57" s="12"/>
    </row>
    <row r="58" spans="1:59" s="16" customFormat="1" x14ac:dyDescent="0.2">
      <c r="A58" s="16" t="s">
        <v>83</v>
      </c>
      <c r="B58" s="12"/>
      <c r="C58" s="12">
        <f t="shared" ref="C58:M58" si="68">C56</f>
        <v>3952494171.0198345</v>
      </c>
      <c r="D58" s="19">
        <f t="shared" si="68"/>
        <v>5644161676.2163229</v>
      </c>
      <c r="E58" s="29">
        <f t="shared" si="68"/>
        <v>163130331</v>
      </c>
      <c r="F58" s="30">
        <f t="shared" si="68"/>
        <v>1478888.888888889</v>
      </c>
      <c r="G58" s="21">
        <f t="shared" si="68"/>
        <v>1468021.9698656569</v>
      </c>
      <c r="H58" s="22">
        <f t="shared" si="68"/>
        <v>126877.89610675978</v>
      </c>
      <c r="I58" s="22">
        <f t="shared" si="68"/>
        <v>2592</v>
      </c>
      <c r="J58" s="22">
        <f t="shared" si="68"/>
        <v>6584</v>
      </c>
      <c r="K58" s="23">
        <f t="shared" si="68"/>
        <v>2.5000000000000001E-2</v>
      </c>
      <c r="L58" s="23">
        <f t="shared" si="68"/>
        <v>0.4</v>
      </c>
      <c r="M58" s="23">
        <f t="shared" si="68"/>
        <v>1</v>
      </c>
      <c r="N58">
        <f t="shared" ref="N58" si="69">7.98*H58</f>
        <v>1012485.6109319432</v>
      </c>
      <c r="O58">
        <f t="shared" ref="O58" si="70">N58*L58*M58</f>
        <v>404994.24437277729</v>
      </c>
      <c r="P58">
        <f t="shared" si="52"/>
        <v>23854160.993556581</v>
      </c>
      <c r="Q58" s="14">
        <f>Q56</f>
        <v>100406.9681420401</v>
      </c>
      <c r="R58" s="14">
        <f>R56</f>
        <v>2856</v>
      </c>
      <c r="S58" s="14">
        <f>S56</f>
        <v>6264</v>
      </c>
      <c r="T58" s="15">
        <f>T56</f>
        <v>2.5000000000000001E-2</v>
      </c>
      <c r="U58" s="15">
        <f>U56</f>
        <v>0.17998560115190784</v>
      </c>
      <c r="V58" s="12">
        <f t="shared" ref="V58" si="71">(1/36.74)*52.1*0.404686*Q58</f>
        <v>57620.97532734061</v>
      </c>
      <c r="W58" s="12">
        <f t="shared" ref="W58" si="72">V58*U58</f>
        <v>10370.94588325065</v>
      </c>
      <c r="X58" s="14">
        <f>X56</f>
        <v>0.6875</v>
      </c>
      <c r="Y58" s="12">
        <f t="shared" ref="Y58" si="73">X58*W58*(37.8/3.6)</f>
        <v>74865.265594715616</v>
      </c>
      <c r="Z58" s="24">
        <f>Z56</f>
        <v>2724925.7566361181</v>
      </c>
      <c r="AA58" s="24">
        <f>AA56</f>
        <v>2976</v>
      </c>
      <c r="AB58" s="24">
        <f>AB56</f>
        <v>5304</v>
      </c>
      <c r="AC58" s="25">
        <f>AC56</f>
        <v>2.5000000000000001E-2</v>
      </c>
      <c r="AD58" s="25">
        <f>AD56</f>
        <v>0.30400000000000005</v>
      </c>
      <c r="AE58" s="12">
        <f t="shared" si="16"/>
        <v>27249257.566361181</v>
      </c>
      <c r="AF58" s="12">
        <f t="shared" si="17"/>
        <v>8283774.3001738004</v>
      </c>
      <c r="AG58" s="24">
        <f>AG56</f>
        <v>0.34</v>
      </c>
      <c r="AH58" s="12">
        <f t="shared" si="19"/>
        <v>31059551.528818328</v>
      </c>
      <c r="AI58" s="26">
        <f>AI56</f>
        <v>6327.5773097212332</v>
      </c>
      <c r="AJ58" s="26">
        <f>AJ56</f>
        <v>2976</v>
      </c>
      <c r="AK58" s="26">
        <f>AK56</f>
        <v>5304</v>
      </c>
      <c r="AL58" s="27">
        <f>AL56</f>
        <v>2.5000000000000001E-2</v>
      </c>
      <c r="AM58" s="27">
        <f>AM56</f>
        <v>0.4</v>
      </c>
      <c r="AN58" s="12">
        <f t="shared" si="22"/>
        <v>94913.659645818494</v>
      </c>
      <c r="AO58" s="12">
        <f t="shared" si="23"/>
        <v>37965.463858327399</v>
      </c>
      <c r="AP58" s="26">
        <f>AP56</f>
        <v>0.34</v>
      </c>
      <c r="AQ58" s="12">
        <f t="shared" ref="AQ58" si="74">AP58*AO58*(39.7/3.6)</f>
        <v>142349.39754436203</v>
      </c>
      <c r="AR58" s="17">
        <f>AR57</f>
        <v>100000</v>
      </c>
      <c r="AS58" s="17">
        <f>AS57</f>
        <v>1</v>
      </c>
      <c r="AT58" s="17">
        <f>AT57</f>
        <v>8760</v>
      </c>
      <c r="AU58" s="31">
        <f>AU57</f>
        <v>0.01</v>
      </c>
      <c r="AV58" s="31">
        <f>AV57</f>
        <v>0.3</v>
      </c>
      <c r="AW58" s="12"/>
      <c r="AX58" s="12"/>
      <c r="AY58" s="17">
        <f>AY57</f>
        <v>0.6875</v>
      </c>
      <c r="AZ58" s="12"/>
      <c r="BA58" s="12"/>
      <c r="BB58" s="12"/>
      <c r="BC58" s="12"/>
      <c r="BD58" s="12"/>
      <c r="BE58" s="12"/>
      <c r="BF58" s="12"/>
      <c r="BG58" s="12"/>
    </row>
    <row r="59" spans="1:59" x14ac:dyDescent="0.2">
      <c r="D59" s="12"/>
      <c r="E59" s="12"/>
      <c r="F59" s="12"/>
      <c r="G59" s="12"/>
    </row>
    <row r="62" spans="1:59" x14ac:dyDescent="0.2">
      <c r="V62" s="12">
        <f>SUM(V39:V53,V8:V24)/36.74</f>
        <v>657228.45054468384</v>
      </c>
      <c r="W62" s="12">
        <f>SUM(W39:W53,W8:W24)</f>
        <v>4346035.5063015968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opLeftCell="Y1" workbookViewId="0">
      <selection activeCell="AD25" sqref="AD25"/>
    </sheetView>
  </sheetViews>
  <sheetFormatPr baseColWidth="10" defaultRowHeight="15" x14ac:dyDescent="0.2"/>
  <cols>
    <col min="2" max="2" width="13.1640625" bestFit="1" customWidth="1"/>
    <col min="3" max="3" width="29.1640625" bestFit="1" customWidth="1"/>
    <col min="4" max="4" width="18.83203125" customWidth="1"/>
    <col min="5" max="5" width="12.6640625" bestFit="1" customWidth="1"/>
    <col min="6" max="6" width="13.83203125" customWidth="1"/>
    <col min="7" max="7" width="16.33203125" bestFit="1" customWidth="1"/>
    <col min="8" max="8" width="15.1640625" bestFit="1" customWidth="1"/>
    <col min="9" max="9" width="17" bestFit="1" customWidth="1"/>
  </cols>
  <sheetData>
    <row r="1" spans="1:49" x14ac:dyDescent="0.2">
      <c r="A1" s="32" t="s">
        <v>0</v>
      </c>
      <c r="B1" s="34" t="s">
        <v>73</v>
      </c>
      <c r="C1" s="35"/>
      <c r="D1" s="32" t="s">
        <v>54</v>
      </c>
      <c r="E1" s="33" t="s">
        <v>2</v>
      </c>
      <c r="F1" s="33"/>
      <c r="G1" s="33"/>
      <c r="H1" s="33"/>
      <c r="I1" s="33"/>
      <c r="J1" s="33"/>
      <c r="K1" s="33"/>
      <c r="L1" s="33"/>
      <c r="M1" s="33" t="s">
        <v>3</v>
      </c>
      <c r="N1" s="33"/>
      <c r="O1" s="33"/>
      <c r="P1" s="33"/>
      <c r="Q1" s="33"/>
      <c r="R1" s="33"/>
      <c r="S1" s="33"/>
      <c r="T1" s="33"/>
      <c r="U1" s="33" t="s">
        <v>4</v>
      </c>
      <c r="V1" s="33"/>
      <c r="W1" s="33"/>
      <c r="X1" s="33"/>
      <c r="Y1" s="33"/>
      <c r="Z1" s="33"/>
      <c r="AA1" s="33"/>
      <c r="AB1" s="33"/>
      <c r="AC1" s="33"/>
      <c r="AD1" s="33" t="s">
        <v>5</v>
      </c>
      <c r="AE1" s="33"/>
      <c r="AF1" s="33"/>
      <c r="AG1" s="33"/>
      <c r="AH1" s="33"/>
      <c r="AI1" s="33"/>
      <c r="AJ1" s="33"/>
      <c r="AK1" s="33"/>
      <c r="AL1" s="33"/>
      <c r="AM1" s="33" t="s">
        <v>64</v>
      </c>
      <c r="AN1" s="33"/>
      <c r="AO1" s="33"/>
      <c r="AP1" s="33"/>
      <c r="AQ1" s="33"/>
      <c r="AR1" s="33"/>
      <c r="AS1" s="33"/>
      <c r="AT1" s="33"/>
      <c r="AU1" s="33"/>
      <c r="AV1" s="38"/>
      <c r="AW1" s="37"/>
    </row>
    <row r="2" spans="1:49" x14ac:dyDescent="0.2">
      <c r="A2" s="32"/>
      <c r="B2" s="32" t="s">
        <v>74</v>
      </c>
      <c r="C2" s="32" t="s">
        <v>68</v>
      </c>
      <c r="D2" s="32" t="s">
        <v>75</v>
      </c>
      <c r="E2" s="32" t="s">
        <v>55</v>
      </c>
      <c r="F2" s="32" t="s">
        <v>68</v>
      </c>
      <c r="G2" s="32" t="s">
        <v>59</v>
      </c>
      <c r="H2" s="32" t="s">
        <v>71</v>
      </c>
      <c r="I2" s="32" t="s">
        <v>72</v>
      </c>
      <c r="J2" s="32" t="s">
        <v>62</v>
      </c>
      <c r="K2" s="32" t="s">
        <v>67</v>
      </c>
      <c r="L2" s="32" t="s">
        <v>76</v>
      </c>
      <c r="M2" s="32" t="s">
        <v>55</v>
      </c>
      <c r="N2" s="32" t="s">
        <v>80</v>
      </c>
      <c r="O2" s="32" t="s">
        <v>58</v>
      </c>
      <c r="P2" s="32" t="s">
        <v>59</v>
      </c>
      <c r="Q2" s="32" t="s">
        <v>71</v>
      </c>
      <c r="R2" s="32" t="s">
        <v>72</v>
      </c>
      <c r="S2" s="32" t="s">
        <v>63</v>
      </c>
      <c r="T2" s="32" t="s">
        <v>67</v>
      </c>
      <c r="U2" s="32" t="s">
        <v>55</v>
      </c>
      <c r="V2" s="32" t="s">
        <v>56</v>
      </c>
      <c r="W2" s="32" t="s">
        <v>70</v>
      </c>
      <c r="X2" s="32" t="s">
        <v>68</v>
      </c>
      <c r="Y2" s="32" t="s">
        <v>59</v>
      </c>
      <c r="Z2" s="32" t="s">
        <v>71</v>
      </c>
      <c r="AA2" s="32" t="s">
        <v>72</v>
      </c>
      <c r="AB2" s="32" t="s">
        <v>63</v>
      </c>
      <c r="AC2" s="32" t="s">
        <v>67</v>
      </c>
      <c r="AD2" s="32" t="s">
        <v>55</v>
      </c>
      <c r="AE2" s="32" t="s">
        <v>57</v>
      </c>
      <c r="AF2" s="32" t="s">
        <v>70</v>
      </c>
      <c r="AG2" s="32" t="s">
        <v>69</v>
      </c>
      <c r="AH2" s="32" t="s">
        <v>59</v>
      </c>
      <c r="AI2" s="32" t="s">
        <v>71</v>
      </c>
      <c r="AJ2" s="32" t="s">
        <v>72</v>
      </c>
      <c r="AK2" s="32" t="s">
        <v>63</v>
      </c>
      <c r="AL2" s="32" t="s">
        <v>67</v>
      </c>
      <c r="AM2" s="32" t="s">
        <v>55</v>
      </c>
      <c r="AN2" s="32" t="s">
        <v>56</v>
      </c>
      <c r="AO2" s="32" t="s">
        <v>70</v>
      </c>
      <c r="AP2" s="32" t="s">
        <v>69</v>
      </c>
      <c r="AQ2" s="32" t="s">
        <v>59</v>
      </c>
      <c r="AR2" s="32" t="s">
        <v>77</v>
      </c>
      <c r="AS2" s="32" t="s">
        <v>78</v>
      </c>
      <c r="AT2" s="32" t="s">
        <v>63</v>
      </c>
      <c r="AU2" s="36" t="s">
        <v>67</v>
      </c>
      <c r="AV2" s="37"/>
    </row>
    <row r="3" spans="1:49" x14ac:dyDescent="0.2">
      <c r="A3">
        <v>1</v>
      </c>
      <c r="B3">
        <v>2100000</v>
      </c>
      <c r="C3">
        <v>2998800</v>
      </c>
      <c r="D3">
        <v>23341606</v>
      </c>
      <c r="E3">
        <v>232926.44647254396</v>
      </c>
      <c r="F3">
        <v>231214.89609766216</v>
      </c>
      <c r="G3">
        <v>8098576.2320000008</v>
      </c>
      <c r="H3">
        <v>3150</v>
      </c>
      <c r="I3">
        <v>7278</v>
      </c>
      <c r="J3">
        <v>2.4999999999999998E-2</v>
      </c>
      <c r="K3">
        <v>0.39999999999999997</v>
      </c>
      <c r="L3">
        <v>1</v>
      </c>
      <c r="M3">
        <v>64626638.331360012</v>
      </c>
      <c r="N3">
        <v>25850655.332544003</v>
      </c>
      <c r="O3">
        <v>1522603599.0868418</v>
      </c>
      <c r="P3">
        <v>6657084.7000000002</v>
      </c>
      <c r="Q3">
        <v>1284</v>
      </c>
      <c r="R3">
        <v>2538</v>
      </c>
      <c r="S3">
        <v>2.4999999999999998E-2</v>
      </c>
      <c r="T3">
        <v>0.17998560115190784</v>
      </c>
      <c r="U3">
        <v>3820329.6080813501</v>
      </c>
      <c r="V3">
        <v>687604.32110895426</v>
      </c>
      <c r="W3">
        <v>0.6875</v>
      </c>
      <c r="X3">
        <v>4963643.6930052629</v>
      </c>
      <c r="Y3">
        <v>2067438</v>
      </c>
      <c r="Z3">
        <v>2976</v>
      </c>
      <c r="AA3">
        <v>5304</v>
      </c>
      <c r="AB3">
        <v>2.4999999999999998E-2</v>
      </c>
      <c r="AC3">
        <v>0.30400000000000005</v>
      </c>
      <c r="AD3">
        <v>20674380</v>
      </c>
      <c r="AE3">
        <v>6285011.5200000014</v>
      </c>
      <c r="AF3">
        <v>0.33999999999999997</v>
      </c>
      <c r="AG3">
        <v>23565301.526933338</v>
      </c>
      <c r="AH3">
        <v>4224</v>
      </c>
      <c r="AI3">
        <v>2976</v>
      </c>
      <c r="AJ3">
        <v>5304</v>
      </c>
      <c r="AK3">
        <v>2.4999999999999998E-2</v>
      </c>
      <c r="AL3">
        <v>0.39999999999999997</v>
      </c>
      <c r="AM3">
        <v>63360</v>
      </c>
      <c r="AN3">
        <v>25343.999999999996</v>
      </c>
      <c r="AO3">
        <v>0.33999999999999997</v>
      </c>
      <c r="AP3">
        <v>95025.919999999984</v>
      </c>
    </row>
    <row r="4" spans="1:49" x14ac:dyDescent="0.2">
      <c r="A4">
        <v>2</v>
      </c>
      <c r="B4">
        <v>12300000</v>
      </c>
      <c r="C4">
        <v>17564400</v>
      </c>
      <c r="D4">
        <v>162903559</v>
      </c>
      <c r="E4">
        <v>1625618.5249464163</v>
      </c>
      <c r="F4">
        <v>1613673.4322447388</v>
      </c>
      <c r="G4">
        <v>22536153.968000006</v>
      </c>
      <c r="H4">
        <v>3172</v>
      </c>
      <c r="I4">
        <v>7104</v>
      </c>
      <c r="J4">
        <v>2.5000000000000005E-2</v>
      </c>
      <c r="K4">
        <v>0.40000000000000008</v>
      </c>
      <c r="L4">
        <v>1</v>
      </c>
      <c r="M4">
        <v>179838508.66464007</v>
      </c>
      <c r="N4">
        <v>71935403.465856045</v>
      </c>
      <c r="O4">
        <v>4236995264.1389208</v>
      </c>
      <c r="P4">
        <v>17811040.232000001</v>
      </c>
      <c r="Q4">
        <v>3220</v>
      </c>
      <c r="R4">
        <v>6430</v>
      </c>
      <c r="S4">
        <v>2.5000000000000005E-2</v>
      </c>
      <c r="T4">
        <v>0.17998560115190776</v>
      </c>
      <c r="U4">
        <v>10221297.672393702</v>
      </c>
      <c r="V4">
        <v>1839686.4061183759</v>
      </c>
      <c r="W4">
        <v>0.6875</v>
      </c>
      <c r="X4">
        <v>13280236.244167024</v>
      </c>
      <c r="Y4">
        <v>1871040</v>
      </c>
      <c r="Z4">
        <v>2976</v>
      </c>
      <c r="AA4">
        <v>5304</v>
      </c>
      <c r="AB4">
        <v>2.5000000000000005E-2</v>
      </c>
      <c r="AC4">
        <v>0.30400000000000016</v>
      </c>
      <c r="AD4">
        <v>18710400</v>
      </c>
      <c r="AE4">
        <v>5687961.6000000034</v>
      </c>
      <c r="AF4">
        <v>0.33999999999999991</v>
      </c>
      <c r="AG4">
        <v>21326696.021333341</v>
      </c>
      <c r="AH4">
        <v>9055</v>
      </c>
      <c r="AI4">
        <v>2976</v>
      </c>
      <c r="AJ4">
        <v>5304</v>
      </c>
      <c r="AK4">
        <v>2.4999999999999998E-2</v>
      </c>
      <c r="AL4">
        <v>0.39999999999999997</v>
      </c>
      <c r="AM4">
        <v>135825</v>
      </c>
      <c r="AN4">
        <v>54329.999999999993</v>
      </c>
      <c r="AO4">
        <v>0.33999999999999997</v>
      </c>
      <c r="AP4">
        <v>203707.31666666665</v>
      </c>
    </row>
    <row r="5" spans="1:49" x14ac:dyDescent="0.2">
      <c r="A5">
        <v>3</v>
      </c>
      <c r="B5">
        <v>2200000</v>
      </c>
      <c r="C5">
        <v>3141599.9999999995</v>
      </c>
      <c r="D5">
        <v>120634473</v>
      </c>
      <c r="E5">
        <v>1203814.3012943519</v>
      </c>
      <c r="F5">
        <v>1194968.6384257893</v>
      </c>
      <c r="G5">
        <v>3790289.0759999999</v>
      </c>
      <c r="H5">
        <v>2880</v>
      </c>
      <c r="I5">
        <v>6728</v>
      </c>
      <c r="J5">
        <v>2.4999999999999998E-2</v>
      </c>
      <c r="K5">
        <v>0.39999999999999997</v>
      </c>
      <c r="L5">
        <v>1</v>
      </c>
      <c r="M5">
        <v>30246506.826480001</v>
      </c>
      <c r="N5">
        <v>12098602.730591999</v>
      </c>
      <c r="O5">
        <v>712607700.83186877</v>
      </c>
      <c r="P5">
        <v>1902024.2</v>
      </c>
      <c r="Q5">
        <v>3216</v>
      </c>
      <c r="R5">
        <v>6736</v>
      </c>
      <c r="S5">
        <v>2.4999999999999998E-2</v>
      </c>
      <c r="T5">
        <v>0.17998560115190784</v>
      </c>
      <c r="U5">
        <v>1091522.7451661001</v>
      </c>
      <c r="V5">
        <v>196458.37745970124</v>
      </c>
      <c r="W5">
        <v>0.6875</v>
      </c>
      <c r="X5">
        <v>1418183.912287218</v>
      </c>
      <c r="Y5">
        <v>3463451</v>
      </c>
      <c r="Z5">
        <v>2976</v>
      </c>
      <c r="AA5">
        <v>5304</v>
      </c>
      <c r="AB5">
        <v>2.4999999999999998E-2</v>
      </c>
      <c r="AC5">
        <v>0.30400000000000005</v>
      </c>
      <c r="AD5">
        <v>34634510</v>
      </c>
      <c r="AE5">
        <v>10528891.040000001</v>
      </c>
      <c r="AF5">
        <v>0.33999999999999997</v>
      </c>
      <c r="AG5">
        <v>39477492.016088895</v>
      </c>
      <c r="AH5">
        <v>5702</v>
      </c>
      <c r="AI5">
        <v>2976</v>
      </c>
      <c r="AJ5">
        <v>5304</v>
      </c>
      <c r="AK5">
        <v>2.4999999999999998E-2</v>
      </c>
      <c r="AL5">
        <v>0.39999999999999997</v>
      </c>
      <c r="AM5">
        <v>85530</v>
      </c>
      <c r="AN5">
        <v>34212</v>
      </c>
      <c r="AO5">
        <v>0.33999999999999997</v>
      </c>
      <c r="AP5">
        <v>128275.99333333332</v>
      </c>
    </row>
    <row r="6" spans="1:49" x14ac:dyDescent="0.2">
      <c r="A6">
        <v>4</v>
      </c>
      <c r="B6">
        <v>15050000</v>
      </c>
      <c r="C6">
        <v>21491400</v>
      </c>
      <c r="D6">
        <v>100416031</v>
      </c>
      <c r="E6">
        <v>1002053.9833337439</v>
      </c>
      <c r="F6">
        <v>994690.86121171887</v>
      </c>
      <c r="G6">
        <v>72757281.881999999</v>
      </c>
      <c r="H6">
        <v>2472</v>
      </c>
      <c r="I6">
        <v>6069.818181818182</v>
      </c>
      <c r="J6">
        <v>2.4999999999999998E-2</v>
      </c>
      <c r="K6">
        <v>0.39999999999999997</v>
      </c>
      <c r="L6">
        <v>1</v>
      </c>
      <c r="M6">
        <v>580603109.41835999</v>
      </c>
      <c r="N6">
        <v>232241243.76734397</v>
      </c>
      <c r="O6">
        <v>13679009257.896559</v>
      </c>
      <c r="P6">
        <v>7394017.9059999995</v>
      </c>
      <c r="Q6">
        <v>3604.3636363636365</v>
      </c>
      <c r="R6">
        <v>7267.636363636364</v>
      </c>
      <c r="S6">
        <v>2.4999999999999998E-2</v>
      </c>
      <c r="T6">
        <v>0.17998560115190784</v>
      </c>
      <c r="U6">
        <v>4243236.6121127261</v>
      </c>
      <c r="V6">
        <v>763721.49246089382</v>
      </c>
      <c r="W6">
        <v>0.6875</v>
      </c>
      <c r="X6">
        <v>5513114.5237020766</v>
      </c>
      <c r="Y6">
        <v>1029012</v>
      </c>
      <c r="Z6">
        <v>2976</v>
      </c>
      <c r="AA6">
        <v>5304</v>
      </c>
      <c r="AB6">
        <v>2.4999999999999998E-2</v>
      </c>
      <c r="AC6">
        <v>0.3040000000000001</v>
      </c>
      <c r="AD6">
        <v>10290120</v>
      </c>
      <c r="AE6">
        <v>3128196.4800000009</v>
      </c>
      <c r="AF6">
        <v>0.33999999999999991</v>
      </c>
      <c r="AG6">
        <v>11728998.913066667</v>
      </c>
      <c r="AH6">
        <v>813465</v>
      </c>
      <c r="AI6">
        <v>2976</v>
      </c>
      <c r="AJ6">
        <v>5304</v>
      </c>
      <c r="AK6">
        <v>2.4999999999999998E-2</v>
      </c>
      <c r="AL6">
        <v>0.39999999999999997</v>
      </c>
      <c r="AM6">
        <v>12201975</v>
      </c>
      <c r="AN6">
        <v>4880790</v>
      </c>
      <c r="AO6">
        <v>0.33999999999999991</v>
      </c>
      <c r="AP6">
        <v>18300250.949999996</v>
      </c>
      <c r="AQ6">
        <v>100000</v>
      </c>
      <c r="AR6">
        <v>1</v>
      </c>
      <c r="AS6">
        <v>8760</v>
      </c>
      <c r="AT6">
        <v>0.01</v>
      </c>
      <c r="AU6">
        <v>0.3</v>
      </c>
    </row>
    <row r="7" spans="1:49" x14ac:dyDescent="0.2">
      <c r="A7">
        <v>5</v>
      </c>
      <c r="B7">
        <v>3952494171.0198345</v>
      </c>
      <c r="C7">
        <v>5644161676.2163229</v>
      </c>
      <c r="D7">
        <v>163130331</v>
      </c>
      <c r="E7">
        <v>1478888.888888889</v>
      </c>
      <c r="F7">
        <v>1468021.9698656569</v>
      </c>
      <c r="G7">
        <v>126877.89610675978</v>
      </c>
      <c r="H7">
        <v>2592</v>
      </c>
      <c r="I7">
        <v>6584</v>
      </c>
      <c r="J7">
        <v>2.5000000000000001E-2</v>
      </c>
      <c r="K7">
        <v>0.4</v>
      </c>
      <c r="L7">
        <v>1</v>
      </c>
      <c r="M7">
        <v>1012485.6109319432</v>
      </c>
      <c r="N7">
        <v>404994.24437277729</v>
      </c>
      <c r="O7">
        <v>23854160.993556581</v>
      </c>
      <c r="P7">
        <v>100406.9681420401</v>
      </c>
      <c r="Q7">
        <v>2856</v>
      </c>
      <c r="R7">
        <v>6264</v>
      </c>
      <c r="S7">
        <v>2.5000000000000001E-2</v>
      </c>
      <c r="T7">
        <v>0.17998560115190784</v>
      </c>
      <c r="U7">
        <v>57620.97532734061</v>
      </c>
      <c r="V7">
        <v>10370.94588325065</v>
      </c>
      <c r="W7">
        <v>0.6875</v>
      </c>
      <c r="X7">
        <v>74865.265594715616</v>
      </c>
      <c r="Y7">
        <v>2724925.7566361181</v>
      </c>
      <c r="Z7">
        <v>2976</v>
      </c>
      <c r="AA7">
        <v>5304</v>
      </c>
      <c r="AB7">
        <v>2.5000000000000001E-2</v>
      </c>
      <c r="AC7">
        <v>0.30400000000000005</v>
      </c>
      <c r="AD7">
        <v>27249257.566361181</v>
      </c>
      <c r="AE7">
        <v>8283774.3001738004</v>
      </c>
      <c r="AF7">
        <v>0.34</v>
      </c>
      <c r="AG7">
        <v>31059551.528818328</v>
      </c>
      <c r="AH7">
        <v>6327.5773097212332</v>
      </c>
      <c r="AI7">
        <v>2976</v>
      </c>
      <c r="AJ7">
        <v>5304</v>
      </c>
      <c r="AK7">
        <v>2.5000000000000001E-2</v>
      </c>
      <c r="AL7">
        <v>0.4</v>
      </c>
      <c r="AM7">
        <v>94913.659645818494</v>
      </c>
      <c r="AN7">
        <v>37965.463858327399</v>
      </c>
      <c r="AO7">
        <v>0.34</v>
      </c>
      <c r="AP7">
        <v>142349.39754436203</v>
      </c>
      <c r="AQ7">
        <v>100000</v>
      </c>
      <c r="AR7">
        <v>1</v>
      </c>
      <c r="AS7">
        <v>8760</v>
      </c>
      <c r="AT7">
        <v>0.01</v>
      </c>
      <c r="AU7">
        <v>0.3</v>
      </c>
    </row>
  </sheetData>
  <mergeCells count="6">
    <mergeCell ref="E1:L1"/>
    <mergeCell ref="M1:T1"/>
    <mergeCell ref="U1:AC1"/>
    <mergeCell ref="AD1:AL1"/>
    <mergeCell ref="AM1:AU1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4" sqref="C14"/>
    </sheetView>
  </sheetViews>
  <sheetFormatPr baseColWidth="10" defaultRowHeight="15" x14ac:dyDescent="0.2"/>
  <cols>
    <col min="1" max="1" width="11.5" style="40" customWidth="1"/>
    <col min="2" max="4" width="10.83203125" style="40"/>
    <col min="5" max="5" width="8.6640625" style="40" bestFit="1" customWidth="1"/>
    <col min="6" max="6" width="10.83203125" style="40"/>
    <col min="7" max="7" width="8.6640625" style="40" bestFit="1" customWidth="1"/>
    <col min="8" max="8" width="10.83203125" style="40"/>
    <col min="9" max="9" width="8.6640625" style="40" bestFit="1" customWidth="1"/>
    <col min="10" max="10" width="10.83203125" style="40"/>
    <col min="11" max="11" width="8.6640625" style="40" bestFit="1" customWidth="1"/>
    <col min="12" max="16384" width="10.83203125" style="40"/>
  </cols>
  <sheetData>
    <row r="1" spans="1:11" x14ac:dyDescent="0.2">
      <c r="A1" s="39"/>
      <c r="B1" s="41" t="s">
        <v>90</v>
      </c>
      <c r="C1" s="41"/>
      <c r="D1" s="41" t="s">
        <v>91</v>
      </c>
      <c r="E1" s="41"/>
      <c r="F1" s="41" t="s">
        <v>92</v>
      </c>
      <c r="G1" s="41"/>
      <c r="H1" s="41" t="s">
        <v>93</v>
      </c>
      <c r="I1" s="41"/>
      <c r="J1" s="41" t="s">
        <v>94</v>
      </c>
      <c r="K1" s="41"/>
    </row>
    <row r="2" spans="1:11" ht="45" x14ac:dyDescent="0.2">
      <c r="A2" s="42" t="s">
        <v>86</v>
      </c>
      <c r="B2" s="42" t="s">
        <v>89</v>
      </c>
      <c r="C2" s="43" t="s">
        <v>59</v>
      </c>
      <c r="D2" s="42" t="s">
        <v>89</v>
      </c>
      <c r="E2" s="43" t="s">
        <v>59</v>
      </c>
      <c r="F2" s="42" t="s">
        <v>89</v>
      </c>
      <c r="G2" s="43" t="s">
        <v>59</v>
      </c>
      <c r="H2" s="42" t="s">
        <v>89</v>
      </c>
      <c r="I2" s="43" t="s">
        <v>59</v>
      </c>
      <c r="J2" s="42" t="s">
        <v>89</v>
      </c>
      <c r="K2" s="43" t="s">
        <v>59</v>
      </c>
    </row>
    <row r="3" spans="1:11" x14ac:dyDescent="0.2">
      <c r="A3" s="39" t="s">
        <v>2</v>
      </c>
      <c r="B3" s="39">
        <v>0.23121489609766199</v>
      </c>
      <c r="C3" s="39">
        <v>8098576.2320000008</v>
      </c>
      <c r="D3">
        <v>1.6136734322447399</v>
      </c>
      <c r="E3">
        <v>22536153.968000006</v>
      </c>
      <c r="F3">
        <v>1.19496863842579</v>
      </c>
      <c r="G3">
        <v>3790289.0759999999</v>
      </c>
      <c r="H3">
        <v>0.99469086121171901</v>
      </c>
      <c r="I3">
        <v>72757281.881999999</v>
      </c>
      <c r="J3">
        <v>1.46802196986566</v>
      </c>
      <c r="K3">
        <v>126877.89610675978</v>
      </c>
    </row>
    <row r="4" spans="1:11" x14ac:dyDescent="0.2">
      <c r="A4" s="39" t="s">
        <v>4</v>
      </c>
      <c r="B4" s="44">
        <v>4.9636436929999999</v>
      </c>
      <c r="C4" s="44">
        <v>2067438</v>
      </c>
      <c r="D4">
        <v>1.83968640611838</v>
      </c>
      <c r="E4">
        <v>0.6875</v>
      </c>
      <c r="F4">
        <v>0.19645837745970099</v>
      </c>
      <c r="G4">
        <v>0.6875</v>
      </c>
      <c r="H4">
        <v>0.76372149246089405</v>
      </c>
      <c r="I4">
        <v>0.6875</v>
      </c>
      <c r="J4">
        <v>1.0370945883250601E-2</v>
      </c>
      <c r="K4">
        <v>0.6875</v>
      </c>
    </row>
    <row r="5" spans="1:11" x14ac:dyDescent="0.2">
      <c r="A5" s="39" t="s">
        <v>87</v>
      </c>
      <c r="B5" s="39">
        <v>23.5653015269333</v>
      </c>
      <c r="C5" s="39">
        <v>4224</v>
      </c>
      <c r="D5">
        <v>21.326696021333301</v>
      </c>
      <c r="E5">
        <v>9055</v>
      </c>
      <c r="F5">
        <v>39.477492016088902</v>
      </c>
      <c r="G5">
        <v>5702</v>
      </c>
      <c r="H5">
        <v>11.7289989130667</v>
      </c>
      <c r="I5">
        <v>813465</v>
      </c>
      <c r="J5">
        <v>31.0595515288183</v>
      </c>
      <c r="K5">
        <v>6327.5773097212332</v>
      </c>
    </row>
    <row r="6" spans="1:11" x14ac:dyDescent="0.2">
      <c r="A6" s="39" t="s">
        <v>88</v>
      </c>
      <c r="B6" s="39">
        <v>0</v>
      </c>
      <c r="C6" s="39">
        <v>0</v>
      </c>
      <c r="D6">
        <v>0</v>
      </c>
      <c r="E6" s="39">
        <v>0</v>
      </c>
      <c r="F6">
        <v>0</v>
      </c>
      <c r="G6" s="39">
        <v>0</v>
      </c>
      <c r="H6">
        <v>18.300250949999999</v>
      </c>
      <c r="I6">
        <v>100000</v>
      </c>
      <c r="J6">
        <v>0.14234939754436199</v>
      </c>
      <c r="K6">
        <v>100000</v>
      </c>
    </row>
    <row r="7" spans="1:1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A8" s="39" t="s">
        <v>95</v>
      </c>
      <c r="B8" s="39">
        <f>SUM(B3:B6)</f>
        <v>28.760160116030963</v>
      </c>
      <c r="C8" s="39">
        <f t="shared" ref="C8:K8" si="0">SUM(C3:C6)</f>
        <v>10170238.232000001</v>
      </c>
      <c r="D8" s="39">
        <f t="shared" si="0"/>
        <v>24.780055859696422</v>
      </c>
      <c r="E8" s="39">
        <f t="shared" si="0"/>
        <v>22545209.655500006</v>
      </c>
      <c r="F8" s="39">
        <f t="shared" si="0"/>
        <v>40.868919031974393</v>
      </c>
      <c r="G8" s="39">
        <f t="shared" si="0"/>
        <v>3795991.7634999999</v>
      </c>
      <c r="H8" s="39">
        <f t="shared" si="0"/>
        <v>31.787662216739314</v>
      </c>
      <c r="I8" s="39">
        <f t="shared" si="0"/>
        <v>73670747.569499999</v>
      </c>
      <c r="J8" s="39">
        <f t="shared" si="0"/>
        <v>32.680293842111574</v>
      </c>
      <c r="K8" s="39">
        <f t="shared" si="0"/>
        <v>233206.16091648102</v>
      </c>
    </row>
    <row r="9" spans="1:11" x14ac:dyDescent="0.2">
      <c r="A9" s="39" t="s">
        <v>96</v>
      </c>
      <c r="B9" s="40">
        <v>39.1</v>
      </c>
      <c r="D9" s="40">
        <v>274</v>
      </c>
      <c r="F9" s="40">
        <v>202</v>
      </c>
      <c r="H9" s="40">
        <v>168</v>
      </c>
      <c r="J9" s="40">
        <v>110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Sheet1</vt:lpstr>
      <vt:lpstr>Biofuels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2017-12-17T22:08:08Z</dcterms:created>
  <dcterms:modified xsi:type="dcterms:W3CDTF">2018-01-06T19:42:47Z</dcterms:modified>
</cp:coreProperties>
</file>