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 Delft\NST\"/>
    </mc:Choice>
  </mc:AlternateContent>
  <bookViews>
    <workbookView xWindow="0" yWindow="0" windowWidth="19200" windowHeight="6940" xr2:uid="{D3A8B026-4D5F-424A-B4B7-C95962FDB097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 s="1"/>
  <c r="O5" i="1"/>
  <c r="P5" i="1"/>
  <c r="Q5" i="1"/>
  <c r="O6" i="1"/>
  <c r="P6" i="1"/>
  <c r="Q6" i="1" s="1"/>
  <c r="O7" i="1"/>
  <c r="P7" i="1"/>
  <c r="Q7" i="1"/>
  <c r="O8" i="1"/>
  <c r="P8" i="1"/>
  <c r="Q8" i="1" s="1"/>
  <c r="O9" i="1"/>
  <c r="P9" i="1"/>
  <c r="Q9" i="1"/>
  <c r="O10" i="1"/>
  <c r="P10" i="1"/>
  <c r="Q10" i="1"/>
  <c r="O11" i="1"/>
  <c r="P11" i="1"/>
  <c r="Q11" i="1"/>
  <c r="O12" i="1"/>
  <c r="P12" i="1"/>
  <c r="Q12" i="1" s="1"/>
  <c r="O13" i="1"/>
  <c r="P13" i="1"/>
  <c r="Q13" i="1"/>
  <c r="O14" i="1"/>
  <c r="P14" i="1"/>
  <c r="Q14" i="1" s="1"/>
  <c r="O15" i="1"/>
  <c r="P15" i="1"/>
  <c r="Q15" i="1"/>
  <c r="O16" i="1"/>
  <c r="P16" i="1"/>
  <c r="Q16" i="1" s="1"/>
  <c r="O17" i="1"/>
  <c r="P17" i="1"/>
  <c r="Q17" i="1"/>
  <c r="O18" i="1"/>
  <c r="P18" i="1"/>
  <c r="Q18" i="1" s="1"/>
  <c r="O19" i="1"/>
  <c r="P19" i="1"/>
  <c r="Q19" i="1"/>
  <c r="O20" i="1"/>
  <c r="P20" i="1"/>
  <c r="Q20" i="1"/>
  <c r="O21" i="1"/>
  <c r="P21" i="1"/>
  <c r="Q21" i="1"/>
  <c r="O22" i="1"/>
  <c r="P22" i="1"/>
  <c r="Q22" i="1" s="1"/>
  <c r="O23" i="1"/>
  <c r="P23" i="1"/>
  <c r="Q23" i="1"/>
  <c r="O24" i="1"/>
  <c r="P24" i="1"/>
  <c r="Q24" i="1" s="1"/>
  <c r="O25" i="1"/>
  <c r="P25" i="1"/>
  <c r="Q25" i="1"/>
  <c r="O26" i="1"/>
  <c r="P26" i="1"/>
  <c r="Q26" i="1" s="1"/>
  <c r="O27" i="1"/>
  <c r="P27" i="1"/>
  <c r="Q27" i="1"/>
  <c r="O28" i="1"/>
  <c r="P28" i="1"/>
  <c r="Q28" i="1" s="1"/>
  <c r="O29" i="1"/>
  <c r="P29" i="1"/>
  <c r="Q29" i="1"/>
  <c r="O30" i="1"/>
  <c r="P30" i="1"/>
  <c r="Q30" i="1" s="1"/>
  <c r="O31" i="1"/>
  <c r="P31" i="1"/>
  <c r="Q31" i="1"/>
  <c r="O32" i="1"/>
  <c r="P32" i="1"/>
  <c r="Q32" i="1" s="1"/>
  <c r="O33" i="1"/>
  <c r="P33" i="1"/>
  <c r="Q33" i="1"/>
  <c r="O34" i="1"/>
  <c r="P34" i="1"/>
  <c r="Q34" i="1" s="1"/>
  <c r="O35" i="1"/>
  <c r="P35" i="1"/>
  <c r="Q35" i="1"/>
  <c r="O36" i="1"/>
  <c r="P36" i="1"/>
  <c r="Q36" i="1" s="1"/>
  <c r="O37" i="1"/>
  <c r="P37" i="1"/>
  <c r="Q37" i="1"/>
  <c r="O38" i="1"/>
  <c r="P38" i="1"/>
  <c r="Q38" i="1" s="1"/>
  <c r="O39" i="1"/>
  <c r="P39" i="1"/>
  <c r="Q39" i="1"/>
  <c r="O40" i="1"/>
  <c r="P40" i="1"/>
  <c r="Q40" i="1" s="1"/>
  <c r="O41" i="1"/>
  <c r="P41" i="1"/>
  <c r="Q41" i="1"/>
  <c r="O42" i="1"/>
  <c r="P42" i="1"/>
  <c r="Q42" i="1" s="1"/>
  <c r="O43" i="1"/>
  <c r="P43" i="1"/>
  <c r="Q43" i="1"/>
  <c r="O44" i="1"/>
  <c r="P44" i="1"/>
  <c r="Q44" i="1" s="1"/>
  <c r="O45" i="1"/>
  <c r="P45" i="1"/>
  <c r="Q45" i="1"/>
  <c r="O46" i="1"/>
  <c r="P46" i="1"/>
  <c r="Q46" i="1" s="1"/>
  <c r="O47" i="1"/>
  <c r="P47" i="1"/>
  <c r="Q47" i="1"/>
  <c r="O48" i="1"/>
  <c r="P48" i="1"/>
  <c r="Q48" i="1" s="1"/>
  <c r="O49" i="1"/>
  <c r="P49" i="1"/>
  <c r="Q49" i="1"/>
  <c r="O50" i="1"/>
  <c r="P50" i="1"/>
  <c r="Q50" i="1" s="1"/>
  <c r="O51" i="1"/>
  <c r="P51" i="1"/>
  <c r="Q51" i="1"/>
  <c r="Q52" i="1"/>
  <c r="Q53" i="1"/>
  <c r="BE14" i="1"/>
  <c r="G51" i="1"/>
  <c r="H51" i="1" s="1"/>
  <c r="G30" i="1"/>
  <c r="H30" i="1" s="1"/>
  <c r="AO30" i="1"/>
  <c r="AN30" i="1"/>
  <c r="AM30" i="1"/>
  <c r="AL30" i="1"/>
  <c r="AH30" i="1"/>
  <c r="AF30" i="1"/>
  <c r="AE30" i="1"/>
  <c r="AG30" i="1" s="1"/>
  <c r="AI30" i="1" s="1"/>
  <c r="AD30" i="1"/>
  <c r="Y30" i="1"/>
  <c r="V30" i="1"/>
  <c r="U30" i="1"/>
  <c r="R30" i="1"/>
  <c r="W30" i="1" s="1"/>
  <c r="X30" i="1" s="1"/>
  <c r="M30" i="1"/>
  <c r="L30" i="1"/>
  <c r="I30" i="1"/>
  <c r="E30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1" i="1"/>
  <c r="H31" i="1" s="1"/>
  <c r="G32" i="1"/>
  <c r="H32" i="1" s="1"/>
  <c r="G3" i="1"/>
  <c r="H3" i="1" s="1"/>
  <c r="AO10" i="1"/>
  <c r="AN10" i="1"/>
  <c r="AM10" i="1"/>
  <c r="AL10" i="1"/>
  <c r="AH10" i="1"/>
  <c r="AF10" i="1"/>
  <c r="AE10" i="1"/>
  <c r="AD10" i="1"/>
  <c r="Y10" i="1"/>
  <c r="V10" i="1"/>
  <c r="U10" i="1"/>
  <c r="R10" i="1"/>
  <c r="W10" i="1" s="1"/>
  <c r="X10" i="1" s="1"/>
  <c r="M10" i="1"/>
  <c r="L10" i="1"/>
  <c r="I10" i="1"/>
  <c r="E10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54" i="1" l="1"/>
  <c r="Z30" i="1"/>
  <c r="G54" i="1"/>
  <c r="AP30" i="1"/>
  <c r="Z10" i="1"/>
  <c r="AG10" i="1"/>
  <c r="AI10" i="1" s="1"/>
  <c r="AP10" i="1"/>
  <c r="AL4" i="1"/>
  <c r="AL5" i="1"/>
  <c r="AL6" i="1"/>
  <c r="AL7" i="1"/>
  <c r="AL8" i="1"/>
  <c r="AL9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Z53" i="1"/>
  <c r="AZ52" i="1"/>
  <c r="AH4" i="1"/>
  <c r="AH5" i="1"/>
  <c r="AH6" i="1"/>
  <c r="AH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3" i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3" i="1"/>
  <c r="AX52" i="1"/>
  <c r="AX53" i="1"/>
  <c r="AW53" i="1"/>
  <c r="AW52" i="1"/>
  <c r="AN4" i="1"/>
  <c r="AN5" i="1"/>
  <c r="AN6" i="1"/>
  <c r="AN7" i="1"/>
  <c r="AN8" i="1"/>
  <c r="AN9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3" i="1"/>
  <c r="AO4" i="1"/>
  <c r="AP4" i="1" s="1"/>
  <c r="AR4" i="1" s="1"/>
  <c r="AO5" i="1"/>
  <c r="AO6" i="1"/>
  <c r="AP6" i="1" s="1"/>
  <c r="AR6" i="1" s="1"/>
  <c r="AO7" i="1"/>
  <c r="AO8" i="1"/>
  <c r="AP8" i="1" s="1"/>
  <c r="AR8" i="1" s="1"/>
  <c r="AO9" i="1"/>
  <c r="AO11" i="1"/>
  <c r="AP11" i="1" s="1"/>
  <c r="AR11" i="1" s="1"/>
  <c r="AO12" i="1"/>
  <c r="AO13" i="1"/>
  <c r="AP13" i="1" s="1"/>
  <c r="AR13" i="1" s="1"/>
  <c r="AO14" i="1"/>
  <c r="AO15" i="1"/>
  <c r="AP15" i="1" s="1"/>
  <c r="AR15" i="1" s="1"/>
  <c r="AO16" i="1"/>
  <c r="AO17" i="1"/>
  <c r="AP17" i="1" s="1"/>
  <c r="AR17" i="1" s="1"/>
  <c r="AO18" i="1"/>
  <c r="AO19" i="1"/>
  <c r="AP19" i="1" s="1"/>
  <c r="AR19" i="1" s="1"/>
  <c r="AO20" i="1"/>
  <c r="AO21" i="1"/>
  <c r="AP21" i="1" s="1"/>
  <c r="AR21" i="1" s="1"/>
  <c r="AO22" i="1"/>
  <c r="AO23" i="1"/>
  <c r="AP23" i="1" s="1"/>
  <c r="AR23" i="1" s="1"/>
  <c r="AO24" i="1"/>
  <c r="AO25" i="1"/>
  <c r="AP25" i="1" s="1"/>
  <c r="AR25" i="1" s="1"/>
  <c r="AO26" i="1"/>
  <c r="AO27" i="1"/>
  <c r="AP27" i="1" s="1"/>
  <c r="AR27" i="1" s="1"/>
  <c r="AO28" i="1"/>
  <c r="AO29" i="1"/>
  <c r="AP29" i="1" s="1"/>
  <c r="AR29" i="1" s="1"/>
  <c r="AO31" i="1"/>
  <c r="AO32" i="1"/>
  <c r="AP32" i="1" s="1"/>
  <c r="AR32" i="1" s="1"/>
  <c r="AO33" i="1"/>
  <c r="AO34" i="1"/>
  <c r="AP34" i="1" s="1"/>
  <c r="AR34" i="1" s="1"/>
  <c r="AO35" i="1"/>
  <c r="AO36" i="1"/>
  <c r="AP36" i="1" s="1"/>
  <c r="AR36" i="1" s="1"/>
  <c r="AO37" i="1"/>
  <c r="AO38" i="1"/>
  <c r="AP38" i="1" s="1"/>
  <c r="AR38" i="1" s="1"/>
  <c r="AO39" i="1"/>
  <c r="AO40" i="1"/>
  <c r="AP40" i="1" s="1"/>
  <c r="AR40" i="1" s="1"/>
  <c r="AO41" i="1"/>
  <c r="AO42" i="1"/>
  <c r="AP42" i="1" s="1"/>
  <c r="AR42" i="1" s="1"/>
  <c r="AO43" i="1"/>
  <c r="AO44" i="1"/>
  <c r="AP44" i="1" s="1"/>
  <c r="AR44" i="1" s="1"/>
  <c r="AO45" i="1"/>
  <c r="AO46" i="1"/>
  <c r="AP46" i="1" s="1"/>
  <c r="AR46" i="1" s="1"/>
  <c r="AO47" i="1"/>
  <c r="AO48" i="1"/>
  <c r="AP48" i="1" s="1"/>
  <c r="AR48" i="1" s="1"/>
  <c r="AO49" i="1"/>
  <c r="AO50" i="1"/>
  <c r="AP50" i="1" s="1"/>
  <c r="AR50" i="1" s="1"/>
  <c r="AO52" i="1"/>
  <c r="AP52" i="1" s="1"/>
  <c r="AR52" i="1" s="1"/>
  <c r="AO53" i="1"/>
  <c r="AO3" i="1"/>
  <c r="AP3" i="1" s="1"/>
  <c r="AR3" i="1" s="1"/>
  <c r="AF4" i="1"/>
  <c r="AF5" i="1"/>
  <c r="AF6" i="1"/>
  <c r="AF7" i="1"/>
  <c r="AF8" i="1"/>
  <c r="AF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2" i="1"/>
  <c r="AF53" i="1"/>
  <c r="AF3" i="1"/>
  <c r="AE4" i="1"/>
  <c r="AE5" i="1"/>
  <c r="AE6" i="1"/>
  <c r="AE7" i="1"/>
  <c r="AE8" i="1"/>
  <c r="AE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AV53" i="1"/>
  <c r="AM51" i="1"/>
  <c r="AJ51" i="1"/>
  <c r="AO51" i="1" s="1"/>
  <c r="AD51" i="1"/>
  <c r="AA51" i="1"/>
  <c r="AF51" i="1" s="1"/>
  <c r="U51" i="1"/>
  <c r="L51" i="1"/>
  <c r="W4" i="1"/>
  <c r="W5" i="1"/>
  <c r="W6" i="1"/>
  <c r="W7" i="1"/>
  <c r="W24" i="1"/>
  <c r="W25" i="1"/>
  <c r="X25" i="1" s="1"/>
  <c r="W26" i="1"/>
  <c r="W27" i="1"/>
  <c r="X27" i="1" s="1"/>
  <c r="W28" i="1"/>
  <c r="W29" i="1"/>
  <c r="X29" i="1" s="1"/>
  <c r="W31" i="1"/>
  <c r="W32" i="1"/>
  <c r="X32" i="1" s="1"/>
  <c r="W33" i="1"/>
  <c r="W34" i="1"/>
  <c r="X34" i="1" s="1"/>
  <c r="W35" i="1"/>
  <c r="W36" i="1"/>
  <c r="X36" i="1" s="1"/>
  <c r="W3" i="1"/>
  <c r="X3" i="1" s="1"/>
  <c r="AY53" i="1" l="1"/>
  <c r="X7" i="1"/>
  <c r="Z7" i="1" s="1"/>
  <c r="X5" i="1"/>
  <c r="Z5" i="1" s="1"/>
  <c r="AP49" i="1"/>
  <c r="AR49" i="1" s="1"/>
  <c r="AP47" i="1"/>
  <c r="AR47" i="1" s="1"/>
  <c r="AP45" i="1"/>
  <c r="AR45" i="1" s="1"/>
  <c r="AP43" i="1"/>
  <c r="AR43" i="1" s="1"/>
  <c r="AP41" i="1"/>
  <c r="AR41" i="1" s="1"/>
  <c r="AP39" i="1"/>
  <c r="AR39" i="1" s="1"/>
  <c r="AP37" i="1"/>
  <c r="AR37" i="1" s="1"/>
  <c r="AP35" i="1"/>
  <c r="AR35" i="1" s="1"/>
  <c r="AP33" i="1"/>
  <c r="AR33" i="1" s="1"/>
  <c r="AP31" i="1"/>
  <c r="AR31" i="1" s="1"/>
  <c r="AP28" i="1"/>
  <c r="AR28" i="1" s="1"/>
  <c r="AP26" i="1"/>
  <c r="AR26" i="1" s="1"/>
  <c r="AP24" i="1"/>
  <c r="AR24" i="1" s="1"/>
  <c r="AP22" i="1"/>
  <c r="AR22" i="1" s="1"/>
  <c r="AP20" i="1"/>
  <c r="AR20" i="1" s="1"/>
  <c r="AP18" i="1"/>
  <c r="AR18" i="1" s="1"/>
  <c r="AP16" i="1"/>
  <c r="AR16" i="1" s="1"/>
  <c r="AP14" i="1"/>
  <c r="AR14" i="1" s="1"/>
  <c r="AP12" i="1"/>
  <c r="AR12" i="1" s="1"/>
  <c r="AP9" i="1"/>
  <c r="AR9" i="1" s="1"/>
  <c r="AP7" i="1"/>
  <c r="AR7" i="1" s="1"/>
  <c r="AP5" i="1"/>
  <c r="AR5" i="1" s="1"/>
  <c r="Z3" i="1"/>
  <c r="Z36" i="1"/>
  <c r="Z34" i="1"/>
  <c r="Z32" i="1"/>
  <c r="Z29" i="1"/>
  <c r="Z27" i="1"/>
  <c r="Z25" i="1"/>
  <c r="X6" i="1"/>
  <c r="Z6" i="1" s="1"/>
  <c r="X4" i="1"/>
  <c r="Z4" i="1" s="1"/>
  <c r="AY52" i="1"/>
  <c r="BA52" i="1" s="1"/>
  <c r="BA53" i="1"/>
  <c r="AG51" i="1"/>
  <c r="AI51" i="1" s="1"/>
  <c r="AP51" i="1"/>
  <c r="AR51" i="1" s="1"/>
  <c r="AP53" i="1"/>
  <c r="AR53" i="1" s="1"/>
  <c r="X35" i="1"/>
  <c r="Z35" i="1" s="1"/>
  <c r="X33" i="1"/>
  <c r="Z33" i="1" s="1"/>
  <c r="X31" i="1"/>
  <c r="Z31" i="1" s="1"/>
  <c r="X28" i="1"/>
  <c r="Z28" i="1" s="1"/>
  <c r="X26" i="1"/>
  <c r="Z26" i="1" s="1"/>
  <c r="X24" i="1"/>
  <c r="Z24" i="1" s="1"/>
  <c r="AG53" i="1"/>
  <c r="AI53" i="1" s="1"/>
  <c r="AG49" i="1"/>
  <c r="AI49" i="1" s="1"/>
  <c r="AG47" i="1"/>
  <c r="AI47" i="1" s="1"/>
  <c r="AG46" i="1"/>
  <c r="AI46" i="1" s="1"/>
  <c r="AG44" i="1"/>
  <c r="AI44" i="1" s="1"/>
  <c r="AG42" i="1"/>
  <c r="AI42" i="1" s="1"/>
  <c r="AG40" i="1"/>
  <c r="AI40" i="1" s="1"/>
  <c r="AG38" i="1"/>
  <c r="AI38" i="1" s="1"/>
  <c r="AG37" i="1"/>
  <c r="AI37" i="1" s="1"/>
  <c r="AG35" i="1"/>
  <c r="AI35" i="1" s="1"/>
  <c r="AG33" i="1"/>
  <c r="AI33" i="1" s="1"/>
  <c r="AG31" i="1"/>
  <c r="AI31" i="1" s="1"/>
  <c r="AG28" i="1"/>
  <c r="AI28" i="1" s="1"/>
  <c r="AG26" i="1"/>
  <c r="AI26" i="1" s="1"/>
  <c r="AG24" i="1"/>
  <c r="AI24" i="1" s="1"/>
  <c r="AG22" i="1"/>
  <c r="AI22" i="1" s="1"/>
  <c r="AG19" i="1"/>
  <c r="AI19" i="1" s="1"/>
  <c r="AG17" i="1"/>
  <c r="AI17" i="1" s="1"/>
  <c r="AG15" i="1"/>
  <c r="AI15" i="1" s="1"/>
  <c r="AG13" i="1"/>
  <c r="AI13" i="1" s="1"/>
  <c r="AG11" i="1"/>
  <c r="AI11" i="1" s="1"/>
  <c r="AG8" i="1"/>
  <c r="AI8" i="1" s="1"/>
  <c r="AG6" i="1"/>
  <c r="AI6" i="1" s="1"/>
  <c r="AG4" i="1"/>
  <c r="AI4" i="1" s="1"/>
  <c r="AG3" i="1"/>
  <c r="AI3" i="1" s="1"/>
  <c r="AG52" i="1"/>
  <c r="AI52" i="1" s="1"/>
  <c r="AG50" i="1"/>
  <c r="AI50" i="1" s="1"/>
  <c r="AG48" i="1"/>
  <c r="AI48" i="1" s="1"/>
  <c r="AG45" i="1"/>
  <c r="AI45" i="1" s="1"/>
  <c r="AG43" i="1"/>
  <c r="AI43" i="1" s="1"/>
  <c r="AG41" i="1"/>
  <c r="AI41" i="1" s="1"/>
  <c r="AG39" i="1"/>
  <c r="AI39" i="1" s="1"/>
  <c r="AG36" i="1"/>
  <c r="AI36" i="1" s="1"/>
  <c r="AG34" i="1"/>
  <c r="AI34" i="1" s="1"/>
  <c r="AG32" i="1"/>
  <c r="AI32" i="1" s="1"/>
  <c r="AG29" i="1"/>
  <c r="AI29" i="1" s="1"/>
  <c r="AG27" i="1"/>
  <c r="AI27" i="1" s="1"/>
  <c r="AG25" i="1"/>
  <c r="AI25" i="1" s="1"/>
  <c r="AG23" i="1"/>
  <c r="AI23" i="1" s="1"/>
  <c r="AG21" i="1"/>
  <c r="AI21" i="1" s="1"/>
  <c r="AG20" i="1"/>
  <c r="AI20" i="1" s="1"/>
  <c r="AG18" i="1"/>
  <c r="AI18" i="1" s="1"/>
  <c r="AG16" i="1"/>
  <c r="AI16" i="1" s="1"/>
  <c r="AG14" i="1"/>
  <c r="AI14" i="1" s="1"/>
  <c r="AG12" i="1"/>
  <c r="AI12" i="1" s="1"/>
  <c r="AG9" i="1"/>
  <c r="AI9" i="1" s="1"/>
  <c r="AG7" i="1"/>
  <c r="AI7" i="1" s="1"/>
  <c r="AG5" i="1"/>
  <c r="AI5" i="1" s="1"/>
  <c r="AV52" i="1"/>
  <c r="AM4" i="1"/>
  <c r="AM5" i="1"/>
  <c r="AM6" i="1"/>
  <c r="AM7" i="1"/>
  <c r="AM8" i="1"/>
  <c r="AM9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3" i="1"/>
  <c r="AD4" i="1"/>
  <c r="AD5" i="1"/>
  <c r="AD6" i="1"/>
  <c r="AD7" i="1"/>
  <c r="AD8" i="1"/>
  <c r="AD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R50" i="1" l="1"/>
  <c r="W50" i="1" s="1"/>
  <c r="X50" i="1" s="1"/>
  <c r="Z50" i="1" s="1"/>
  <c r="R49" i="1"/>
  <c r="W49" i="1" s="1"/>
  <c r="X49" i="1" s="1"/>
  <c r="Z49" i="1" s="1"/>
  <c r="R48" i="1"/>
  <c r="W48" i="1" s="1"/>
  <c r="X48" i="1" s="1"/>
  <c r="Z48" i="1" s="1"/>
  <c r="R47" i="1"/>
  <c r="W47" i="1" s="1"/>
  <c r="X47" i="1" s="1"/>
  <c r="Z47" i="1" s="1"/>
  <c r="R46" i="1"/>
  <c r="W46" i="1" s="1"/>
  <c r="X46" i="1" s="1"/>
  <c r="Z46" i="1" s="1"/>
  <c r="R45" i="1"/>
  <c r="W45" i="1" s="1"/>
  <c r="X45" i="1" s="1"/>
  <c r="Z45" i="1" s="1"/>
  <c r="R44" i="1"/>
  <c r="W44" i="1" s="1"/>
  <c r="X44" i="1" s="1"/>
  <c r="Z44" i="1" s="1"/>
  <c r="R43" i="1"/>
  <c r="W43" i="1" s="1"/>
  <c r="X43" i="1" s="1"/>
  <c r="Z43" i="1" s="1"/>
  <c r="R42" i="1"/>
  <c r="W42" i="1" s="1"/>
  <c r="X42" i="1" s="1"/>
  <c r="Z42" i="1" s="1"/>
  <c r="R41" i="1"/>
  <c r="W41" i="1" s="1"/>
  <c r="X41" i="1" s="1"/>
  <c r="Z41" i="1" s="1"/>
  <c r="R40" i="1"/>
  <c r="W40" i="1" s="1"/>
  <c r="X40" i="1" s="1"/>
  <c r="Z40" i="1" s="1"/>
  <c r="R39" i="1"/>
  <c r="W39" i="1" s="1"/>
  <c r="X39" i="1" s="1"/>
  <c r="Z39" i="1" s="1"/>
  <c r="R38" i="1"/>
  <c r="W38" i="1" s="1"/>
  <c r="X38" i="1" s="1"/>
  <c r="Z38" i="1" s="1"/>
  <c r="R37" i="1"/>
  <c r="R23" i="1"/>
  <c r="W23" i="1" s="1"/>
  <c r="X23" i="1" s="1"/>
  <c r="Z23" i="1" s="1"/>
  <c r="R22" i="1"/>
  <c r="W22" i="1" s="1"/>
  <c r="X22" i="1" s="1"/>
  <c r="Z22" i="1" s="1"/>
  <c r="R21" i="1"/>
  <c r="W21" i="1" s="1"/>
  <c r="X21" i="1" s="1"/>
  <c r="Z21" i="1" s="1"/>
  <c r="R20" i="1"/>
  <c r="W20" i="1" s="1"/>
  <c r="X20" i="1" s="1"/>
  <c r="Z20" i="1" s="1"/>
  <c r="R19" i="1"/>
  <c r="W19" i="1" s="1"/>
  <c r="X19" i="1" s="1"/>
  <c r="Z19" i="1" s="1"/>
  <c r="R18" i="1"/>
  <c r="W18" i="1" s="1"/>
  <c r="X18" i="1" s="1"/>
  <c r="Z18" i="1" s="1"/>
  <c r="R17" i="1"/>
  <c r="W17" i="1" s="1"/>
  <c r="X17" i="1" s="1"/>
  <c r="Z17" i="1" s="1"/>
  <c r="R16" i="1"/>
  <c r="W16" i="1" s="1"/>
  <c r="X16" i="1" s="1"/>
  <c r="Z16" i="1" s="1"/>
  <c r="R15" i="1"/>
  <c r="W15" i="1" s="1"/>
  <c r="X15" i="1" s="1"/>
  <c r="Z15" i="1" s="1"/>
  <c r="R14" i="1"/>
  <c r="W14" i="1" s="1"/>
  <c r="X14" i="1" s="1"/>
  <c r="Z14" i="1" s="1"/>
  <c r="R13" i="1"/>
  <c r="W13" i="1" s="1"/>
  <c r="X13" i="1" s="1"/>
  <c r="Z13" i="1" s="1"/>
  <c r="R12" i="1"/>
  <c r="W12" i="1" s="1"/>
  <c r="X12" i="1" s="1"/>
  <c r="Z12" i="1" s="1"/>
  <c r="R11" i="1"/>
  <c r="W11" i="1" s="1"/>
  <c r="X11" i="1" s="1"/>
  <c r="Z11" i="1" s="1"/>
  <c r="R9" i="1"/>
  <c r="W9" i="1" s="1"/>
  <c r="X9" i="1" s="1"/>
  <c r="Z9" i="1" s="1"/>
  <c r="R8" i="1"/>
  <c r="W8" i="1" s="1"/>
  <c r="X8" i="1" s="1"/>
  <c r="Z8" i="1" s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W37" i="1" l="1"/>
  <c r="X37" i="1" s="1"/>
  <c r="Z37" i="1" s="1"/>
  <c r="R51" i="1"/>
  <c r="W51" i="1" s="1"/>
  <c r="X51" i="1" s="1"/>
  <c r="Z51" i="1" s="1"/>
  <c r="I51" i="1"/>
  <c r="W57" i="1" l="1"/>
  <c r="X57" i="1" l="1"/>
</calcChain>
</file>

<file path=xl/sharedStrings.xml><?xml version="1.0" encoding="utf-8"?>
<sst xmlns="http://schemas.openxmlformats.org/spreadsheetml/2006/main" count="116" uniqueCount="83">
  <si>
    <t>Region</t>
  </si>
  <si>
    <t>State</t>
  </si>
  <si>
    <t>Corn</t>
  </si>
  <si>
    <t>Soybeans</t>
  </si>
  <si>
    <t>Switchgrass</t>
  </si>
  <si>
    <t>Wood (short rotation)</t>
  </si>
  <si>
    <t>Washington</t>
  </si>
  <si>
    <t>Oregon</t>
  </si>
  <si>
    <t>Idaho</t>
  </si>
  <si>
    <t>Montana</t>
  </si>
  <si>
    <t>Wyoming</t>
  </si>
  <si>
    <t>North Dakota</t>
  </si>
  <si>
    <t>South Dakota</t>
  </si>
  <si>
    <t>Minnesota</t>
  </si>
  <si>
    <t>Iowa</t>
  </si>
  <si>
    <t>Wisconsin</t>
  </si>
  <si>
    <t>Illinois</t>
  </si>
  <si>
    <t>Michigan</t>
  </si>
  <si>
    <t>Indiana</t>
  </si>
  <si>
    <t>Ohio</t>
  </si>
  <si>
    <t>Maine</t>
  </si>
  <si>
    <t>New York</t>
  </si>
  <si>
    <t>Pennsylvania</t>
  </si>
  <si>
    <t>West Virginia</t>
  </si>
  <si>
    <t>Maryland</t>
  </si>
  <si>
    <t>Delaware</t>
  </si>
  <si>
    <t>New Yersey</t>
  </si>
  <si>
    <t>Connecticut</t>
  </si>
  <si>
    <t>Rhode Island</t>
  </si>
  <si>
    <t>Massachusetts</t>
  </si>
  <si>
    <t>Vermont</t>
  </si>
  <si>
    <t>New Hampshire</t>
  </si>
  <si>
    <t>California</t>
  </si>
  <si>
    <t>Nevada</t>
  </si>
  <si>
    <t>Utah</t>
  </si>
  <si>
    <t>Arizona</t>
  </si>
  <si>
    <t>Colorado</t>
  </si>
  <si>
    <t>New Mexico</t>
  </si>
  <si>
    <t>Texas</t>
  </si>
  <si>
    <t>Nebraska</t>
  </si>
  <si>
    <t>Kansas</t>
  </si>
  <si>
    <t>Oklahoma</t>
  </si>
  <si>
    <t>Missouri</t>
  </si>
  <si>
    <t>Arkansas</t>
  </si>
  <si>
    <t>Louisiana</t>
  </si>
  <si>
    <t>Mississippi</t>
  </si>
  <si>
    <t>Kentucky</t>
  </si>
  <si>
    <t>Tennessee</t>
  </si>
  <si>
    <t>Alabama</t>
  </si>
  <si>
    <t>Virginia</t>
  </si>
  <si>
    <t>North Carolina</t>
  </si>
  <si>
    <t>South Carolina</t>
  </si>
  <si>
    <t>Georgia</t>
  </si>
  <si>
    <t>Florida</t>
  </si>
  <si>
    <t>Recycled/waste vegetable oil</t>
  </si>
  <si>
    <t>Yield (ton/year)</t>
  </si>
  <si>
    <t>Biodiesel production (ton/year)</t>
  </si>
  <si>
    <t>Bioethanol production (ton/year)</t>
  </si>
  <si>
    <t>Fuel use (GJ/year)</t>
  </si>
  <si>
    <t>Area used (hc/state)</t>
  </si>
  <si>
    <t>Irr (kWh/m^2/yr)</t>
  </si>
  <si>
    <t>Photosynthetic efficiencies:</t>
  </si>
  <si>
    <t>On land</t>
  </si>
  <si>
    <t>In water</t>
  </si>
  <si>
    <t xml:space="preserve">Photosynthetic efficiency </t>
  </si>
  <si>
    <t>Photosynthetic efficiency</t>
  </si>
  <si>
    <t xml:space="preserve">Algae </t>
  </si>
  <si>
    <t>Gulf of Mexico</t>
  </si>
  <si>
    <t>Mexico</t>
  </si>
  <si>
    <t>Mass ratio (kg product/kg plant)</t>
  </si>
  <si>
    <t>Net biodiesel production (MWh/year)</t>
  </si>
  <si>
    <t>Net bioethanol production (MWh/year)</t>
  </si>
  <si>
    <t>Ouput/input ratio (MWh/MWh)</t>
  </si>
  <si>
    <t>Planting Time (hrs)</t>
  </si>
  <si>
    <t>Harvesting Time (hrs)</t>
  </si>
  <si>
    <t>Agricultural + logging residues</t>
  </si>
  <si>
    <t>Yield (ton/state)</t>
  </si>
  <si>
    <t>Population per state</t>
  </si>
  <si>
    <t>Ouput/input ratio (kg/kg)</t>
  </si>
  <si>
    <t>Planting time (hrs)</t>
  </si>
  <si>
    <t>Processing time (hrs)</t>
  </si>
  <si>
    <t>Loss due to transport/storage (for all species assumed the same)</t>
  </si>
  <si>
    <t>Net bioplastic production (ton/year)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</si>
</sst>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1"/>
    <xf numFmtId="0" fontId="2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10" fontId="0" fillId="3" borderId="0" xfId="0" applyNumberFormat="1" applyFill="1"/>
    <xf numFmtId="0" fontId="0" fillId="3" borderId="0" xfId="0" applyNumberFormat="1" applyFill="1"/>
    <xf numFmtId="0" fontId="0" fillId="3" borderId="0" xfId="0" applyFill="1" applyBorder="1"/>
    <xf numFmtId="9" fontId="0" fillId="3" borderId="0" xfId="0" applyNumberFormat="1" applyFill="1"/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2731-1F3F-42E6-BF39-4F5C5BF92D0B}">
  <dimension ref="A1:BJ57"/>
  <sheetViews>
    <sheetView tabSelected="1" topLeftCell="AE1" zoomScale="50" zoomScaleNormal="50" workbookViewId="0">
      <selection activeCell="AW53" sqref="AW53"/>
    </sheetView>
  </sheetViews>
  <sheetFormatPr defaultRowHeight="14.5" x14ac:dyDescent="0.35"/>
  <cols>
    <col min="2" max="2" width="14.81640625" bestFit="1" customWidth="1"/>
    <col min="3" max="3" width="16.453125" hidden="1" customWidth="1"/>
    <col min="4" max="8" width="16.453125" customWidth="1"/>
    <col min="9" max="9" width="10.81640625" style="11" bestFit="1" customWidth="1"/>
    <col min="10" max="12" width="10.81640625" style="11" customWidth="1"/>
    <col min="13" max="14" width="31.7265625" style="11" customWidth="1"/>
    <col min="15" max="15" width="15.54296875" hidden="1" customWidth="1"/>
    <col min="16" max="16" width="31.1796875" hidden="1" customWidth="1"/>
    <col min="17" max="17" width="18.6328125" hidden="1" customWidth="1"/>
    <col min="18" max="18" width="20.26953125" style="11" bestFit="1" customWidth="1"/>
    <col min="19" max="20" width="20.26953125" style="11" customWidth="1"/>
    <col min="21" max="22" width="25.54296875" style="11" customWidth="1"/>
    <col min="23" max="23" width="15.54296875" hidden="1" customWidth="1"/>
    <col min="24" max="24" width="30.6328125" hidden="1" customWidth="1"/>
    <col min="25" max="25" width="30.6328125" style="11" customWidth="1"/>
    <col min="26" max="26" width="36.6328125" hidden="1" customWidth="1"/>
    <col min="27" max="27" width="10.453125" style="11" bestFit="1" customWidth="1"/>
    <col min="28" max="31" width="10.453125" style="11" customWidth="1"/>
    <col min="32" max="32" width="15.54296875" style="11" hidden="1" customWidth="1"/>
    <col min="33" max="33" width="30.6328125" style="11" hidden="1" customWidth="1"/>
    <col min="34" max="34" width="30.6328125" style="11" customWidth="1"/>
    <col min="35" max="35" width="38.08984375" hidden="1" customWidth="1"/>
    <col min="36" max="36" width="19.36328125" style="11" bestFit="1" customWidth="1"/>
    <col min="37" max="38" width="19.36328125" style="11" customWidth="1"/>
    <col min="39" max="39" width="25.54296875" style="11" bestFit="1" customWidth="1"/>
    <col min="40" max="40" width="25.54296875" style="11" customWidth="1"/>
    <col min="41" max="41" width="15.54296875" hidden="1" customWidth="1"/>
    <col min="42" max="42" width="30.6328125" hidden="1" customWidth="1"/>
    <col min="43" max="43" width="30.6328125" style="11" customWidth="1"/>
    <col min="44" max="44" width="38.08984375" hidden="1" customWidth="1"/>
    <col min="45" max="49" width="18.6328125" style="11" customWidth="1"/>
    <col min="50" max="50" width="15.54296875" style="20" hidden="1" customWidth="1"/>
    <col min="51" max="51" width="30.6328125" style="20" hidden="1" customWidth="1"/>
    <col min="52" max="52" width="18.6328125" style="11" customWidth="1"/>
    <col min="53" max="54" width="18.6328125" hidden="1" customWidth="1"/>
    <col min="56" max="56" width="26.36328125" bestFit="1" customWidth="1"/>
    <col min="57" max="57" width="13.90625" bestFit="1" customWidth="1"/>
    <col min="58" max="58" width="33" bestFit="1" customWidth="1"/>
    <col min="59" max="59" width="28.81640625" bestFit="1" customWidth="1"/>
    <col min="60" max="60" width="15.81640625" bestFit="1" customWidth="1"/>
  </cols>
  <sheetData>
    <row r="1" spans="1:57" x14ac:dyDescent="0.35">
      <c r="A1" s="1" t="s">
        <v>0</v>
      </c>
      <c r="B1" s="1" t="s">
        <v>1</v>
      </c>
      <c r="C1" s="1"/>
      <c r="D1" s="1" t="s">
        <v>75</v>
      </c>
      <c r="E1" s="1"/>
      <c r="F1" s="8" t="s">
        <v>54</v>
      </c>
      <c r="H1" s="1"/>
      <c r="I1" s="12" t="s">
        <v>2</v>
      </c>
      <c r="J1" s="12"/>
      <c r="K1" s="12"/>
      <c r="L1" s="12"/>
      <c r="M1" s="12"/>
      <c r="N1" s="12"/>
      <c r="O1" s="1"/>
      <c r="P1" s="1"/>
      <c r="Q1" s="1"/>
      <c r="R1" s="12" t="s">
        <v>3</v>
      </c>
      <c r="S1" s="12"/>
      <c r="T1" s="12"/>
      <c r="U1" s="12"/>
      <c r="V1" s="12"/>
      <c r="W1" s="1"/>
      <c r="X1" s="1"/>
      <c r="Y1" s="12"/>
      <c r="Z1" s="1"/>
      <c r="AA1" s="12" t="s">
        <v>4</v>
      </c>
      <c r="AB1" s="12"/>
      <c r="AC1" s="12"/>
      <c r="AD1" s="12"/>
      <c r="AE1" s="12"/>
      <c r="AF1" s="12"/>
      <c r="AG1" s="12"/>
      <c r="AH1" s="12"/>
      <c r="AI1" s="1"/>
      <c r="AJ1" s="12" t="s">
        <v>5</v>
      </c>
      <c r="AK1" s="15"/>
      <c r="AL1" s="15"/>
      <c r="AM1" s="15"/>
      <c r="AN1" s="15"/>
      <c r="AO1" s="2"/>
      <c r="AP1" s="2"/>
      <c r="AQ1" s="15"/>
      <c r="AR1" s="2"/>
      <c r="AS1" s="15" t="s">
        <v>66</v>
      </c>
      <c r="AT1" s="15"/>
      <c r="AU1" s="15"/>
      <c r="AV1" s="15"/>
      <c r="AW1" s="15"/>
      <c r="AX1" s="17"/>
      <c r="AY1" s="17"/>
      <c r="AZ1" s="15"/>
      <c r="BA1" s="2"/>
      <c r="BB1" s="2"/>
    </row>
    <row r="2" spans="1:57" ht="17.5" customHeight="1" thickBot="1" x14ac:dyDescent="0.4">
      <c r="A2" s="1"/>
      <c r="B2" s="1"/>
      <c r="C2" s="1" t="s">
        <v>60</v>
      </c>
      <c r="D2" s="1" t="s">
        <v>76</v>
      </c>
      <c r="E2" s="1" t="s">
        <v>70</v>
      </c>
      <c r="F2" s="1" t="s">
        <v>77</v>
      </c>
      <c r="G2" s="1" t="s">
        <v>55</v>
      </c>
      <c r="H2" s="1" t="s">
        <v>70</v>
      </c>
      <c r="I2" s="12" t="s">
        <v>59</v>
      </c>
      <c r="J2" s="12" t="s">
        <v>73</v>
      </c>
      <c r="K2" s="12" t="s">
        <v>74</v>
      </c>
      <c r="L2" s="12" t="s">
        <v>64</v>
      </c>
      <c r="M2" s="12" t="s">
        <v>69</v>
      </c>
      <c r="N2" s="12" t="s">
        <v>78</v>
      </c>
      <c r="O2" s="1" t="s">
        <v>55</v>
      </c>
      <c r="P2" s="1" t="s">
        <v>82</v>
      </c>
      <c r="Q2" s="1" t="s">
        <v>58</v>
      </c>
      <c r="R2" s="12" t="s">
        <v>59</v>
      </c>
      <c r="S2" s="12" t="s">
        <v>73</v>
      </c>
      <c r="T2" s="12" t="s">
        <v>74</v>
      </c>
      <c r="U2" s="12" t="s">
        <v>65</v>
      </c>
      <c r="V2" s="12" t="s">
        <v>69</v>
      </c>
      <c r="W2" s="1" t="s">
        <v>55</v>
      </c>
      <c r="X2" s="1" t="s">
        <v>56</v>
      </c>
      <c r="Y2" s="12" t="s">
        <v>72</v>
      </c>
      <c r="Z2" s="1" t="s">
        <v>70</v>
      </c>
      <c r="AA2" s="12" t="s">
        <v>59</v>
      </c>
      <c r="AB2" s="12" t="s">
        <v>73</v>
      </c>
      <c r="AC2" s="12" t="s">
        <v>74</v>
      </c>
      <c r="AD2" s="12" t="s">
        <v>65</v>
      </c>
      <c r="AE2" s="12" t="s">
        <v>69</v>
      </c>
      <c r="AF2" s="12" t="s">
        <v>55</v>
      </c>
      <c r="AG2" s="12" t="s">
        <v>57</v>
      </c>
      <c r="AH2" s="12" t="s">
        <v>72</v>
      </c>
      <c r="AI2" s="1" t="s">
        <v>71</v>
      </c>
      <c r="AJ2" s="12" t="s">
        <v>59</v>
      </c>
      <c r="AK2" s="12" t="s">
        <v>73</v>
      </c>
      <c r="AL2" s="12" t="s">
        <v>74</v>
      </c>
      <c r="AM2" s="12" t="s">
        <v>65</v>
      </c>
      <c r="AN2" s="12" t="s">
        <v>69</v>
      </c>
      <c r="AO2" s="1" t="s">
        <v>55</v>
      </c>
      <c r="AP2" s="1" t="s">
        <v>56</v>
      </c>
      <c r="AQ2" s="12" t="s">
        <v>72</v>
      </c>
      <c r="AR2" s="1" t="s">
        <v>71</v>
      </c>
      <c r="AS2" s="12" t="s">
        <v>59</v>
      </c>
      <c r="AT2" s="12" t="s">
        <v>79</v>
      </c>
      <c r="AU2" s="12" t="s">
        <v>80</v>
      </c>
      <c r="AV2" s="12" t="s">
        <v>65</v>
      </c>
      <c r="AW2" s="12" t="s">
        <v>69</v>
      </c>
      <c r="AX2" s="18" t="s">
        <v>55</v>
      </c>
      <c r="AY2" s="18" t="s">
        <v>56</v>
      </c>
      <c r="AZ2" s="12" t="s">
        <v>72</v>
      </c>
      <c r="BA2" s="1" t="s">
        <v>70</v>
      </c>
      <c r="BB2" s="1" t="s">
        <v>58</v>
      </c>
      <c r="BE2" s="7"/>
    </row>
    <row r="3" spans="1:57" ht="15" thickBot="1" x14ac:dyDescent="0.4">
      <c r="A3">
        <v>1</v>
      </c>
      <c r="B3" t="s">
        <v>6</v>
      </c>
      <c r="C3">
        <v>1000</v>
      </c>
      <c r="D3">
        <v>700000</v>
      </c>
      <c r="E3">
        <f>(D3/(2.5*3.6))*37.8*0.34</f>
        <v>999600.00000000012</v>
      </c>
      <c r="F3" s="9">
        <v>9365876</v>
      </c>
      <c r="G3" s="7">
        <f>(F3)*((9+13)*0.453592)*10^-3</f>
        <v>93462.301385023995</v>
      </c>
      <c r="H3">
        <f>(G3/3.5)*((3.785*37.8)/3.6)*((44.91-30.05)/44.91)</f>
        <v>351155.40999537829</v>
      </c>
      <c r="I3" s="11">
        <f>195*0.404686*1000</f>
        <v>78913.77</v>
      </c>
      <c r="J3" s="11">
        <v>2976</v>
      </c>
      <c r="K3" s="11">
        <v>7008</v>
      </c>
      <c r="L3" s="13">
        <f>$BE$11</f>
        <v>2.5000000000000001E-2</v>
      </c>
      <c r="M3" s="13">
        <f>1/2.5</f>
        <v>0.4</v>
      </c>
      <c r="N3" s="13">
        <v>1</v>
      </c>
      <c r="O3">
        <f>7.98*I3</f>
        <v>629731.88460000011</v>
      </c>
      <c r="P3">
        <f>O3*M3*N3</f>
        <v>251892.75384000005</v>
      </c>
      <c r="Q3">
        <f>58.9*P3</f>
        <v>14836483.201176003</v>
      </c>
      <c r="R3" s="11">
        <v>0</v>
      </c>
      <c r="S3" s="11">
        <v>0</v>
      </c>
      <c r="T3" s="11">
        <v>0</v>
      </c>
      <c r="U3" s="13">
        <f>$BE$11</f>
        <v>2.5000000000000001E-2</v>
      </c>
      <c r="V3" s="13">
        <f>1000/5556</f>
        <v>0.17998560115190784</v>
      </c>
      <c r="W3">
        <f>(1/36.74)*52.1*0.404686*R3</f>
        <v>0</v>
      </c>
      <c r="X3">
        <f>W3*V3</f>
        <v>0</v>
      </c>
      <c r="Y3" s="11">
        <f>2.2/3.2</f>
        <v>0.6875</v>
      </c>
      <c r="Z3">
        <f>Y3*X3*(37.8/3.6)</f>
        <v>0</v>
      </c>
      <c r="AA3" s="11">
        <v>0</v>
      </c>
      <c r="AB3" s="11">
        <v>2976</v>
      </c>
      <c r="AC3" s="11">
        <v>5304</v>
      </c>
      <c r="AD3" s="13">
        <f>$BE$11</f>
        <v>2.5000000000000001E-2</v>
      </c>
      <c r="AE3" s="13">
        <f>(0.38*0.8)/1</f>
        <v>0.30400000000000005</v>
      </c>
      <c r="AF3" s="11">
        <f>10*AA3</f>
        <v>0</v>
      </c>
      <c r="AG3" s="11">
        <f>AF3*AE3</f>
        <v>0</v>
      </c>
      <c r="AH3" s="11">
        <f>0.34</f>
        <v>0.34</v>
      </c>
      <c r="AI3">
        <f>AH3*AG3*(39.7/3.6)</f>
        <v>0</v>
      </c>
      <c r="AJ3" s="11">
        <v>0</v>
      </c>
      <c r="AK3" s="11">
        <v>2976</v>
      </c>
      <c r="AL3" s="11">
        <f>221*24</f>
        <v>5304</v>
      </c>
      <c r="AM3" s="13">
        <f>$BE$11</f>
        <v>2.5000000000000001E-2</v>
      </c>
      <c r="AN3" s="13">
        <f>((1*0.8)/2)</f>
        <v>0.4</v>
      </c>
      <c r="AO3">
        <f>15*AJ3</f>
        <v>0</v>
      </c>
      <c r="AP3">
        <f>AO3*AN3</f>
        <v>0</v>
      </c>
      <c r="AQ3" s="11">
        <v>0.34</v>
      </c>
      <c r="AR3">
        <f>AQ3*AP3*(39.7/3.6)</f>
        <v>0</v>
      </c>
      <c r="AV3" s="16"/>
      <c r="AW3" s="16"/>
      <c r="AX3" s="19"/>
    </row>
    <row r="4" spans="1:57" ht="15" thickBot="1" x14ac:dyDescent="0.4">
      <c r="B4" t="s">
        <v>7</v>
      </c>
      <c r="C4">
        <v>1000</v>
      </c>
      <c r="D4">
        <v>700000</v>
      </c>
      <c r="E4">
        <f t="shared" ref="E4:E51" si="0">(D4/(2.5*3.6))*37.8*0.34</f>
        <v>999600.00000000012</v>
      </c>
      <c r="F4" s="9">
        <v>5256887</v>
      </c>
      <c r="G4" s="7">
        <f t="shared" ref="G4:G50" si="1">(F4)*((9+13)*0.453592)*10^-3</f>
        <v>52458.601538288</v>
      </c>
      <c r="H4">
        <f t="shared" ref="H4:H51" si="2">(G4/3.5)*((3.785*37.8)/3.6)*((44.91-30.05)/44.91)</f>
        <v>197096.81291791328</v>
      </c>
      <c r="I4" s="11">
        <f>80*0.404686*1000</f>
        <v>32374.879999999997</v>
      </c>
      <c r="J4" s="11">
        <v>3216</v>
      </c>
      <c r="K4" s="11">
        <v>7392</v>
      </c>
      <c r="L4" s="13">
        <f>$BE$11</f>
        <v>2.5000000000000001E-2</v>
      </c>
      <c r="M4" s="13">
        <f t="shared" ref="M4:M53" si="3">1/2.5</f>
        <v>0.4</v>
      </c>
      <c r="N4" s="13">
        <v>1</v>
      </c>
      <c r="O4">
        <f>7.98*I4</f>
        <v>258351.54240000001</v>
      </c>
      <c r="P4">
        <f t="shared" ref="P4:P51" si="4">O4*M4*N4</f>
        <v>103340.61696000001</v>
      </c>
      <c r="Q4">
        <f>58.9*P4</f>
        <v>6086762.3389440011</v>
      </c>
      <c r="R4" s="11">
        <v>0</v>
      </c>
      <c r="S4" s="11">
        <v>0</v>
      </c>
      <c r="T4" s="11">
        <v>0</v>
      </c>
      <c r="U4" s="13">
        <f>$BE$11</f>
        <v>2.5000000000000001E-2</v>
      </c>
      <c r="V4" s="13">
        <f t="shared" ref="V4:V53" si="5">1000/5556</f>
        <v>0.17998560115190784</v>
      </c>
      <c r="W4">
        <f t="shared" ref="W4:W51" si="6">(1/36.74)*52.1*0.404686*R4</f>
        <v>0</v>
      </c>
      <c r="X4">
        <f t="shared" ref="X4:X51" si="7">W4*V4</f>
        <v>0</v>
      </c>
      <c r="Y4" s="11">
        <f t="shared" ref="Y4:Y53" si="8">2.2/3.2</f>
        <v>0.6875</v>
      </c>
      <c r="Z4">
        <f t="shared" ref="Z4:Z51" si="9">Y4*X4*(37.8/3.6)</f>
        <v>0</v>
      </c>
      <c r="AA4" s="11">
        <v>0</v>
      </c>
      <c r="AB4" s="11">
        <v>2976</v>
      </c>
      <c r="AC4" s="11">
        <v>5304</v>
      </c>
      <c r="AD4" s="13">
        <f>$BE$11</f>
        <v>2.5000000000000001E-2</v>
      </c>
      <c r="AE4" s="13">
        <f t="shared" ref="AE4:AE53" si="10">(0.38*0.8)/1</f>
        <v>0.30400000000000005</v>
      </c>
      <c r="AF4" s="11">
        <f t="shared" ref="AF4:AF53" si="11">10*AA4</f>
        <v>0</v>
      </c>
      <c r="AG4" s="11">
        <f t="shared" ref="AG4:AG53" si="12">AF4*AE4</f>
        <v>0</v>
      </c>
      <c r="AH4" s="11">
        <f t="shared" ref="AH4:AH53" si="13">0.34</f>
        <v>0.34</v>
      </c>
      <c r="AI4">
        <f t="shared" ref="AI4:AI53" si="14">AH4*AG4*(39.7/3.6)</f>
        <v>0</v>
      </c>
      <c r="AJ4" s="11">
        <v>0</v>
      </c>
      <c r="AK4" s="11">
        <v>2976</v>
      </c>
      <c r="AL4" s="11">
        <f t="shared" ref="AL4:AL53" si="15">221*24</f>
        <v>5304</v>
      </c>
      <c r="AM4" s="13">
        <f>$BE$11</f>
        <v>2.5000000000000001E-2</v>
      </c>
      <c r="AN4" s="13">
        <f t="shared" ref="AN4:AN53" si="16">((1*0.8)/2)</f>
        <v>0.4</v>
      </c>
      <c r="AO4">
        <f t="shared" ref="AO4:AO53" si="17">15*AJ4</f>
        <v>0</v>
      </c>
      <c r="AP4">
        <f t="shared" ref="AP4:AP53" si="18">AO4*AN4</f>
        <v>0</v>
      </c>
      <c r="AQ4" s="11">
        <v>0.34</v>
      </c>
      <c r="AR4">
        <f t="shared" ref="AR4:AR53" si="19">AQ4*AP4*(39.7/3.6)</f>
        <v>0</v>
      </c>
    </row>
    <row r="5" spans="1:57" ht="15" thickBot="1" x14ac:dyDescent="0.4">
      <c r="B5" t="s">
        <v>8</v>
      </c>
      <c r="C5">
        <v>1000</v>
      </c>
      <c r="D5">
        <v>700000</v>
      </c>
      <c r="E5">
        <f t="shared" si="0"/>
        <v>999600.00000000012</v>
      </c>
      <c r="F5" s="9">
        <v>2164052</v>
      </c>
      <c r="G5" s="7">
        <f t="shared" si="1"/>
        <v>21595.126845248</v>
      </c>
      <c r="H5">
        <f t="shared" si="2"/>
        <v>81136.945151880966</v>
      </c>
      <c r="I5" s="11">
        <f>350*0.404686*1000</f>
        <v>141640.09999999998</v>
      </c>
      <c r="J5" s="11">
        <v>3216</v>
      </c>
      <c r="K5" s="11">
        <v>7392</v>
      </c>
      <c r="L5" s="13">
        <f>$BE$11</f>
        <v>2.5000000000000001E-2</v>
      </c>
      <c r="M5" s="13">
        <f t="shared" si="3"/>
        <v>0.4</v>
      </c>
      <c r="N5" s="13">
        <v>1</v>
      </c>
      <c r="O5">
        <f>7.98*I5</f>
        <v>1130287.9979999999</v>
      </c>
      <c r="P5">
        <f t="shared" si="4"/>
        <v>452115.19919999997</v>
      </c>
      <c r="Q5">
        <f>58.9*P5</f>
        <v>26629585.232879996</v>
      </c>
      <c r="R5" s="11">
        <v>0</v>
      </c>
      <c r="S5" s="11">
        <v>0</v>
      </c>
      <c r="T5" s="11">
        <v>0</v>
      </c>
      <c r="U5" s="13">
        <f>$BE$11</f>
        <v>2.5000000000000001E-2</v>
      </c>
      <c r="V5" s="13">
        <f t="shared" si="5"/>
        <v>0.17998560115190784</v>
      </c>
      <c r="W5">
        <f t="shared" si="6"/>
        <v>0</v>
      </c>
      <c r="X5">
        <f t="shared" si="7"/>
        <v>0</v>
      </c>
      <c r="Y5" s="11">
        <f t="shared" si="8"/>
        <v>0.6875</v>
      </c>
      <c r="Z5">
        <f t="shared" si="9"/>
        <v>0</v>
      </c>
      <c r="AA5" s="11">
        <v>0</v>
      </c>
      <c r="AB5" s="11">
        <v>2976</v>
      </c>
      <c r="AC5" s="11">
        <v>5304</v>
      </c>
      <c r="AD5" s="13">
        <f>$BE$11</f>
        <v>2.5000000000000001E-2</v>
      </c>
      <c r="AE5" s="13">
        <f t="shared" si="10"/>
        <v>0.30400000000000005</v>
      </c>
      <c r="AF5" s="11">
        <f t="shared" si="11"/>
        <v>0</v>
      </c>
      <c r="AG5" s="11">
        <f t="shared" si="12"/>
        <v>0</v>
      </c>
      <c r="AH5" s="11">
        <f t="shared" si="13"/>
        <v>0.34</v>
      </c>
      <c r="AI5">
        <f t="shared" si="14"/>
        <v>0</v>
      </c>
      <c r="AJ5" s="11">
        <v>0</v>
      </c>
      <c r="AK5" s="11">
        <v>2976</v>
      </c>
      <c r="AL5" s="11">
        <f t="shared" si="15"/>
        <v>5304</v>
      </c>
      <c r="AM5" s="13">
        <f>$BE$11</f>
        <v>2.5000000000000001E-2</v>
      </c>
      <c r="AN5" s="13">
        <f t="shared" si="16"/>
        <v>0.4</v>
      </c>
      <c r="AO5">
        <f t="shared" si="17"/>
        <v>0</v>
      </c>
      <c r="AP5">
        <f t="shared" si="18"/>
        <v>0</v>
      </c>
      <c r="AQ5" s="11">
        <v>0.34</v>
      </c>
      <c r="AR5">
        <f t="shared" si="19"/>
        <v>0</v>
      </c>
    </row>
    <row r="6" spans="1:57" ht="15" thickBot="1" x14ac:dyDescent="0.4">
      <c r="B6" t="s">
        <v>9</v>
      </c>
      <c r="C6">
        <v>1000</v>
      </c>
      <c r="D6">
        <v>0</v>
      </c>
      <c r="E6">
        <f t="shared" si="0"/>
        <v>0</v>
      </c>
      <c r="F6" s="9">
        <v>1329874</v>
      </c>
      <c r="G6" s="7">
        <f t="shared" si="1"/>
        <v>13270.844562975999</v>
      </c>
      <c r="H6">
        <f t="shared" si="2"/>
        <v>49861.054076756263</v>
      </c>
      <c r="I6" s="11">
        <f>82*0.404686*1000</f>
        <v>33184.252</v>
      </c>
      <c r="J6" s="11">
        <v>3240</v>
      </c>
      <c r="K6" s="11">
        <v>7608</v>
      </c>
      <c r="L6" s="13">
        <f>$BE$11</f>
        <v>2.5000000000000001E-2</v>
      </c>
      <c r="M6" s="13">
        <f t="shared" si="3"/>
        <v>0.4</v>
      </c>
      <c r="N6" s="13">
        <v>1</v>
      </c>
      <c r="O6">
        <f>7.98*I6</f>
        <v>264810.33095999999</v>
      </c>
      <c r="P6">
        <f t="shared" si="4"/>
        <v>105924.132384</v>
      </c>
      <c r="Q6">
        <f>58.9*P6</f>
        <v>6238931.3974175993</v>
      </c>
      <c r="R6" s="11">
        <v>0</v>
      </c>
      <c r="S6" s="11">
        <v>0</v>
      </c>
      <c r="T6" s="11">
        <v>0</v>
      </c>
      <c r="U6" s="13">
        <f>$BE$11</f>
        <v>2.5000000000000001E-2</v>
      </c>
      <c r="V6" s="13">
        <f t="shared" si="5"/>
        <v>0.17998560115190784</v>
      </c>
      <c r="W6">
        <f t="shared" si="6"/>
        <v>0</v>
      </c>
      <c r="X6">
        <f t="shared" si="7"/>
        <v>0</v>
      </c>
      <c r="Y6" s="11">
        <f t="shared" si="8"/>
        <v>0.6875</v>
      </c>
      <c r="Z6">
        <f t="shared" si="9"/>
        <v>0</v>
      </c>
      <c r="AA6" s="11">
        <v>0</v>
      </c>
      <c r="AB6" s="11">
        <v>2976</v>
      </c>
      <c r="AC6" s="11">
        <v>5304</v>
      </c>
      <c r="AD6" s="13">
        <f>$BE$11</f>
        <v>2.5000000000000001E-2</v>
      </c>
      <c r="AE6" s="13">
        <f t="shared" si="10"/>
        <v>0.30400000000000005</v>
      </c>
      <c r="AF6" s="11">
        <f t="shared" si="11"/>
        <v>0</v>
      </c>
      <c r="AG6" s="11">
        <f t="shared" si="12"/>
        <v>0</v>
      </c>
      <c r="AH6" s="11">
        <f t="shared" si="13"/>
        <v>0.34</v>
      </c>
      <c r="AI6">
        <f t="shared" si="14"/>
        <v>0</v>
      </c>
      <c r="AJ6" s="11">
        <v>0</v>
      </c>
      <c r="AK6" s="11">
        <v>2976</v>
      </c>
      <c r="AL6" s="11">
        <f t="shared" si="15"/>
        <v>5304</v>
      </c>
      <c r="AM6" s="13">
        <f>$BE$11</f>
        <v>2.5000000000000001E-2</v>
      </c>
      <c r="AN6" s="13">
        <f t="shared" si="16"/>
        <v>0.4</v>
      </c>
      <c r="AO6">
        <f t="shared" si="17"/>
        <v>0</v>
      </c>
      <c r="AP6">
        <f t="shared" si="18"/>
        <v>0</v>
      </c>
      <c r="AQ6" s="11">
        <v>0.34</v>
      </c>
      <c r="AR6">
        <f t="shared" si="19"/>
        <v>0</v>
      </c>
    </row>
    <row r="7" spans="1:57" ht="15" thickBot="1" x14ac:dyDescent="0.4">
      <c r="B7" t="s">
        <v>10</v>
      </c>
      <c r="C7">
        <v>1000</v>
      </c>
      <c r="D7">
        <v>0</v>
      </c>
      <c r="E7">
        <f t="shared" si="0"/>
        <v>0</v>
      </c>
      <c r="F7" s="9">
        <v>738144</v>
      </c>
      <c r="G7" s="7">
        <f t="shared" si="1"/>
        <v>7365.9566914559991</v>
      </c>
      <c r="H7">
        <f t="shared" si="2"/>
        <v>27675.281944329443</v>
      </c>
      <c r="I7" s="11">
        <f>105*0.404686*1000</f>
        <v>42492.03</v>
      </c>
      <c r="J7" s="11">
        <v>3120</v>
      </c>
      <c r="K7" s="11">
        <v>7416</v>
      </c>
      <c r="L7" s="13">
        <f>$BE$11</f>
        <v>2.5000000000000001E-2</v>
      </c>
      <c r="M7" s="13">
        <f t="shared" si="3"/>
        <v>0.4</v>
      </c>
      <c r="N7" s="13">
        <v>1</v>
      </c>
      <c r="O7">
        <f>7.98*I7</f>
        <v>339086.39939999999</v>
      </c>
      <c r="P7">
        <f t="shared" si="4"/>
        <v>135634.55976</v>
      </c>
      <c r="Q7">
        <f>58.9*P7</f>
        <v>7988875.5698640002</v>
      </c>
      <c r="R7" s="11">
        <v>0</v>
      </c>
      <c r="S7" s="11">
        <v>0</v>
      </c>
      <c r="T7" s="11">
        <v>0</v>
      </c>
      <c r="U7" s="13">
        <f>$BE$11</f>
        <v>2.5000000000000001E-2</v>
      </c>
      <c r="V7" s="13">
        <f t="shared" si="5"/>
        <v>0.17998560115190784</v>
      </c>
      <c r="W7">
        <f t="shared" si="6"/>
        <v>0</v>
      </c>
      <c r="X7">
        <f t="shared" si="7"/>
        <v>0</v>
      </c>
      <c r="Y7" s="11">
        <f t="shared" si="8"/>
        <v>0.6875</v>
      </c>
      <c r="Z7">
        <f t="shared" si="9"/>
        <v>0</v>
      </c>
      <c r="AA7" s="11">
        <v>0</v>
      </c>
      <c r="AB7" s="11">
        <v>2976</v>
      </c>
      <c r="AC7" s="11">
        <v>5304</v>
      </c>
      <c r="AD7" s="13">
        <f>$BE$11</f>
        <v>2.5000000000000001E-2</v>
      </c>
      <c r="AE7" s="13">
        <f t="shared" si="10"/>
        <v>0.30400000000000005</v>
      </c>
      <c r="AF7" s="11">
        <f t="shared" si="11"/>
        <v>0</v>
      </c>
      <c r="AG7" s="11">
        <f t="shared" si="12"/>
        <v>0</v>
      </c>
      <c r="AH7" s="11">
        <f t="shared" si="13"/>
        <v>0.34</v>
      </c>
      <c r="AI7">
        <f t="shared" si="14"/>
        <v>0</v>
      </c>
      <c r="AJ7" s="11">
        <v>0</v>
      </c>
      <c r="AK7" s="11">
        <v>2976</v>
      </c>
      <c r="AL7" s="11">
        <f t="shared" si="15"/>
        <v>5304</v>
      </c>
      <c r="AM7" s="13">
        <f>$BE$11</f>
        <v>2.5000000000000001E-2</v>
      </c>
      <c r="AN7" s="13">
        <f t="shared" si="16"/>
        <v>0.4</v>
      </c>
      <c r="AO7">
        <f t="shared" si="17"/>
        <v>0</v>
      </c>
      <c r="AP7">
        <f t="shared" si="18"/>
        <v>0</v>
      </c>
      <c r="AQ7" s="11">
        <v>0.34</v>
      </c>
      <c r="AR7">
        <f t="shared" si="19"/>
        <v>0</v>
      </c>
    </row>
    <row r="8" spans="1:57" ht="15" thickBot="1" x14ac:dyDescent="0.4">
      <c r="B8" t="s">
        <v>11</v>
      </c>
      <c r="C8">
        <v>1000</v>
      </c>
      <c r="D8">
        <v>0</v>
      </c>
      <c r="E8">
        <f t="shared" si="0"/>
        <v>0</v>
      </c>
      <c r="F8" s="9">
        <v>958700</v>
      </c>
      <c r="G8" s="7">
        <f t="shared" si="1"/>
        <v>9566.8903087999988</v>
      </c>
      <c r="H8">
        <f t="shared" si="2"/>
        <v>35944.60267919083</v>
      </c>
      <c r="I8" s="11">
        <f>3400*0.404686*1000</f>
        <v>1375932.4</v>
      </c>
      <c r="J8" s="11">
        <v>3216</v>
      </c>
      <c r="K8" s="11">
        <v>7200</v>
      </c>
      <c r="L8" s="13">
        <f>$BE$11</f>
        <v>2.5000000000000001E-2</v>
      </c>
      <c r="M8" s="13">
        <f t="shared" si="3"/>
        <v>0.4</v>
      </c>
      <c r="N8" s="13">
        <v>1</v>
      </c>
      <c r="O8">
        <f>7.98*I8</f>
        <v>10979940.551999999</v>
      </c>
      <c r="P8">
        <f t="shared" si="4"/>
        <v>4391976.2208000002</v>
      </c>
      <c r="Q8">
        <f>58.9*P8</f>
        <v>258687399.40512002</v>
      </c>
      <c r="R8" s="11">
        <f>6050*0.404686*1000</f>
        <v>2448350.3000000003</v>
      </c>
      <c r="S8" s="11">
        <v>3408</v>
      </c>
      <c r="T8" s="11">
        <v>6696</v>
      </c>
      <c r="U8" s="13">
        <f>$BE$11</f>
        <v>2.5000000000000001E-2</v>
      </c>
      <c r="V8" s="13">
        <f t="shared" si="5"/>
        <v>0.17998560115190784</v>
      </c>
      <c r="W8">
        <f t="shared" si="6"/>
        <v>1405045.2357989161</v>
      </c>
      <c r="X8">
        <f t="shared" si="7"/>
        <v>252887.911410892</v>
      </c>
      <c r="Y8" s="11">
        <f t="shared" si="8"/>
        <v>0.6875</v>
      </c>
      <c r="Z8">
        <f t="shared" si="9"/>
        <v>1825534.6104973764</v>
      </c>
      <c r="AA8" s="11">
        <v>1109226</v>
      </c>
      <c r="AB8" s="11">
        <v>2976</v>
      </c>
      <c r="AC8" s="11">
        <v>5304</v>
      </c>
      <c r="AD8" s="13">
        <f>$BE$11</f>
        <v>2.5000000000000001E-2</v>
      </c>
      <c r="AE8" s="13">
        <f t="shared" si="10"/>
        <v>0.30400000000000005</v>
      </c>
      <c r="AF8" s="11">
        <f t="shared" si="11"/>
        <v>11092260</v>
      </c>
      <c r="AG8" s="11">
        <f t="shared" si="12"/>
        <v>3372047.0400000005</v>
      </c>
      <c r="AH8" s="11">
        <f t="shared" si="13"/>
        <v>0.34</v>
      </c>
      <c r="AI8">
        <f t="shared" si="14"/>
        <v>12643303.040533336</v>
      </c>
      <c r="AJ8" s="11">
        <v>889</v>
      </c>
      <c r="AK8" s="11">
        <v>2976</v>
      </c>
      <c r="AL8" s="11">
        <f t="shared" si="15"/>
        <v>5304</v>
      </c>
      <c r="AM8" s="13">
        <f>$BE$11</f>
        <v>2.5000000000000001E-2</v>
      </c>
      <c r="AN8" s="13">
        <f t="shared" si="16"/>
        <v>0.4</v>
      </c>
      <c r="AO8">
        <f t="shared" si="17"/>
        <v>13335</v>
      </c>
      <c r="AP8">
        <f t="shared" si="18"/>
        <v>5334</v>
      </c>
      <c r="AQ8" s="11">
        <v>0.34</v>
      </c>
      <c r="AR8">
        <f t="shared" si="19"/>
        <v>19999.53666666667</v>
      </c>
    </row>
    <row r="9" spans="1:57" ht="15" thickBot="1" x14ac:dyDescent="0.4">
      <c r="B9" t="s">
        <v>12</v>
      </c>
      <c r="C9">
        <v>1000</v>
      </c>
      <c r="D9">
        <v>0</v>
      </c>
      <c r="E9">
        <f t="shared" si="0"/>
        <v>0</v>
      </c>
      <c r="F9" s="9">
        <v>1102566</v>
      </c>
      <c r="G9" s="7">
        <f t="shared" si="1"/>
        <v>11002.532575583999</v>
      </c>
      <c r="H9">
        <f t="shared" si="2"/>
        <v>41338.580158114863</v>
      </c>
      <c r="I9" s="11">
        <f>5500*0.404686*1000</f>
        <v>2225773</v>
      </c>
      <c r="J9" s="11">
        <v>3216</v>
      </c>
      <c r="K9" s="11">
        <v>7152</v>
      </c>
      <c r="L9" s="13">
        <f>$BE$11</f>
        <v>2.5000000000000001E-2</v>
      </c>
      <c r="M9" s="13">
        <f t="shared" si="3"/>
        <v>0.4</v>
      </c>
      <c r="N9" s="13">
        <v>1</v>
      </c>
      <c r="O9">
        <f>7.98*I9</f>
        <v>17761668.539999999</v>
      </c>
      <c r="P9">
        <f t="shared" si="4"/>
        <v>7104667.4160000002</v>
      </c>
      <c r="Q9">
        <f>58.9*P9</f>
        <v>418464910.80239999</v>
      </c>
      <c r="R9" s="11">
        <f>5200*0.404686*1000</f>
        <v>2104367.2000000002</v>
      </c>
      <c r="S9" s="11">
        <v>3504</v>
      </c>
      <c r="T9" s="11">
        <v>6792</v>
      </c>
      <c r="U9" s="13">
        <f>$BE$11</f>
        <v>2.5000000000000001E-2</v>
      </c>
      <c r="V9" s="13">
        <f t="shared" si="5"/>
        <v>0.17998560115190784</v>
      </c>
      <c r="W9">
        <f t="shared" si="6"/>
        <v>1207642.1861412171</v>
      </c>
      <c r="X9">
        <f t="shared" si="7"/>
        <v>217358.20484903114</v>
      </c>
      <c r="Y9" s="11">
        <f t="shared" si="8"/>
        <v>0.6875</v>
      </c>
      <c r="Z9">
        <f t="shared" si="9"/>
        <v>1569054.5412539435</v>
      </c>
      <c r="AA9" s="11">
        <v>460033</v>
      </c>
      <c r="AB9" s="11">
        <v>2976</v>
      </c>
      <c r="AC9" s="11">
        <v>5304</v>
      </c>
      <c r="AD9" s="13">
        <f>$BE$11</f>
        <v>2.5000000000000001E-2</v>
      </c>
      <c r="AE9" s="13">
        <f t="shared" si="10"/>
        <v>0.30400000000000005</v>
      </c>
      <c r="AF9" s="11">
        <f t="shared" si="11"/>
        <v>4600330</v>
      </c>
      <c r="AG9" s="11">
        <f t="shared" si="12"/>
        <v>1398500.3200000003</v>
      </c>
      <c r="AH9" s="11">
        <f t="shared" si="13"/>
        <v>0.34</v>
      </c>
      <c r="AI9">
        <f t="shared" si="14"/>
        <v>5243599.2553777797</v>
      </c>
      <c r="AJ9" s="11">
        <v>972</v>
      </c>
      <c r="AK9" s="11">
        <v>2976</v>
      </c>
      <c r="AL9" s="11">
        <f t="shared" si="15"/>
        <v>5304</v>
      </c>
      <c r="AM9" s="13">
        <f>$BE$11</f>
        <v>2.5000000000000001E-2</v>
      </c>
      <c r="AN9" s="13">
        <f t="shared" si="16"/>
        <v>0.4</v>
      </c>
      <c r="AO9">
        <f t="shared" si="17"/>
        <v>14580</v>
      </c>
      <c r="AP9">
        <f t="shared" si="18"/>
        <v>5832</v>
      </c>
      <c r="AQ9" s="11">
        <v>0.34</v>
      </c>
      <c r="AR9">
        <f t="shared" si="19"/>
        <v>21866.760000000002</v>
      </c>
    </row>
    <row r="10" spans="1:57" ht="15" thickBot="1" x14ac:dyDescent="0.4">
      <c r="B10" t="s">
        <v>39</v>
      </c>
      <c r="C10">
        <v>1000</v>
      </c>
      <c r="D10">
        <v>0</v>
      </c>
      <c r="E10">
        <f t="shared" si="0"/>
        <v>0</v>
      </c>
      <c r="F10" s="9">
        <v>2425507</v>
      </c>
      <c r="G10" s="7">
        <f t="shared" si="1"/>
        <v>24204.192565167996</v>
      </c>
      <c r="H10">
        <f t="shared" si="2"/>
        <v>90939.694806087529</v>
      </c>
      <c r="I10" s="11">
        <f>10300*0.404686*1000</f>
        <v>4168265.8000000003</v>
      </c>
      <c r="J10" s="11">
        <v>3000</v>
      </c>
      <c r="K10" s="11">
        <v>7056</v>
      </c>
      <c r="L10" s="13">
        <f>$BE$11</f>
        <v>2.5000000000000001E-2</v>
      </c>
      <c r="M10" s="13">
        <f t="shared" si="3"/>
        <v>0.4</v>
      </c>
      <c r="N10" s="13">
        <v>1</v>
      </c>
      <c r="O10">
        <f t="shared" ref="O10" si="20">7.98*I10</f>
        <v>33262761.084000003</v>
      </c>
      <c r="P10">
        <f t="shared" si="4"/>
        <v>13305104.433600001</v>
      </c>
      <c r="Q10">
        <f>58.9*P10</f>
        <v>783670651.13903999</v>
      </c>
      <c r="R10" s="11">
        <f>5200*0.404686*1000</f>
        <v>2104367.2000000002</v>
      </c>
      <c r="S10" s="11">
        <v>3360</v>
      </c>
      <c r="T10" s="11">
        <v>6816</v>
      </c>
      <c r="U10" s="13">
        <f>$BE$11</f>
        <v>2.5000000000000001E-2</v>
      </c>
      <c r="V10" s="13">
        <f t="shared" si="5"/>
        <v>0.17998560115190784</v>
      </c>
      <c r="W10">
        <f t="shared" ref="W10" si="21">(1/36.74)*52.1*0.404686*R10</f>
        <v>1207642.1861412171</v>
      </c>
      <c r="X10">
        <f t="shared" ref="X10" si="22">W10*V10</f>
        <v>217358.20484903114</v>
      </c>
      <c r="Y10" s="11">
        <f t="shared" si="8"/>
        <v>0.6875</v>
      </c>
      <c r="Z10">
        <f t="shared" ref="Z10" si="23">Y10*X10*(37.8/3.6)</f>
        <v>1569054.5412539435</v>
      </c>
      <c r="AA10" s="11">
        <v>498179</v>
      </c>
      <c r="AB10" s="11">
        <v>2976</v>
      </c>
      <c r="AC10" s="11">
        <v>5304</v>
      </c>
      <c r="AD10" s="13">
        <f>$BE$11</f>
        <v>2.5000000000000001E-2</v>
      </c>
      <c r="AE10" s="13">
        <f t="shared" si="10"/>
        <v>0.30400000000000005</v>
      </c>
      <c r="AF10" s="11">
        <f t="shared" ref="AF10" si="24">10*AA10</f>
        <v>4981790</v>
      </c>
      <c r="AG10" s="11">
        <f t="shared" ref="AG10" si="25">AF10*AE10</f>
        <v>1514464.1600000001</v>
      </c>
      <c r="AH10" s="11">
        <f t="shared" si="13"/>
        <v>0.34</v>
      </c>
      <c r="AI10">
        <f t="shared" ref="AI10" si="26">AH10*AG10*(39.7/3.6)</f>
        <v>5678399.2310222238</v>
      </c>
      <c r="AJ10" s="11">
        <v>2363</v>
      </c>
      <c r="AK10" s="11">
        <v>2976</v>
      </c>
      <c r="AL10" s="11">
        <f t="shared" si="15"/>
        <v>5304</v>
      </c>
      <c r="AM10" s="13">
        <f>$BE$11</f>
        <v>2.5000000000000001E-2</v>
      </c>
      <c r="AN10" s="13">
        <f t="shared" si="16"/>
        <v>0.4</v>
      </c>
      <c r="AO10">
        <f t="shared" ref="AO10" si="27">15*AJ10</f>
        <v>35445</v>
      </c>
      <c r="AP10">
        <f t="shared" ref="AP10" si="28">AO10*AN10</f>
        <v>14178</v>
      </c>
      <c r="AQ10" s="11">
        <v>0.34</v>
      </c>
      <c r="BD10" t="s">
        <v>61</v>
      </c>
    </row>
    <row r="11" spans="1:57" x14ac:dyDescent="0.35">
      <c r="A11">
        <v>2</v>
      </c>
      <c r="B11" t="s">
        <v>13</v>
      </c>
      <c r="C11">
        <v>1000</v>
      </c>
      <c r="D11">
        <v>1400000</v>
      </c>
      <c r="E11">
        <f t="shared" si="0"/>
        <v>1999200.0000000002</v>
      </c>
      <c r="F11" s="10">
        <v>7018959</v>
      </c>
      <c r="G11" s="7">
        <f t="shared" si="1"/>
        <v>70042.360316015984</v>
      </c>
      <c r="H11">
        <f t="shared" si="2"/>
        <v>263162.29527123243</v>
      </c>
      <c r="I11" s="11">
        <f>8700*0.404686*1000</f>
        <v>3520768.2</v>
      </c>
      <c r="J11" s="11">
        <v>3048</v>
      </c>
      <c r="K11" s="11">
        <v>7080</v>
      </c>
      <c r="L11" s="13">
        <f>$BE$11</f>
        <v>2.5000000000000001E-2</v>
      </c>
      <c r="M11" s="13">
        <f t="shared" si="3"/>
        <v>0.4</v>
      </c>
      <c r="N11" s="13">
        <v>1</v>
      </c>
      <c r="O11">
        <f>7.98*I11</f>
        <v>28095730.236000001</v>
      </c>
      <c r="P11">
        <f t="shared" si="4"/>
        <v>11238292.094400002</v>
      </c>
      <c r="Q11">
        <f>58.9*P11</f>
        <v>661935404.36016011</v>
      </c>
      <c r="R11" s="11">
        <f>7550*0.404686*1000</f>
        <v>3055379.3000000003</v>
      </c>
      <c r="S11" s="11">
        <v>3336</v>
      </c>
      <c r="T11" s="11">
        <v>6744</v>
      </c>
      <c r="U11" s="13">
        <f>$BE$11</f>
        <v>2.5000000000000001E-2</v>
      </c>
      <c r="V11" s="13">
        <f t="shared" si="5"/>
        <v>0.17998560115190784</v>
      </c>
      <c r="W11">
        <f t="shared" si="6"/>
        <v>1753403.5587242672</v>
      </c>
      <c r="X11">
        <f t="shared" si="7"/>
        <v>315587.39357888175</v>
      </c>
      <c r="Y11" s="11">
        <f t="shared" si="8"/>
        <v>0.6875</v>
      </c>
      <c r="Z11">
        <f t="shared" si="9"/>
        <v>2278146.4973975522</v>
      </c>
      <c r="AA11" s="11">
        <v>465627</v>
      </c>
      <c r="AB11" s="11">
        <v>2976</v>
      </c>
      <c r="AC11" s="11">
        <v>5304</v>
      </c>
      <c r="AD11" s="13">
        <f>$BE$11</f>
        <v>2.5000000000000001E-2</v>
      </c>
      <c r="AE11" s="13">
        <f t="shared" si="10"/>
        <v>0.30400000000000005</v>
      </c>
      <c r="AF11" s="11">
        <f t="shared" si="11"/>
        <v>4656270</v>
      </c>
      <c r="AG11" s="11">
        <f t="shared" si="12"/>
        <v>1415506.0800000003</v>
      </c>
      <c r="AH11" s="11">
        <f t="shared" si="13"/>
        <v>0.34</v>
      </c>
      <c r="AI11">
        <f t="shared" si="14"/>
        <v>5307361.4077333352</v>
      </c>
      <c r="AJ11" s="11">
        <v>26524</v>
      </c>
      <c r="AK11" s="11">
        <v>2976</v>
      </c>
      <c r="AL11" s="11">
        <f t="shared" si="15"/>
        <v>5304</v>
      </c>
      <c r="AM11" s="13">
        <f>$BE$11</f>
        <v>2.5000000000000001E-2</v>
      </c>
      <c r="AN11" s="13">
        <f t="shared" si="16"/>
        <v>0.4</v>
      </c>
      <c r="AO11">
        <f t="shared" si="17"/>
        <v>397860</v>
      </c>
      <c r="AP11">
        <f t="shared" si="18"/>
        <v>159144</v>
      </c>
      <c r="AQ11" s="11">
        <v>0.34</v>
      </c>
      <c r="AR11">
        <f t="shared" si="19"/>
        <v>596701.58666666679</v>
      </c>
      <c r="BD11" t="s">
        <v>62</v>
      </c>
      <c r="BE11" s="3">
        <v>2.5000000000000001E-2</v>
      </c>
    </row>
    <row r="12" spans="1:57" x14ac:dyDescent="0.35">
      <c r="B12" t="s">
        <v>14</v>
      </c>
      <c r="C12">
        <v>1000</v>
      </c>
      <c r="D12">
        <v>0</v>
      </c>
      <c r="E12">
        <f t="shared" si="0"/>
        <v>0</v>
      </c>
      <c r="F12" s="10">
        <v>3975082</v>
      </c>
      <c r="G12" s="7">
        <f t="shared" si="1"/>
        <v>39667.438679968</v>
      </c>
      <c r="H12">
        <f t="shared" si="2"/>
        <v>149038.01304600321</v>
      </c>
      <c r="I12" s="11">
        <f>14600*0.404686*1000</f>
        <v>5908415.6000000006</v>
      </c>
      <c r="J12" s="11">
        <v>3024</v>
      </c>
      <c r="K12" s="11">
        <v>7056</v>
      </c>
      <c r="L12" s="13">
        <f>$BE$11</f>
        <v>2.5000000000000001E-2</v>
      </c>
      <c r="M12" s="13">
        <f t="shared" si="3"/>
        <v>0.4</v>
      </c>
      <c r="N12" s="13">
        <v>1</v>
      </c>
      <c r="O12">
        <f>7.98*I12</f>
        <v>47149156.488000005</v>
      </c>
      <c r="P12">
        <f t="shared" si="4"/>
        <v>18859662.595200002</v>
      </c>
      <c r="Q12">
        <f>58.9*P12</f>
        <v>1110834126.85728</v>
      </c>
      <c r="R12" s="11">
        <f>9500*0.404686*1000</f>
        <v>3844517</v>
      </c>
      <c r="S12" s="11">
        <v>3336</v>
      </c>
      <c r="T12" s="11">
        <v>6744</v>
      </c>
      <c r="U12" s="13">
        <f>$BE$11</f>
        <v>2.5000000000000001E-2</v>
      </c>
      <c r="V12" s="13">
        <f t="shared" si="5"/>
        <v>0.17998560115190784</v>
      </c>
      <c r="W12">
        <f t="shared" si="6"/>
        <v>2206269.3785272236</v>
      </c>
      <c r="X12">
        <f t="shared" si="7"/>
        <v>397096.72039726848</v>
      </c>
      <c r="Y12" s="11">
        <f t="shared" si="8"/>
        <v>0.6875</v>
      </c>
      <c r="Z12">
        <f t="shared" si="9"/>
        <v>2866541.9503677813</v>
      </c>
      <c r="AA12" s="11">
        <v>604968</v>
      </c>
      <c r="AB12" s="11">
        <v>2976</v>
      </c>
      <c r="AC12" s="11">
        <v>5304</v>
      </c>
      <c r="AD12" s="13">
        <f>$BE$11</f>
        <v>2.5000000000000001E-2</v>
      </c>
      <c r="AE12" s="13">
        <f t="shared" si="10"/>
        <v>0.30400000000000005</v>
      </c>
      <c r="AF12" s="11">
        <f t="shared" si="11"/>
        <v>6049680</v>
      </c>
      <c r="AG12" s="11">
        <f t="shared" si="12"/>
        <v>1839102.7200000002</v>
      </c>
      <c r="AH12" s="11">
        <f t="shared" si="13"/>
        <v>0.34</v>
      </c>
      <c r="AI12">
        <f t="shared" si="14"/>
        <v>6895613.4762666691</v>
      </c>
      <c r="AJ12" s="11">
        <v>11901</v>
      </c>
      <c r="AK12" s="11">
        <v>2976</v>
      </c>
      <c r="AL12" s="11">
        <f t="shared" si="15"/>
        <v>5304</v>
      </c>
      <c r="AM12" s="13">
        <f>$BE$11</f>
        <v>2.5000000000000001E-2</v>
      </c>
      <c r="AN12" s="13">
        <f t="shared" si="16"/>
        <v>0.4</v>
      </c>
      <c r="AO12">
        <f t="shared" si="17"/>
        <v>178515</v>
      </c>
      <c r="AP12">
        <f t="shared" si="18"/>
        <v>71406</v>
      </c>
      <c r="AQ12" s="11">
        <v>0.34</v>
      </c>
      <c r="AR12">
        <f t="shared" si="19"/>
        <v>267732.83</v>
      </c>
      <c r="BD12" t="s">
        <v>63</v>
      </c>
      <c r="BE12" s="4">
        <v>0.01</v>
      </c>
    </row>
    <row r="13" spans="1:57" x14ac:dyDescent="0.35">
      <c r="B13" t="s">
        <v>15</v>
      </c>
      <c r="C13">
        <v>1000</v>
      </c>
      <c r="D13">
        <v>1600000</v>
      </c>
      <c r="E13">
        <f t="shared" si="0"/>
        <v>2284800</v>
      </c>
      <c r="F13" s="10">
        <v>7312041</v>
      </c>
      <c r="G13" s="7">
        <f t="shared" si="1"/>
        <v>72967.032627983994</v>
      </c>
      <c r="H13">
        <f t="shared" si="2"/>
        <v>274150.83813388256</v>
      </c>
      <c r="I13" s="11">
        <f>4200*0.404686*1000</f>
        <v>1699681.2</v>
      </c>
      <c r="J13" s="11">
        <v>3192</v>
      </c>
      <c r="K13" s="11">
        <v>7248</v>
      </c>
      <c r="L13" s="13">
        <f>$BE$11</f>
        <v>2.5000000000000001E-2</v>
      </c>
      <c r="M13" s="13">
        <f t="shared" si="3"/>
        <v>0.4</v>
      </c>
      <c r="N13" s="13">
        <v>1</v>
      </c>
      <c r="O13">
        <f>7.98*I13</f>
        <v>13563455.976</v>
      </c>
      <c r="P13">
        <f t="shared" si="4"/>
        <v>5425382.3903999999</v>
      </c>
      <c r="Q13">
        <f>58.9*P13</f>
        <v>319555022.79456002</v>
      </c>
      <c r="R13" s="11">
        <f>1960*0.404686*1000</f>
        <v>793184.56</v>
      </c>
      <c r="S13" s="11">
        <v>3528</v>
      </c>
      <c r="T13" s="11">
        <v>6912</v>
      </c>
      <c r="U13" s="13">
        <f>$BE$11</f>
        <v>2.5000000000000001E-2</v>
      </c>
      <c r="V13" s="13">
        <f t="shared" si="5"/>
        <v>0.17998560115190784</v>
      </c>
      <c r="W13">
        <f t="shared" si="6"/>
        <v>455188.2086224588</v>
      </c>
      <c r="X13">
        <f t="shared" si="7"/>
        <v>81927.323366173281</v>
      </c>
      <c r="Y13" s="11">
        <f t="shared" si="8"/>
        <v>0.6875</v>
      </c>
      <c r="Z13">
        <f t="shared" si="9"/>
        <v>591412.8655495632</v>
      </c>
      <c r="AA13" s="11">
        <v>202503</v>
      </c>
      <c r="AB13" s="11">
        <v>2976</v>
      </c>
      <c r="AC13" s="11">
        <v>5304</v>
      </c>
      <c r="AD13" s="13">
        <f>$BE$11</f>
        <v>2.5000000000000001E-2</v>
      </c>
      <c r="AE13" s="13">
        <f t="shared" si="10"/>
        <v>0.30400000000000005</v>
      </c>
      <c r="AF13" s="11">
        <f t="shared" si="11"/>
        <v>2025030</v>
      </c>
      <c r="AG13" s="11">
        <f t="shared" si="12"/>
        <v>615609.12000000011</v>
      </c>
      <c r="AH13" s="11">
        <f t="shared" si="13"/>
        <v>0.34</v>
      </c>
      <c r="AI13">
        <f t="shared" si="14"/>
        <v>2308192.1949333339</v>
      </c>
      <c r="AJ13" s="11">
        <v>42176</v>
      </c>
      <c r="AK13" s="11">
        <v>2976</v>
      </c>
      <c r="AL13" s="11">
        <f t="shared" si="15"/>
        <v>5304</v>
      </c>
      <c r="AM13" s="13">
        <f>$BE$11</f>
        <v>2.5000000000000001E-2</v>
      </c>
      <c r="AN13" s="13">
        <f t="shared" si="16"/>
        <v>0.4</v>
      </c>
      <c r="AO13">
        <f t="shared" si="17"/>
        <v>632640</v>
      </c>
      <c r="AP13">
        <f t="shared" si="18"/>
        <v>253056</v>
      </c>
      <c r="AQ13" s="11">
        <v>0.34</v>
      </c>
      <c r="AR13">
        <f t="shared" si="19"/>
        <v>948819.41333333345</v>
      </c>
    </row>
    <row r="14" spans="1:57" x14ac:dyDescent="0.35">
      <c r="B14" t="s">
        <v>16</v>
      </c>
      <c r="C14">
        <v>1000</v>
      </c>
      <c r="D14">
        <v>0</v>
      </c>
      <c r="E14">
        <f t="shared" si="0"/>
        <v>0</v>
      </c>
      <c r="F14" s="10">
        <v>16120686</v>
      </c>
      <c r="G14" s="7">
        <f t="shared" si="1"/>
        <v>160868.71249046398</v>
      </c>
      <c r="H14">
        <f t="shared" si="2"/>
        <v>604413.94929174311</v>
      </c>
      <c r="I14" s="11">
        <f>12500*0.404686*1000</f>
        <v>5058575</v>
      </c>
      <c r="J14" s="11">
        <v>3024</v>
      </c>
      <c r="K14" s="11">
        <v>6864</v>
      </c>
      <c r="L14" s="13">
        <f>$BE$11</f>
        <v>2.5000000000000001E-2</v>
      </c>
      <c r="M14" s="13">
        <f t="shared" si="3"/>
        <v>0.4</v>
      </c>
      <c r="N14" s="13">
        <v>1</v>
      </c>
      <c r="O14">
        <f>7.98*I14</f>
        <v>40367428.5</v>
      </c>
      <c r="P14">
        <f t="shared" si="4"/>
        <v>16146971.4</v>
      </c>
      <c r="Q14">
        <f>58.9*P14</f>
        <v>951056615.46000004</v>
      </c>
      <c r="R14" s="11">
        <f>10100*0.404686*1000</f>
        <v>4087328.5999999996</v>
      </c>
      <c r="S14" s="11">
        <v>3456</v>
      </c>
      <c r="T14" s="11">
        <v>6792</v>
      </c>
      <c r="U14" s="13">
        <f>$BE$11</f>
        <v>2.5000000000000001E-2</v>
      </c>
      <c r="V14" s="13">
        <f t="shared" si="5"/>
        <v>0.17998560115190784</v>
      </c>
      <c r="W14">
        <f t="shared" si="6"/>
        <v>2345612.7076973636</v>
      </c>
      <c r="X14">
        <f t="shared" si="7"/>
        <v>422176.51326446427</v>
      </c>
      <c r="Y14" s="11">
        <f t="shared" si="8"/>
        <v>0.6875</v>
      </c>
      <c r="Z14">
        <f t="shared" si="9"/>
        <v>3047586.7051278511</v>
      </c>
      <c r="AA14" s="11">
        <v>278800</v>
      </c>
      <c r="AB14" s="11">
        <v>2976</v>
      </c>
      <c r="AC14" s="11">
        <v>5304</v>
      </c>
      <c r="AD14" s="13">
        <f>$BE$11</f>
        <v>2.5000000000000001E-2</v>
      </c>
      <c r="AE14" s="13">
        <f t="shared" si="10"/>
        <v>0.30400000000000005</v>
      </c>
      <c r="AF14" s="11">
        <f t="shared" si="11"/>
        <v>2788000</v>
      </c>
      <c r="AG14" s="11">
        <f t="shared" si="12"/>
        <v>847552.00000000012</v>
      </c>
      <c r="AH14" s="11">
        <f t="shared" si="13"/>
        <v>0.34</v>
      </c>
      <c r="AI14">
        <f t="shared" si="14"/>
        <v>3177849.1377777788</v>
      </c>
      <c r="AJ14" s="11">
        <v>31670</v>
      </c>
      <c r="AK14" s="11">
        <v>2976</v>
      </c>
      <c r="AL14" s="11">
        <f t="shared" si="15"/>
        <v>5304</v>
      </c>
      <c r="AM14" s="13">
        <f>$BE$11</f>
        <v>2.5000000000000001E-2</v>
      </c>
      <c r="AN14" s="13">
        <f t="shared" si="16"/>
        <v>0.4</v>
      </c>
      <c r="AO14">
        <f t="shared" si="17"/>
        <v>475050</v>
      </c>
      <c r="AP14">
        <f t="shared" si="18"/>
        <v>190020</v>
      </c>
      <c r="AQ14" s="11">
        <v>0.34</v>
      </c>
      <c r="AR14">
        <f t="shared" si="19"/>
        <v>712469.43333333347</v>
      </c>
      <c r="BD14" t="s">
        <v>81</v>
      </c>
      <c r="BE14" s="13">
        <f>5%</f>
        <v>0.05</v>
      </c>
    </row>
    <row r="15" spans="1:57" x14ac:dyDescent="0.35">
      <c r="B15" t="s">
        <v>17</v>
      </c>
      <c r="C15">
        <v>1000</v>
      </c>
      <c r="D15">
        <v>1600000</v>
      </c>
      <c r="E15">
        <f t="shared" si="0"/>
        <v>2284800</v>
      </c>
      <c r="F15" s="10">
        <v>12552590</v>
      </c>
      <c r="G15" s="7">
        <f t="shared" si="1"/>
        <v>125262.59687215999</v>
      </c>
      <c r="H15">
        <f t="shared" si="2"/>
        <v>470635.08933429024</v>
      </c>
      <c r="I15" s="11">
        <f>2600*0.404686*1000</f>
        <v>1052183.6000000001</v>
      </c>
      <c r="J15" s="11">
        <v>3192</v>
      </c>
      <c r="K15" s="11">
        <v>7200</v>
      </c>
      <c r="L15" s="13">
        <f>$BE$11</f>
        <v>2.5000000000000001E-2</v>
      </c>
      <c r="M15" s="13">
        <f t="shared" si="3"/>
        <v>0.4</v>
      </c>
      <c r="N15" s="13">
        <v>1</v>
      </c>
      <c r="O15">
        <f>7.98*I15</f>
        <v>8396425.1280000005</v>
      </c>
      <c r="P15">
        <f t="shared" si="4"/>
        <v>3358570.0512000006</v>
      </c>
      <c r="Q15">
        <f>58.9*P15</f>
        <v>197819776.01568002</v>
      </c>
      <c r="R15" s="11">
        <f>2070*0.404686*1000</f>
        <v>837700.02</v>
      </c>
      <c r="S15" s="11">
        <v>3480</v>
      </c>
      <c r="T15" s="11">
        <v>6960</v>
      </c>
      <c r="U15" s="13">
        <f>$BE$11</f>
        <v>2.5000000000000001E-2</v>
      </c>
      <c r="V15" s="13">
        <f t="shared" si="5"/>
        <v>0.17998560115190784</v>
      </c>
      <c r="W15">
        <f t="shared" si="6"/>
        <v>480734.48563698452</v>
      </c>
      <c r="X15">
        <f t="shared" si="7"/>
        <v>86525.285391825862</v>
      </c>
      <c r="Y15" s="11">
        <f t="shared" si="8"/>
        <v>0.6875</v>
      </c>
      <c r="Z15">
        <f t="shared" si="9"/>
        <v>624604.40392224281</v>
      </c>
      <c r="AA15" s="11">
        <v>83721</v>
      </c>
      <c r="AB15" s="11">
        <v>2976</v>
      </c>
      <c r="AC15" s="11">
        <v>5304</v>
      </c>
      <c r="AD15" s="13">
        <f>$BE$11</f>
        <v>2.5000000000000001E-2</v>
      </c>
      <c r="AE15" s="13">
        <f t="shared" si="10"/>
        <v>0.30400000000000005</v>
      </c>
      <c r="AF15" s="11">
        <f t="shared" si="11"/>
        <v>837210</v>
      </c>
      <c r="AG15" s="11">
        <f t="shared" si="12"/>
        <v>254511.84000000003</v>
      </c>
      <c r="AH15" s="11">
        <f t="shared" si="13"/>
        <v>0.34</v>
      </c>
      <c r="AI15">
        <f t="shared" si="14"/>
        <v>954278.00453333347</v>
      </c>
      <c r="AJ15" s="11">
        <v>7277</v>
      </c>
      <c r="AK15" s="11">
        <v>2976</v>
      </c>
      <c r="AL15" s="11">
        <f t="shared" si="15"/>
        <v>5304</v>
      </c>
      <c r="AM15" s="13">
        <f>$BE$11</f>
        <v>2.5000000000000001E-2</v>
      </c>
      <c r="AN15" s="13">
        <f t="shared" si="16"/>
        <v>0.4</v>
      </c>
      <c r="AO15">
        <f t="shared" si="17"/>
        <v>109155</v>
      </c>
      <c r="AP15">
        <f t="shared" si="18"/>
        <v>43662</v>
      </c>
      <c r="AQ15" s="11">
        <v>0.34</v>
      </c>
      <c r="AR15">
        <f t="shared" si="19"/>
        <v>163708.24333333338</v>
      </c>
    </row>
    <row r="16" spans="1:57" x14ac:dyDescent="0.35">
      <c r="B16" t="s">
        <v>18</v>
      </c>
      <c r="C16">
        <v>1000</v>
      </c>
      <c r="D16">
        <v>0</v>
      </c>
      <c r="E16">
        <f t="shared" si="0"/>
        <v>0</v>
      </c>
      <c r="F16" s="10">
        <v>8403017</v>
      </c>
      <c r="G16" s="7">
        <f t="shared" si="1"/>
        <v>83853.908315408</v>
      </c>
      <c r="H16">
        <f t="shared" si="2"/>
        <v>315054.8736533703</v>
      </c>
      <c r="I16" s="11">
        <f>6100*0.404686*1000</f>
        <v>2468584.6</v>
      </c>
      <c r="J16" s="11">
        <v>3240</v>
      </c>
      <c r="K16" s="11">
        <v>7032</v>
      </c>
      <c r="L16" s="13">
        <f>$BE$11</f>
        <v>2.5000000000000001E-2</v>
      </c>
      <c r="M16" s="13">
        <f t="shared" si="3"/>
        <v>0.4</v>
      </c>
      <c r="N16" s="13">
        <v>1</v>
      </c>
      <c r="O16">
        <f>7.98*I16</f>
        <v>19699305.108000003</v>
      </c>
      <c r="P16">
        <f t="shared" si="4"/>
        <v>7879722.0432000011</v>
      </c>
      <c r="Q16">
        <f>58.9*P16</f>
        <v>464115628.34448004</v>
      </c>
      <c r="R16" s="11">
        <f>5650*0.404686*1000</f>
        <v>2286475.9</v>
      </c>
      <c r="S16" s="11">
        <v>3384</v>
      </c>
      <c r="T16" s="11">
        <v>6912</v>
      </c>
      <c r="U16" s="13">
        <f>$BE$11</f>
        <v>2.5000000000000001E-2</v>
      </c>
      <c r="V16" s="13">
        <f t="shared" si="5"/>
        <v>0.17998560115190784</v>
      </c>
      <c r="W16">
        <f t="shared" si="6"/>
        <v>1312149.6830188225</v>
      </c>
      <c r="X16">
        <f t="shared" si="7"/>
        <v>236168.04949942807</v>
      </c>
      <c r="Y16" s="11">
        <f t="shared" si="8"/>
        <v>0.6875</v>
      </c>
      <c r="Z16">
        <f t="shared" si="9"/>
        <v>1704838.107323996</v>
      </c>
      <c r="AA16" s="11">
        <v>0</v>
      </c>
      <c r="AB16" s="11">
        <v>2976</v>
      </c>
      <c r="AC16" s="11">
        <v>5304</v>
      </c>
      <c r="AD16" s="13">
        <f>$BE$11</f>
        <v>2.5000000000000001E-2</v>
      </c>
      <c r="AE16" s="13">
        <f t="shared" si="10"/>
        <v>0.30400000000000005</v>
      </c>
      <c r="AF16" s="11">
        <f t="shared" si="11"/>
        <v>0</v>
      </c>
      <c r="AG16" s="11">
        <f t="shared" si="12"/>
        <v>0</v>
      </c>
      <c r="AH16" s="11">
        <f t="shared" si="13"/>
        <v>0.34</v>
      </c>
      <c r="AI16">
        <f t="shared" si="14"/>
        <v>0</v>
      </c>
      <c r="AJ16" s="11">
        <v>0</v>
      </c>
      <c r="AK16" s="11">
        <v>2976</v>
      </c>
      <c r="AL16" s="11">
        <f t="shared" si="15"/>
        <v>5304</v>
      </c>
      <c r="AM16" s="13">
        <f>$BE$11</f>
        <v>2.5000000000000001E-2</v>
      </c>
      <c r="AN16" s="13">
        <f t="shared" si="16"/>
        <v>0.4</v>
      </c>
      <c r="AO16">
        <f t="shared" si="17"/>
        <v>0</v>
      </c>
      <c r="AP16">
        <f t="shared" si="18"/>
        <v>0</v>
      </c>
      <c r="AQ16" s="11">
        <v>0.34</v>
      </c>
      <c r="AR16">
        <f t="shared" si="19"/>
        <v>0</v>
      </c>
    </row>
    <row r="17" spans="1:62" x14ac:dyDescent="0.35">
      <c r="B17" t="s">
        <v>19</v>
      </c>
      <c r="C17">
        <v>1000</v>
      </c>
      <c r="D17">
        <v>0</v>
      </c>
      <c r="E17">
        <f t="shared" si="0"/>
        <v>0</v>
      </c>
      <c r="F17" s="10">
        <v>14680418</v>
      </c>
      <c r="G17" s="7">
        <f t="shared" si="1"/>
        <v>146496.24355203199</v>
      </c>
      <c r="H17">
        <f t="shared" si="2"/>
        <v>550413.8856518633</v>
      </c>
      <c r="I17" s="11">
        <f>3800*0.404686*1000</f>
        <v>1537806.8</v>
      </c>
      <c r="J17" s="11">
        <v>3072</v>
      </c>
      <c r="K17" s="11">
        <v>7296</v>
      </c>
      <c r="L17" s="13">
        <f>$BE$11</f>
        <v>2.5000000000000001E-2</v>
      </c>
      <c r="M17" s="13">
        <f t="shared" si="3"/>
        <v>0.4</v>
      </c>
      <c r="N17" s="13">
        <v>1</v>
      </c>
      <c r="O17">
        <f>7.98*I17</f>
        <v>12271698.264</v>
      </c>
      <c r="P17">
        <f t="shared" si="4"/>
        <v>4908679.3056000005</v>
      </c>
      <c r="Q17">
        <f>58.9*P17</f>
        <v>289121211.09984004</v>
      </c>
      <c r="R17" s="11">
        <f>4850*0.404686*1000</f>
        <v>1962727.1</v>
      </c>
      <c r="S17" s="11">
        <v>3240</v>
      </c>
      <c r="T17" s="11">
        <v>6912</v>
      </c>
      <c r="U17" s="13">
        <f>$BE$11</f>
        <v>2.5000000000000001E-2</v>
      </c>
      <c r="V17" s="13">
        <f t="shared" si="5"/>
        <v>0.17998560115190784</v>
      </c>
      <c r="W17">
        <f t="shared" si="6"/>
        <v>1126358.5774586352</v>
      </c>
      <c r="X17">
        <f t="shared" si="7"/>
        <v>202728.32567650022</v>
      </c>
      <c r="Y17" s="11">
        <f t="shared" si="8"/>
        <v>0.6875</v>
      </c>
      <c r="Z17">
        <f t="shared" si="9"/>
        <v>1463445.1009772357</v>
      </c>
      <c r="AA17" s="11">
        <v>99707</v>
      </c>
      <c r="AB17" s="11">
        <v>2976</v>
      </c>
      <c r="AC17" s="11">
        <v>5304</v>
      </c>
      <c r="AD17" s="13">
        <f>$BE$11</f>
        <v>2.5000000000000001E-2</v>
      </c>
      <c r="AE17" s="13">
        <f t="shared" si="10"/>
        <v>0.30400000000000005</v>
      </c>
      <c r="AF17" s="11">
        <f t="shared" si="11"/>
        <v>997070</v>
      </c>
      <c r="AG17" s="11">
        <f t="shared" si="12"/>
        <v>303109.28000000003</v>
      </c>
      <c r="AH17" s="11">
        <f t="shared" si="13"/>
        <v>0.34</v>
      </c>
      <c r="AI17">
        <f t="shared" si="14"/>
        <v>1136491.4059555558</v>
      </c>
      <c r="AJ17" s="11">
        <v>6728</v>
      </c>
      <c r="AK17" s="11">
        <v>2976</v>
      </c>
      <c r="AL17" s="11">
        <f t="shared" si="15"/>
        <v>5304</v>
      </c>
      <c r="AM17" s="13">
        <f>$BE$11</f>
        <v>2.5000000000000001E-2</v>
      </c>
      <c r="AN17" s="13">
        <f t="shared" si="16"/>
        <v>0.4</v>
      </c>
      <c r="AO17">
        <f t="shared" si="17"/>
        <v>100920</v>
      </c>
      <c r="AP17">
        <f t="shared" si="18"/>
        <v>40368</v>
      </c>
      <c r="AQ17" s="11">
        <v>0.34</v>
      </c>
      <c r="AR17">
        <f t="shared" si="19"/>
        <v>151357.57333333336</v>
      </c>
    </row>
    <row r="18" spans="1:62" x14ac:dyDescent="0.35">
      <c r="B18" t="s">
        <v>21</v>
      </c>
      <c r="C18">
        <v>1000</v>
      </c>
      <c r="D18">
        <v>800000</v>
      </c>
      <c r="E18">
        <f t="shared" si="0"/>
        <v>1142400</v>
      </c>
      <c r="F18" s="10">
        <v>24935467</v>
      </c>
      <c r="G18" s="7">
        <f t="shared" si="1"/>
        <v>248831.62364420798</v>
      </c>
      <c r="H18">
        <f t="shared" si="2"/>
        <v>934907.11790453189</v>
      </c>
      <c r="I18" s="11">
        <f>1170*0.404686*1000</f>
        <v>473482.62</v>
      </c>
      <c r="J18" s="11">
        <v>3432</v>
      </c>
      <c r="K18" s="11">
        <v>7224</v>
      </c>
      <c r="L18" s="13">
        <f>$BE$11</f>
        <v>2.5000000000000001E-2</v>
      </c>
      <c r="M18" s="13">
        <f t="shared" si="3"/>
        <v>0.4</v>
      </c>
      <c r="N18" s="13">
        <v>1</v>
      </c>
      <c r="O18">
        <f>7.98*I18</f>
        <v>3778391.3075999999</v>
      </c>
      <c r="P18">
        <f t="shared" si="4"/>
        <v>1511356.5230400001</v>
      </c>
      <c r="Q18">
        <f>58.9*P18</f>
        <v>89018899.207056001</v>
      </c>
      <c r="R18" s="11">
        <f>330*0.404686*1000</f>
        <v>133546.38</v>
      </c>
      <c r="S18" s="11">
        <v>3720</v>
      </c>
      <c r="T18" s="11">
        <v>7128</v>
      </c>
      <c r="U18" s="13">
        <f>$BE$11</f>
        <v>2.5000000000000001E-2</v>
      </c>
      <c r="V18" s="13">
        <f t="shared" si="5"/>
        <v>0.17998560115190784</v>
      </c>
      <c r="W18">
        <f t="shared" si="6"/>
        <v>76638.831043577244</v>
      </c>
      <c r="X18">
        <f t="shared" si="7"/>
        <v>13793.886076957748</v>
      </c>
      <c r="Y18" s="11">
        <f t="shared" si="8"/>
        <v>0.6875</v>
      </c>
      <c r="Z18">
        <f t="shared" si="9"/>
        <v>99574.615118038724</v>
      </c>
      <c r="AA18" s="11">
        <v>22772</v>
      </c>
      <c r="AB18" s="11">
        <v>2976</v>
      </c>
      <c r="AC18" s="11">
        <v>5304</v>
      </c>
      <c r="AD18" s="13">
        <f>$BE$11</f>
        <v>2.5000000000000001E-2</v>
      </c>
      <c r="AE18" s="13">
        <f t="shared" si="10"/>
        <v>0.30400000000000005</v>
      </c>
      <c r="AF18" s="11">
        <f t="shared" si="11"/>
        <v>227720</v>
      </c>
      <c r="AG18" s="11">
        <f t="shared" si="12"/>
        <v>69226.880000000005</v>
      </c>
      <c r="AH18" s="11">
        <f t="shared" si="13"/>
        <v>0.34</v>
      </c>
      <c r="AI18">
        <f t="shared" si="14"/>
        <v>259562.34062222228</v>
      </c>
      <c r="AJ18" s="11">
        <v>1228</v>
      </c>
      <c r="AK18" s="11">
        <v>2976</v>
      </c>
      <c r="AL18" s="11">
        <f t="shared" si="15"/>
        <v>5304</v>
      </c>
      <c r="AM18" s="13">
        <f>$BE$11</f>
        <v>2.5000000000000001E-2</v>
      </c>
      <c r="AN18" s="13">
        <f t="shared" si="16"/>
        <v>0.4</v>
      </c>
      <c r="AO18">
        <f t="shared" si="17"/>
        <v>18420</v>
      </c>
      <c r="AP18">
        <f t="shared" si="18"/>
        <v>7368</v>
      </c>
      <c r="AQ18" s="11">
        <v>0.34</v>
      </c>
      <c r="AR18">
        <f t="shared" si="19"/>
        <v>27625.906666666673</v>
      </c>
    </row>
    <row r="19" spans="1:62" x14ac:dyDescent="0.35">
      <c r="B19" t="s">
        <v>22</v>
      </c>
      <c r="C19">
        <v>1000</v>
      </c>
      <c r="D19">
        <v>1500000</v>
      </c>
      <c r="E19">
        <f t="shared" si="0"/>
        <v>2142000</v>
      </c>
      <c r="F19" s="10">
        <v>16136497</v>
      </c>
      <c r="G19" s="7">
        <f t="shared" si="1"/>
        <v>161026.49083892797</v>
      </c>
      <c r="H19">
        <f t="shared" si="2"/>
        <v>605006.75216329901</v>
      </c>
      <c r="I19" s="11">
        <f>1440*0.404686*1000</f>
        <v>582747.84</v>
      </c>
      <c r="J19" s="11">
        <v>3264</v>
      </c>
      <c r="K19" s="11">
        <v>7320</v>
      </c>
      <c r="L19" s="13">
        <f>$BE$11</f>
        <v>2.5000000000000001E-2</v>
      </c>
      <c r="M19" s="13">
        <f t="shared" si="3"/>
        <v>0.4</v>
      </c>
      <c r="N19" s="13">
        <v>1</v>
      </c>
      <c r="O19">
        <f>7.98*I19</f>
        <v>4650327.7631999999</v>
      </c>
      <c r="P19">
        <f t="shared" si="4"/>
        <v>1860131.10528</v>
      </c>
      <c r="Q19">
        <f>58.9*P19</f>
        <v>109561722.10099199</v>
      </c>
      <c r="R19" s="11">
        <f>580*0.404686*1000</f>
        <v>234717.88</v>
      </c>
      <c r="S19" s="11">
        <v>3624</v>
      </c>
      <c r="T19" s="11">
        <v>7296</v>
      </c>
      <c r="U19" s="13">
        <f>$BE$11</f>
        <v>2.5000000000000001E-2</v>
      </c>
      <c r="V19" s="13">
        <f t="shared" si="5"/>
        <v>0.17998560115190784</v>
      </c>
      <c r="W19">
        <f t="shared" si="6"/>
        <v>134698.55153113574</v>
      </c>
      <c r="X19">
        <f t="shared" si="7"/>
        <v>24243.799771622704</v>
      </c>
      <c r="Y19" s="11">
        <f t="shared" si="8"/>
        <v>0.6875</v>
      </c>
      <c r="Z19">
        <f t="shared" si="9"/>
        <v>175009.92960140135</v>
      </c>
      <c r="AA19" s="11">
        <v>91020</v>
      </c>
      <c r="AB19" s="11">
        <v>2976</v>
      </c>
      <c r="AC19" s="11">
        <v>5304</v>
      </c>
      <c r="AD19" s="13">
        <f>$BE$11</f>
        <v>2.5000000000000001E-2</v>
      </c>
      <c r="AE19" s="13">
        <f t="shared" si="10"/>
        <v>0.30400000000000005</v>
      </c>
      <c r="AF19" s="11">
        <f t="shared" si="11"/>
        <v>910200</v>
      </c>
      <c r="AG19" s="11">
        <f t="shared" si="12"/>
        <v>276700.80000000005</v>
      </c>
      <c r="AH19" s="11">
        <f t="shared" si="13"/>
        <v>0.34</v>
      </c>
      <c r="AI19">
        <f t="shared" si="14"/>
        <v>1037474.2773333337</v>
      </c>
      <c r="AJ19" s="11">
        <v>934</v>
      </c>
      <c r="AK19" s="11">
        <v>2976</v>
      </c>
      <c r="AL19" s="11">
        <f t="shared" si="15"/>
        <v>5304</v>
      </c>
      <c r="AM19" s="13">
        <f>$BE$11</f>
        <v>2.5000000000000001E-2</v>
      </c>
      <c r="AN19" s="13">
        <f t="shared" si="16"/>
        <v>0.4</v>
      </c>
      <c r="AO19">
        <f t="shared" si="17"/>
        <v>14010</v>
      </c>
      <c r="AP19">
        <f t="shared" si="18"/>
        <v>5604</v>
      </c>
      <c r="AQ19" s="11">
        <v>0.34</v>
      </c>
      <c r="AR19">
        <f t="shared" si="19"/>
        <v>21011.886666666669</v>
      </c>
    </row>
    <row r="20" spans="1:62" x14ac:dyDescent="0.35">
      <c r="B20" t="s">
        <v>23</v>
      </c>
      <c r="C20">
        <v>1000</v>
      </c>
      <c r="D20">
        <v>1200000</v>
      </c>
      <c r="E20">
        <f t="shared" si="0"/>
        <v>1713600.0000000002</v>
      </c>
      <c r="F20" s="10">
        <v>2300073</v>
      </c>
      <c r="G20" s="7">
        <f t="shared" si="1"/>
        <v>22952.483668751996</v>
      </c>
      <c r="H20">
        <f t="shared" si="2"/>
        <v>86236.78952553925</v>
      </c>
      <c r="I20" s="11">
        <f>49*0.404686*1000</f>
        <v>19829.613999999998</v>
      </c>
      <c r="J20" s="11">
        <v>3288</v>
      </c>
      <c r="K20" s="11">
        <v>7128</v>
      </c>
      <c r="L20" s="13">
        <f>$BE$11</f>
        <v>2.5000000000000001E-2</v>
      </c>
      <c r="M20" s="13">
        <f t="shared" si="3"/>
        <v>0.4</v>
      </c>
      <c r="N20" s="13">
        <v>1</v>
      </c>
      <c r="O20">
        <f>7.98*I20</f>
        <v>158240.31972</v>
      </c>
      <c r="P20">
        <f t="shared" si="4"/>
        <v>63296.127888000003</v>
      </c>
      <c r="Q20">
        <f>58.9*P20</f>
        <v>3728141.9326032</v>
      </c>
      <c r="R20" s="11">
        <f>27*0.404686*1000</f>
        <v>10926.522000000001</v>
      </c>
      <c r="S20" s="11">
        <v>3720</v>
      </c>
      <c r="T20" s="11">
        <v>7320</v>
      </c>
      <c r="U20" s="13">
        <f>$BE$11</f>
        <v>2.5000000000000001E-2</v>
      </c>
      <c r="V20" s="13">
        <f t="shared" si="5"/>
        <v>0.17998560115190784</v>
      </c>
      <c r="W20">
        <f t="shared" si="6"/>
        <v>6270.4498126563203</v>
      </c>
      <c r="X20">
        <f t="shared" si="7"/>
        <v>1128.5906790238157</v>
      </c>
      <c r="Y20" s="11">
        <f t="shared" si="8"/>
        <v>0.6875</v>
      </c>
      <c r="Z20">
        <f t="shared" si="9"/>
        <v>8147.0139642031681</v>
      </c>
      <c r="AA20" s="11">
        <v>314</v>
      </c>
      <c r="AB20" s="11">
        <v>2976</v>
      </c>
      <c r="AC20" s="11">
        <v>5304</v>
      </c>
      <c r="AD20" s="13">
        <f>$BE$11</f>
        <v>2.5000000000000001E-2</v>
      </c>
      <c r="AE20" s="13">
        <f t="shared" si="10"/>
        <v>0.30400000000000005</v>
      </c>
      <c r="AF20" s="11">
        <f t="shared" si="11"/>
        <v>3140</v>
      </c>
      <c r="AG20" s="11">
        <f t="shared" si="12"/>
        <v>954.56000000000017</v>
      </c>
      <c r="AH20" s="11">
        <f t="shared" si="13"/>
        <v>0.34</v>
      </c>
      <c r="AI20">
        <f t="shared" si="14"/>
        <v>3579.0696888888901</v>
      </c>
      <c r="AJ20" s="11">
        <v>62</v>
      </c>
      <c r="AK20" s="11">
        <v>2976</v>
      </c>
      <c r="AL20" s="11">
        <f t="shared" si="15"/>
        <v>5304</v>
      </c>
      <c r="AM20" s="13">
        <f>$BE$11</f>
        <v>2.5000000000000001E-2</v>
      </c>
      <c r="AN20" s="13">
        <f t="shared" si="16"/>
        <v>0.4</v>
      </c>
      <c r="AO20">
        <f t="shared" si="17"/>
        <v>930</v>
      </c>
      <c r="AP20">
        <f t="shared" si="18"/>
        <v>372</v>
      </c>
      <c r="AQ20" s="11">
        <v>0.34</v>
      </c>
      <c r="AR20">
        <f t="shared" si="19"/>
        <v>1394.7933333333335</v>
      </c>
    </row>
    <row r="21" spans="1:62" x14ac:dyDescent="0.35">
      <c r="B21" t="s">
        <v>24</v>
      </c>
      <c r="C21">
        <v>1000</v>
      </c>
      <c r="D21">
        <v>0</v>
      </c>
      <c r="E21">
        <f t="shared" si="0"/>
        <v>0</v>
      </c>
      <c r="F21" s="10">
        <v>7625747</v>
      </c>
      <c r="G21" s="7">
        <f t="shared" si="1"/>
        <v>76097.512330928002</v>
      </c>
      <c r="H21">
        <f t="shared" si="2"/>
        <v>285912.63799627777</v>
      </c>
      <c r="I21" s="11">
        <v>0</v>
      </c>
      <c r="J21" s="11">
        <v>0</v>
      </c>
      <c r="K21" s="11">
        <v>0</v>
      </c>
      <c r="L21" s="13">
        <f>$BE$11</f>
        <v>2.5000000000000001E-2</v>
      </c>
      <c r="M21" s="13">
        <f t="shared" si="3"/>
        <v>0.4</v>
      </c>
      <c r="N21" s="13">
        <v>1</v>
      </c>
      <c r="O21">
        <f>7.98*I21</f>
        <v>0</v>
      </c>
      <c r="P21">
        <f t="shared" si="4"/>
        <v>0</v>
      </c>
      <c r="Q21">
        <f>58.9*P21</f>
        <v>0</v>
      </c>
      <c r="R21" s="11">
        <f>520*0.404686*1000</f>
        <v>210436.72</v>
      </c>
      <c r="S21" s="11">
        <v>3888</v>
      </c>
      <c r="T21" s="11">
        <v>7296</v>
      </c>
      <c r="U21" s="13">
        <f>$BE$11</f>
        <v>2.5000000000000001E-2</v>
      </c>
      <c r="V21" s="13">
        <f t="shared" si="5"/>
        <v>0.17998560115190784</v>
      </c>
      <c r="W21">
        <f t="shared" si="6"/>
        <v>120764.21861412171</v>
      </c>
      <c r="X21">
        <f t="shared" si="7"/>
        <v>21735.820484903114</v>
      </c>
      <c r="Y21" s="11">
        <f t="shared" si="8"/>
        <v>0.6875</v>
      </c>
      <c r="Z21">
        <f t="shared" si="9"/>
        <v>156905.45412539432</v>
      </c>
      <c r="AA21" s="11">
        <v>10085</v>
      </c>
      <c r="AB21" s="11">
        <v>2976</v>
      </c>
      <c r="AC21" s="11">
        <v>5304</v>
      </c>
      <c r="AD21" s="13">
        <f>$BE$11</f>
        <v>2.5000000000000001E-2</v>
      </c>
      <c r="AE21" s="13">
        <f t="shared" si="10"/>
        <v>0.30400000000000005</v>
      </c>
      <c r="AF21" s="11">
        <f t="shared" si="11"/>
        <v>100850</v>
      </c>
      <c r="AG21" s="11">
        <f t="shared" si="12"/>
        <v>30658.400000000005</v>
      </c>
      <c r="AH21" s="11">
        <f t="shared" si="13"/>
        <v>0.34</v>
      </c>
      <c r="AI21">
        <f t="shared" si="14"/>
        <v>114951.96755555559</v>
      </c>
      <c r="AJ21" s="11">
        <v>863</v>
      </c>
      <c r="AK21" s="11">
        <v>2976</v>
      </c>
      <c r="AL21" s="11">
        <f t="shared" si="15"/>
        <v>5304</v>
      </c>
      <c r="AM21" s="13">
        <f>$BE$11</f>
        <v>2.5000000000000001E-2</v>
      </c>
      <c r="AN21" s="13">
        <f t="shared" si="16"/>
        <v>0.4</v>
      </c>
      <c r="AO21">
        <f t="shared" si="17"/>
        <v>12945</v>
      </c>
      <c r="AP21">
        <f t="shared" si="18"/>
        <v>5178</v>
      </c>
      <c r="AQ21" s="11">
        <v>0.34</v>
      </c>
      <c r="AR21">
        <f t="shared" si="19"/>
        <v>19414.623333333337</v>
      </c>
    </row>
    <row r="22" spans="1:62" x14ac:dyDescent="0.35">
      <c r="B22" t="s">
        <v>25</v>
      </c>
      <c r="C22">
        <v>1000</v>
      </c>
      <c r="D22">
        <v>0</v>
      </c>
      <c r="E22">
        <f t="shared" si="0"/>
        <v>0</v>
      </c>
      <c r="F22" s="10">
        <v>1212527</v>
      </c>
      <c r="G22" s="7">
        <f t="shared" si="1"/>
        <v>12099.836033648</v>
      </c>
      <c r="H22">
        <f t="shared" si="2"/>
        <v>45461.355223522711</v>
      </c>
      <c r="I22" s="11">
        <v>0</v>
      </c>
      <c r="J22" s="11">
        <v>0</v>
      </c>
      <c r="K22" s="11">
        <v>0</v>
      </c>
      <c r="L22" s="13">
        <f>$BE$11</f>
        <v>2.5000000000000001E-2</v>
      </c>
      <c r="M22" s="13">
        <f t="shared" si="3"/>
        <v>0.4</v>
      </c>
      <c r="N22" s="13">
        <v>1</v>
      </c>
      <c r="O22">
        <f>7.98*I22</f>
        <v>0</v>
      </c>
      <c r="P22">
        <f t="shared" si="4"/>
        <v>0</v>
      </c>
      <c r="Q22">
        <f>58.9*P22</f>
        <v>0</v>
      </c>
      <c r="R22" s="11">
        <f>165*0.404686*1000</f>
        <v>66773.19</v>
      </c>
      <c r="S22" s="11">
        <v>3936</v>
      </c>
      <c r="T22" s="11">
        <v>7344</v>
      </c>
      <c r="U22" s="13">
        <f>$BE$11</f>
        <v>2.5000000000000001E-2</v>
      </c>
      <c r="V22" s="13">
        <f t="shared" si="5"/>
        <v>0.17998560115190784</v>
      </c>
      <c r="W22">
        <f t="shared" si="6"/>
        <v>38319.415521788622</v>
      </c>
      <c r="X22">
        <f t="shared" si="7"/>
        <v>6896.9430384788739</v>
      </c>
      <c r="Y22" s="11">
        <f t="shared" si="8"/>
        <v>0.6875</v>
      </c>
      <c r="Z22">
        <f t="shared" si="9"/>
        <v>49787.307559019362</v>
      </c>
      <c r="AA22" s="11">
        <v>991</v>
      </c>
      <c r="AB22" s="11">
        <v>2976</v>
      </c>
      <c r="AC22" s="11">
        <v>5304</v>
      </c>
      <c r="AD22" s="13">
        <f>$BE$11</f>
        <v>2.5000000000000001E-2</v>
      </c>
      <c r="AE22" s="13">
        <f t="shared" si="10"/>
        <v>0.30400000000000005</v>
      </c>
      <c r="AF22" s="11">
        <f t="shared" si="11"/>
        <v>9910</v>
      </c>
      <c r="AG22" s="11">
        <f t="shared" si="12"/>
        <v>3012.6400000000003</v>
      </c>
      <c r="AH22" s="11">
        <f t="shared" si="13"/>
        <v>0.34</v>
      </c>
      <c r="AI22">
        <f t="shared" si="14"/>
        <v>11295.726311111113</v>
      </c>
      <c r="AJ22" s="11">
        <v>1454</v>
      </c>
      <c r="AK22" s="11">
        <v>2976</v>
      </c>
      <c r="AL22" s="11">
        <f t="shared" si="15"/>
        <v>5304</v>
      </c>
      <c r="AM22" s="13">
        <f>$BE$11</f>
        <v>2.5000000000000001E-2</v>
      </c>
      <c r="AN22" s="13">
        <f t="shared" si="16"/>
        <v>0.4</v>
      </c>
      <c r="AO22">
        <f t="shared" si="17"/>
        <v>21810</v>
      </c>
      <c r="AP22">
        <f t="shared" si="18"/>
        <v>8724</v>
      </c>
      <c r="AQ22" s="11">
        <v>0.34</v>
      </c>
      <c r="AR22">
        <f t="shared" si="19"/>
        <v>32710.153333333339</v>
      </c>
    </row>
    <row r="23" spans="1:62" x14ac:dyDescent="0.35">
      <c r="B23" t="s">
        <v>26</v>
      </c>
      <c r="C23">
        <v>1000</v>
      </c>
      <c r="D23">
        <v>0</v>
      </c>
      <c r="E23">
        <f t="shared" si="0"/>
        <v>0</v>
      </c>
      <c r="F23" s="10">
        <v>11308092</v>
      </c>
      <c r="G23" s="7">
        <f t="shared" si="1"/>
        <v>112843.72146220799</v>
      </c>
      <c r="H23">
        <f t="shared" si="2"/>
        <v>423975.04328751069</v>
      </c>
      <c r="I23" s="11">
        <v>0</v>
      </c>
      <c r="J23" s="11">
        <v>0</v>
      </c>
      <c r="K23" s="11">
        <v>0</v>
      </c>
      <c r="L23" s="13">
        <f>$BE$11</f>
        <v>2.5000000000000001E-2</v>
      </c>
      <c r="M23" s="13">
        <f t="shared" si="3"/>
        <v>0.4</v>
      </c>
      <c r="N23" s="13">
        <v>1</v>
      </c>
      <c r="O23">
        <f>7.98*I23</f>
        <v>0</v>
      </c>
      <c r="P23">
        <f t="shared" si="4"/>
        <v>0</v>
      </c>
      <c r="Q23">
        <f>58.9*P23</f>
        <v>0</v>
      </c>
      <c r="R23" s="11">
        <f>100*0.404686*1000</f>
        <v>40468.6</v>
      </c>
      <c r="S23" s="11">
        <v>3840</v>
      </c>
      <c r="T23" s="11">
        <v>7296</v>
      </c>
      <c r="U23" s="13">
        <f>$BE$11</f>
        <v>2.5000000000000001E-2</v>
      </c>
      <c r="V23" s="13">
        <f t="shared" si="5"/>
        <v>0.17998560115190784</v>
      </c>
      <c r="W23">
        <f t="shared" si="6"/>
        <v>23223.888195023406</v>
      </c>
      <c r="X23">
        <f t="shared" si="7"/>
        <v>4179.9654778659833</v>
      </c>
      <c r="Y23" s="11">
        <f t="shared" si="8"/>
        <v>0.6875</v>
      </c>
      <c r="Z23">
        <f t="shared" si="9"/>
        <v>30174.125793345062</v>
      </c>
      <c r="AA23" s="11">
        <v>904</v>
      </c>
      <c r="AB23" s="11">
        <v>2976</v>
      </c>
      <c r="AC23" s="11">
        <v>5304</v>
      </c>
      <c r="AD23" s="13">
        <f>$BE$11</f>
        <v>2.5000000000000001E-2</v>
      </c>
      <c r="AE23" s="13">
        <f t="shared" si="10"/>
        <v>0.30400000000000005</v>
      </c>
      <c r="AF23" s="11">
        <f t="shared" si="11"/>
        <v>9040</v>
      </c>
      <c r="AG23" s="11">
        <f t="shared" si="12"/>
        <v>2748.1600000000003</v>
      </c>
      <c r="AH23" s="11">
        <f t="shared" si="13"/>
        <v>0.34</v>
      </c>
      <c r="AI23">
        <f t="shared" si="14"/>
        <v>10304.073244444447</v>
      </c>
      <c r="AJ23" s="11">
        <v>65</v>
      </c>
      <c r="AK23" s="11">
        <v>2976</v>
      </c>
      <c r="AL23" s="11">
        <f t="shared" si="15"/>
        <v>5304</v>
      </c>
      <c r="AM23" s="13">
        <f>$BE$11</f>
        <v>2.5000000000000001E-2</v>
      </c>
      <c r="AN23" s="13">
        <f t="shared" si="16"/>
        <v>0.4</v>
      </c>
      <c r="AO23">
        <f t="shared" si="17"/>
        <v>975</v>
      </c>
      <c r="AP23">
        <f t="shared" si="18"/>
        <v>390</v>
      </c>
      <c r="AQ23" s="11">
        <v>0.34</v>
      </c>
      <c r="AR23">
        <f t="shared" si="19"/>
        <v>1462.2833333333338</v>
      </c>
      <c r="BD23" s="5"/>
      <c r="BE23" s="5"/>
      <c r="BF23" s="6"/>
    </row>
    <row r="24" spans="1:62" x14ac:dyDescent="0.35">
      <c r="B24" t="s">
        <v>27</v>
      </c>
      <c r="C24">
        <v>1000</v>
      </c>
      <c r="D24">
        <v>0</v>
      </c>
      <c r="E24">
        <f t="shared" si="0"/>
        <v>0</v>
      </c>
      <c r="F24" s="10">
        <v>4506524</v>
      </c>
      <c r="G24" s="7">
        <f t="shared" si="1"/>
        <v>44970.71115257599</v>
      </c>
      <c r="H24">
        <f t="shared" si="2"/>
        <v>168963.40319624258</v>
      </c>
      <c r="I24" s="11">
        <v>0</v>
      </c>
      <c r="J24" s="11">
        <v>0</v>
      </c>
      <c r="K24" s="11">
        <v>0</v>
      </c>
      <c r="L24" s="13">
        <f>$BE$11</f>
        <v>2.5000000000000001E-2</v>
      </c>
      <c r="M24" s="13">
        <f t="shared" si="3"/>
        <v>0.4</v>
      </c>
      <c r="N24" s="13">
        <v>1</v>
      </c>
      <c r="O24">
        <f>7.98*I24</f>
        <v>0</v>
      </c>
      <c r="P24">
        <f t="shared" si="4"/>
        <v>0</v>
      </c>
      <c r="Q24">
        <f>58.9*P24</f>
        <v>0</v>
      </c>
      <c r="R24" s="11">
        <v>0</v>
      </c>
      <c r="S24" s="11">
        <v>0</v>
      </c>
      <c r="T24" s="11">
        <v>0</v>
      </c>
      <c r="U24" s="13">
        <f>$BE$11</f>
        <v>2.5000000000000001E-2</v>
      </c>
      <c r="V24" s="13">
        <f t="shared" si="5"/>
        <v>0.17998560115190784</v>
      </c>
      <c r="W24">
        <f t="shared" si="6"/>
        <v>0</v>
      </c>
      <c r="X24">
        <f t="shared" si="7"/>
        <v>0</v>
      </c>
      <c r="Y24" s="11">
        <f t="shared" si="8"/>
        <v>0.6875</v>
      </c>
      <c r="Z24">
        <f t="shared" si="9"/>
        <v>0</v>
      </c>
      <c r="AA24" s="11">
        <v>0</v>
      </c>
      <c r="AB24" s="11">
        <v>2976</v>
      </c>
      <c r="AC24" s="11">
        <v>5304</v>
      </c>
      <c r="AD24" s="13">
        <f>$BE$11</f>
        <v>2.5000000000000001E-2</v>
      </c>
      <c r="AE24" s="13">
        <f t="shared" si="10"/>
        <v>0.30400000000000005</v>
      </c>
      <c r="AF24" s="11">
        <f t="shared" si="11"/>
        <v>0</v>
      </c>
      <c r="AG24" s="11">
        <f t="shared" si="12"/>
        <v>0</v>
      </c>
      <c r="AH24" s="11">
        <f t="shared" si="13"/>
        <v>0.34</v>
      </c>
      <c r="AI24">
        <f t="shared" si="14"/>
        <v>0</v>
      </c>
      <c r="AJ24" s="11">
        <v>0</v>
      </c>
      <c r="AK24" s="11">
        <v>2976</v>
      </c>
      <c r="AL24" s="11">
        <f t="shared" si="15"/>
        <v>5304</v>
      </c>
      <c r="AM24" s="13">
        <f>$BE$11</f>
        <v>2.5000000000000001E-2</v>
      </c>
      <c r="AN24" s="13">
        <f t="shared" si="16"/>
        <v>0.4</v>
      </c>
      <c r="AO24">
        <f t="shared" si="17"/>
        <v>0</v>
      </c>
      <c r="AP24">
        <f t="shared" si="18"/>
        <v>0</v>
      </c>
      <c r="AQ24" s="11">
        <v>0.34</v>
      </c>
      <c r="AR24">
        <f t="shared" si="19"/>
        <v>0</v>
      </c>
      <c r="BF24" s="6"/>
    </row>
    <row r="25" spans="1:62" x14ac:dyDescent="0.35">
      <c r="B25" t="s">
        <v>28</v>
      </c>
      <c r="C25">
        <v>1000</v>
      </c>
      <c r="D25">
        <v>0</v>
      </c>
      <c r="E25">
        <f t="shared" si="0"/>
        <v>0</v>
      </c>
      <c r="F25" s="10">
        <v>1335277</v>
      </c>
      <c r="G25" s="7">
        <f t="shared" si="1"/>
        <v>13324.761229647998</v>
      </c>
      <c r="H25">
        <f t="shared" si="2"/>
        <v>50063.629114073112</v>
      </c>
      <c r="I25" s="11">
        <v>0</v>
      </c>
      <c r="J25" s="11">
        <v>0</v>
      </c>
      <c r="K25" s="11">
        <v>0</v>
      </c>
      <c r="L25" s="13">
        <f>$BE$11</f>
        <v>2.5000000000000001E-2</v>
      </c>
      <c r="M25" s="13">
        <f t="shared" si="3"/>
        <v>0.4</v>
      </c>
      <c r="N25" s="13">
        <v>1</v>
      </c>
      <c r="O25">
        <f>7.98*I25</f>
        <v>0</v>
      </c>
      <c r="P25">
        <f t="shared" si="4"/>
        <v>0</v>
      </c>
      <c r="Q25">
        <f>58.9*P25</f>
        <v>0</v>
      </c>
      <c r="R25" s="11">
        <v>0</v>
      </c>
      <c r="S25" s="11">
        <v>0</v>
      </c>
      <c r="T25" s="11">
        <v>0</v>
      </c>
      <c r="U25" s="13">
        <f>$BE$11</f>
        <v>2.5000000000000001E-2</v>
      </c>
      <c r="V25" s="13">
        <f t="shared" si="5"/>
        <v>0.17998560115190784</v>
      </c>
      <c r="W25">
        <f t="shared" si="6"/>
        <v>0</v>
      </c>
      <c r="X25">
        <f t="shared" si="7"/>
        <v>0</v>
      </c>
      <c r="Y25" s="11">
        <f t="shared" si="8"/>
        <v>0.6875</v>
      </c>
      <c r="Z25">
        <f t="shared" si="9"/>
        <v>0</v>
      </c>
      <c r="AA25" s="11">
        <v>0</v>
      </c>
      <c r="AB25" s="11">
        <v>2976</v>
      </c>
      <c r="AC25" s="11">
        <v>5304</v>
      </c>
      <c r="AD25" s="13">
        <f>$BE$11</f>
        <v>2.5000000000000001E-2</v>
      </c>
      <c r="AE25" s="13">
        <f t="shared" si="10"/>
        <v>0.30400000000000005</v>
      </c>
      <c r="AF25" s="11">
        <f t="shared" si="11"/>
        <v>0</v>
      </c>
      <c r="AG25" s="11">
        <f t="shared" si="12"/>
        <v>0</v>
      </c>
      <c r="AH25" s="11">
        <f t="shared" si="13"/>
        <v>0.34</v>
      </c>
      <c r="AI25">
        <f t="shared" si="14"/>
        <v>0</v>
      </c>
      <c r="AJ25" s="11">
        <v>0</v>
      </c>
      <c r="AK25" s="11">
        <v>2976</v>
      </c>
      <c r="AL25" s="11">
        <f t="shared" si="15"/>
        <v>5304</v>
      </c>
      <c r="AM25" s="13">
        <f>$BE$11</f>
        <v>2.5000000000000001E-2</v>
      </c>
      <c r="AN25" s="13">
        <f t="shared" si="16"/>
        <v>0.4</v>
      </c>
      <c r="AO25">
        <f t="shared" si="17"/>
        <v>0</v>
      </c>
      <c r="AP25">
        <f t="shared" si="18"/>
        <v>0</v>
      </c>
      <c r="AQ25" s="11">
        <v>0.34</v>
      </c>
      <c r="AR25">
        <f t="shared" si="19"/>
        <v>0</v>
      </c>
      <c r="BF25" s="6"/>
      <c r="BH25" s="6"/>
      <c r="BJ25" s="6"/>
    </row>
    <row r="26" spans="1:62" x14ac:dyDescent="0.35">
      <c r="B26" t="s">
        <v>29</v>
      </c>
      <c r="C26">
        <v>1000</v>
      </c>
      <c r="D26">
        <v>0</v>
      </c>
      <c r="E26">
        <f t="shared" si="0"/>
        <v>0</v>
      </c>
      <c r="F26" s="7">
        <v>8637906</v>
      </c>
      <c r="G26" s="7">
        <f t="shared" si="1"/>
        <v>86197.871283743996</v>
      </c>
      <c r="H26">
        <f t="shared" si="2"/>
        <v>323861.58250776946</v>
      </c>
      <c r="I26" s="11">
        <v>0</v>
      </c>
      <c r="J26" s="11">
        <v>0</v>
      </c>
      <c r="K26" s="11">
        <v>0</v>
      </c>
      <c r="L26" s="13">
        <f>$BE$11</f>
        <v>2.5000000000000001E-2</v>
      </c>
      <c r="M26" s="13">
        <f t="shared" si="3"/>
        <v>0.4</v>
      </c>
      <c r="N26" s="13">
        <v>1</v>
      </c>
      <c r="O26">
        <f>7.98*I26</f>
        <v>0</v>
      </c>
      <c r="P26">
        <f t="shared" si="4"/>
        <v>0</v>
      </c>
      <c r="Q26">
        <f>58.9*P26</f>
        <v>0</v>
      </c>
      <c r="R26" s="11">
        <v>0</v>
      </c>
      <c r="S26" s="11">
        <v>0</v>
      </c>
      <c r="T26" s="11">
        <v>0</v>
      </c>
      <c r="U26" s="13">
        <f>$BE$11</f>
        <v>2.5000000000000001E-2</v>
      </c>
      <c r="V26" s="13">
        <f t="shared" si="5"/>
        <v>0.17998560115190784</v>
      </c>
      <c r="W26">
        <f t="shared" si="6"/>
        <v>0</v>
      </c>
      <c r="X26">
        <f t="shared" si="7"/>
        <v>0</v>
      </c>
      <c r="Y26" s="11">
        <f t="shared" si="8"/>
        <v>0.6875</v>
      </c>
      <c r="Z26">
        <f t="shared" si="9"/>
        <v>0</v>
      </c>
      <c r="AA26" s="11">
        <v>0</v>
      </c>
      <c r="AB26" s="11">
        <v>2976</v>
      </c>
      <c r="AC26" s="11">
        <v>5304</v>
      </c>
      <c r="AD26" s="13">
        <f>$BE$11</f>
        <v>2.5000000000000001E-2</v>
      </c>
      <c r="AE26" s="13">
        <f t="shared" si="10"/>
        <v>0.30400000000000005</v>
      </c>
      <c r="AF26" s="11">
        <f t="shared" si="11"/>
        <v>0</v>
      </c>
      <c r="AG26" s="11">
        <f t="shared" si="12"/>
        <v>0</v>
      </c>
      <c r="AH26" s="11">
        <f t="shared" si="13"/>
        <v>0.34</v>
      </c>
      <c r="AI26">
        <f t="shared" si="14"/>
        <v>0</v>
      </c>
      <c r="AJ26" s="11">
        <v>0</v>
      </c>
      <c r="AK26" s="11">
        <v>2976</v>
      </c>
      <c r="AL26" s="11">
        <f t="shared" si="15"/>
        <v>5304</v>
      </c>
      <c r="AM26" s="13">
        <f>$BE$11</f>
        <v>2.5000000000000001E-2</v>
      </c>
      <c r="AN26" s="13">
        <f t="shared" si="16"/>
        <v>0.4</v>
      </c>
      <c r="AO26">
        <f t="shared" si="17"/>
        <v>0</v>
      </c>
      <c r="AP26">
        <f t="shared" si="18"/>
        <v>0</v>
      </c>
      <c r="AQ26" s="11">
        <v>0.34</v>
      </c>
      <c r="AR26">
        <f t="shared" si="19"/>
        <v>0</v>
      </c>
    </row>
    <row r="27" spans="1:62" x14ac:dyDescent="0.35">
      <c r="B27" t="s">
        <v>30</v>
      </c>
      <c r="C27">
        <v>1000</v>
      </c>
      <c r="D27">
        <v>0</v>
      </c>
      <c r="E27">
        <f t="shared" si="0"/>
        <v>0</v>
      </c>
      <c r="F27" s="7">
        <v>786961</v>
      </c>
      <c r="G27" s="7">
        <f t="shared" si="1"/>
        <v>7853.102706063999</v>
      </c>
      <c r="H27">
        <f t="shared" si="2"/>
        <v>29505.58096278158</v>
      </c>
      <c r="I27" s="11">
        <v>0</v>
      </c>
      <c r="J27" s="11">
        <v>0</v>
      </c>
      <c r="K27" s="11">
        <v>0</v>
      </c>
      <c r="L27" s="13">
        <f>$BE$11</f>
        <v>2.5000000000000001E-2</v>
      </c>
      <c r="M27" s="13">
        <f t="shared" si="3"/>
        <v>0.4</v>
      </c>
      <c r="N27" s="13">
        <v>1</v>
      </c>
      <c r="O27">
        <f>7.98*I27</f>
        <v>0</v>
      </c>
      <c r="P27">
        <f t="shared" si="4"/>
        <v>0</v>
      </c>
      <c r="Q27">
        <f>58.9*P27</f>
        <v>0</v>
      </c>
      <c r="R27" s="11">
        <v>0</v>
      </c>
      <c r="S27" s="11">
        <v>0</v>
      </c>
      <c r="T27" s="11">
        <v>0</v>
      </c>
      <c r="U27" s="13">
        <f>$BE$11</f>
        <v>2.5000000000000001E-2</v>
      </c>
      <c r="V27" s="13">
        <f t="shared" si="5"/>
        <v>0.17998560115190784</v>
      </c>
      <c r="W27">
        <f t="shared" si="6"/>
        <v>0</v>
      </c>
      <c r="X27">
        <f t="shared" si="7"/>
        <v>0</v>
      </c>
      <c r="Y27" s="11">
        <f t="shared" si="8"/>
        <v>0.6875</v>
      </c>
      <c r="Z27">
        <f t="shared" si="9"/>
        <v>0</v>
      </c>
      <c r="AA27" s="11">
        <v>0</v>
      </c>
      <c r="AB27" s="11">
        <v>2976</v>
      </c>
      <c r="AC27" s="11">
        <v>5304</v>
      </c>
      <c r="AD27" s="13">
        <f>$BE$11</f>
        <v>2.5000000000000001E-2</v>
      </c>
      <c r="AE27" s="13">
        <f t="shared" si="10"/>
        <v>0.30400000000000005</v>
      </c>
      <c r="AF27" s="11">
        <f t="shared" si="11"/>
        <v>0</v>
      </c>
      <c r="AG27" s="11">
        <f t="shared" si="12"/>
        <v>0</v>
      </c>
      <c r="AH27" s="11">
        <f t="shared" si="13"/>
        <v>0.34</v>
      </c>
      <c r="AI27">
        <f t="shared" si="14"/>
        <v>0</v>
      </c>
      <c r="AJ27" s="11">
        <v>0</v>
      </c>
      <c r="AK27" s="11">
        <v>2976</v>
      </c>
      <c r="AL27" s="11">
        <f t="shared" si="15"/>
        <v>5304</v>
      </c>
      <c r="AM27" s="13">
        <f>$BE$11</f>
        <v>2.5000000000000001E-2</v>
      </c>
      <c r="AN27" s="13">
        <f t="shared" si="16"/>
        <v>0.4</v>
      </c>
      <c r="AO27">
        <f t="shared" si="17"/>
        <v>0</v>
      </c>
      <c r="AP27">
        <f t="shared" si="18"/>
        <v>0</v>
      </c>
      <c r="AQ27" s="11">
        <v>0.34</v>
      </c>
      <c r="AR27">
        <f t="shared" si="19"/>
        <v>0</v>
      </c>
    </row>
    <row r="28" spans="1:62" x14ac:dyDescent="0.35">
      <c r="B28" t="s">
        <v>31</v>
      </c>
      <c r="C28">
        <v>1000</v>
      </c>
      <c r="D28">
        <v>800000</v>
      </c>
      <c r="E28">
        <f t="shared" si="0"/>
        <v>1142400</v>
      </c>
      <c r="F28" s="7">
        <v>1691732</v>
      </c>
      <c r="G28" s="7">
        <f t="shared" si="1"/>
        <v>16881.834229567998</v>
      </c>
      <c r="H28">
        <f t="shared" si="2"/>
        <v>63428.220068502</v>
      </c>
      <c r="I28" s="11">
        <v>0</v>
      </c>
      <c r="J28" s="11">
        <v>0</v>
      </c>
      <c r="K28" s="11">
        <v>0</v>
      </c>
      <c r="L28" s="13">
        <f>$BE$11</f>
        <v>2.5000000000000001E-2</v>
      </c>
      <c r="M28" s="13">
        <f t="shared" si="3"/>
        <v>0.4</v>
      </c>
      <c r="N28" s="13">
        <v>1</v>
      </c>
      <c r="O28">
        <f>7.98*I28</f>
        <v>0</v>
      </c>
      <c r="P28">
        <f t="shared" si="4"/>
        <v>0</v>
      </c>
      <c r="Q28">
        <f>58.9*P28</f>
        <v>0</v>
      </c>
      <c r="R28" s="11">
        <v>0</v>
      </c>
      <c r="S28" s="11">
        <v>0</v>
      </c>
      <c r="T28" s="11">
        <v>0</v>
      </c>
      <c r="U28" s="13">
        <f>$BE$11</f>
        <v>2.5000000000000001E-2</v>
      </c>
      <c r="V28" s="13">
        <f t="shared" si="5"/>
        <v>0.17998560115190784</v>
      </c>
      <c r="W28">
        <f t="shared" si="6"/>
        <v>0</v>
      </c>
      <c r="X28">
        <f t="shared" si="7"/>
        <v>0</v>
      </c>
      <c r="Y28" s="11">
        <f t="shared" si="8"/>
        <v>0.6875</v>
      </c>
      <c r="Z28">
        <f t="shared" si="9"/>
        <v>0</v>
      </c>
      <c r="AA28" s="11">
        <v>0</v>
      </c>
      <c r="AB28" s="11">
        <v>2976</v>
      </c>
      <c r="AC28" s="11">
        <v>5304</v>
      </c>
      <c r="AD28" s="13">
        <f>$BE$11</f>
        <v>2.5000000000000001E-2</v>
      </c>
      <c r="AE28" s="13">
        <f t="shared" si="10"/>
        <v>0.30400000000000005</v>
      </c>
      <c r="AF28" s="11">
        <f t="shared" si="11"/>
        <v>0</v>
      </c>
      <c r="AG28" s="11">
        <f t="shared" si="12"/>
        <v>0</v>
      </c>
      <c r="AH28" s="11">
        <f t="shared" si="13"/>
        <v>0.34</v>
      </c>
      <c r="AI28">
        <f t="shared" si="14"/>
        <v>0</v>
      </c>
      <c r="AJ28" s="11">
        <v>0</v>
      </c>
      <c r="AK28" s="11">
        <v>2976</v>
      </c>
      <c r="AL28" s="11">
        <f t="shared" si="15"/>
        <v>5304</v>
      </c>
      <c r="AM28" s="13">
        <f>$BE$11</f>
        <v>2.5000000000000001E-2</v>
      </c>
      <c r="AN28" s="13">
        <f t="shared" si="16"/>
        <v>0.4</v>
      </c>
      <c r="AO28">
        <f t="shared" si="17"/>
        <v>0</v>
      </c>
      <c r="AP28">
        <f t="shared" si="18"/>
        <v>0</v>
      </c>
      <c r="AQ28" s="11">
        <v>0.34</v>
      </c>
      <c r="AR28">
        <f t="shared" si="19"/>
        <v>0</v>
      </c>
    </row>
    <row r="29" spans="1:62" x14ac:dyDescent="0.35">
      <c r="B29" t="s">
        <v>20</v>
      </c>
      <c r="C29">
        <v>1000</v>
      </c>
      <c r="D29">
        <v>2300000</v>
      </c>
      <c r="E29">
        <f t="shared" si="0"/>
        <v>3284400.0000000005</v>
      </c>
      <c r="F29" s="7">
        <v>1684187</v>
      </c>
      <c r="G29" s="7">
        <f t="shared" si="1"/>
        <v>16806.542493487999</v>
      </c>
      <c r="H29">
        <f t="shared" si="2"/>
        <v>63145.33488313172</v>
      </c>
      <c r="I29" s="11">
        <f>29*0.404686*1000</f>
        <v>11735.894</v>
      </c>
      <c r="J29" s="11">
        <v>3432</v>
      </c>
      <c r="K29" s="11">
        <v>7224</v>
      </c>
      <c r="L29" s="13">
        <f>$BE$11</f>
        <v>2.5000000000000001E-2</v>
      </c>
      <c r="M29" s="13">
        <f t="shared" si="3"/>
        <v>0.4</v>
      </c>
      <c r="N29" s="13">
        <v>1</v>
      </c>
      <c r="O29">
        <f>7.98*I29</f>
        <v>93652.434120000005</v>
      </c>
      <c r="P29">
        <f t="shared" si="4"/>
        <v>37460.973648000007</v>
      </c>
      <c r="Q29">
        <f>58.9*P29</f>
        <v>2206451.3478672002</v>
      </c>
      <c r="R29" s="11">
        <v>0</v>
      </c>
      <c r="S29" s="11">
        <v>0</v>
      </c>
      <c r="T29" s="11">
        <v>0</v>
      </c>
      <c r="U29" s="13">
        <f>$BE$11</f>
        <v>2.5000000000000001E-2</v>
      </c>
      <c r="V29" s="13">
        <f t="shared" si="5"/>
        <v>0.17998560115190784</v>
      </c>
      <c r="W29">
        <f t="shared" si="6"/>
        <v>0</v>
      </c>
      <c r="X29">
        <f t="shared" si="7"/>
        <v>0</v>
      </c>
      <c r="Y29" s="11">
        <f t="shared" si="8"/>
        <v>0.6875</v>
      </c>
      <c r="Z29">
        <f t="shared" si="9"/>
        <v>0</v>
      </c>
      <c r="AA29" s="11">
        <v>0</v>
      </c>
      <c r="AB29" s="11">
        <v>2976</v>
      </c>
      <c r="AC29" s="11">
        <v>5304</v>
      </c>
      <c r="AD29" s="13">
        <f>$BE$11</f>
        <v>2.5000000000000001E-2</v>
      </c>
      <c r="AE29" s="13">
        <f t="shared" si="10"/>
        <v>0.30400000000000005</v>
      </c>
      <c r="AF29" s="11">
        <f t="shared" si="11"/>
        <v>0</v>
      </c>
      <c r="AG29" s="11">
        <f t="shared" si="12"/>
        <v>0</v>
      </c>
      <c r="AH29" s="11">
        <f t="shared" si="13"/>
        <v>0.34</v>
      </c>
      <c r="AI29">
        <f t="shared" si="14"/>
        <v>0</v>
      </c>
      <c r="AJ29" s="11">
        <v>0</v>
      </c>
      <c r="AK29" s="11">
        <v>2976</v>
      </c>
      <c r="AL29" s="11">
        <f t="shared" si="15"/>
        <v>5304</v>
      </c>
      <c r="AM29" s="13">
        <f>$BE$11</f>
        <v>2.5000000000000001E-2</v>
      </c>
      <c r="AN29" s="13">
        <f t="shared" si="16"/>
        <v>0.4</v>
      </c>
      <c r="AO29">
        <f t="shared" si="17"/>
        <v>0</v>
      </c>
      <c r="AP29">
        <f t="shared" si="18"/>
        <v>0</v>
      </c>
      <c r="AQ29" s="11">
        <v>0.34</v>
      </c>
      <c r="AR29">
        <f t="shared" si="19"/>
        <v>0</v>
      </c>
    </row>
    <row r="30" spans="1:62" x14ac:dyDescent="0.35">
      <c r="B30" t="s">
        <v>49</v>
      </c>
      <c r="C30">
        <v>1000</v>
      </c>
      <c r="D30">
        <v>1100000</v>
      </c>
      <c r="E30">
        <f t="shared" si="0"/>
        <v>1570799.9999999998</v>
      </c>
      <c r="F30" s="7">
        <v>10679776</v>
      </c>
      <c r="G30" s="7">
        <f t="shared" si="1"/>
        <v>106573.741018624</v>
      </c>
      <c r="H30">
        <f t="shared" si="2"/>
        <v>400417.54983076872</v>
      </c>
      <c r="I30" s="11">
        <f>500*0.404686*1000</f>
        <v>202343</v>
      </c>
      <c r="J30" s="11">
        <v>2856</v>
      </c>
      <c r="K30" s="11">
        <v>6576</v>
      </c>
      <c r="L30" s="13">
        <f>$BE$11</f>
        <v>2.5000000000000001E-2</v>
      </c>
      <c r="M30" s="13">
        <f t="shared" si="3"/>
        <v>0.4</v>
      </c>
      <c r="N30" s="13">
        <v>1</v>
      </c>
      <c r="O30">
        <f t="shared" ref="O30" si="29">7.98*I30</f>
        <v>1614697.1400000001</v>
      </c>
      <c r="P30">
        <f t="shared" si="4"/>
        <v>645878.85600000015</v>
      </c>
      <c r="Q30">
        <f>58.9*P30</f>
        <v>38042264.618400007</v>
      </c>
      <c r="R30" s="11">
        <f>610*0.404686*1000</f>
        <v>246858.46000000002</v>
      </c>
      <c r="S30" s="11">
        <v>3816</v>
      </c>
      <c r="T30" s="11">
        <v>7440</v>
      </c>
      <c r="U30" s="13">
        <f>$BE$11</f>
        <v>2.5000000000000001E-2</v>
      </c>
      <c r="V30" s="13">
        <f t="shared" si="5"/>
        <v>0.17998560115190784</v>
      </c>
      <c r="W30">
        <f t="shared" ref="W30" si="30">(1/36.74)*52.1*0.404686*R30</f>
        <v>141665.71798964278</v>
      </c>
      <c r="X30">
        <f t="shared" ref="X30" si="31">W30*V30</f>
        <v>25497.789414982501</v>
      </c>
      <c r="Y30" s="11">
        <f t="shared" si="8"/>
        <v>0.6875</v>
      </c>
      <c r="Z30">
        <f t="shared" ref="Z30" si="32">Y30*X30*(37.8/3.6)</f>
        <v>184062.1673394049</v>
      </c>
      <c r="AA30" s="11">
        <v>9628</v>
      </c>
      <c r="AB30" s="11">
        <v>2976</v>
      </c>
      <c r="AC30" s="11">
        <v>5304</v>
      </c>
      <c r="AD30" s="13">
        <f>$BE$11</f>
        <v>2.5000000000000001E-2</v>
      </c>
      <c r="AE30" s="13">
        <f t="shared" si="10"/>
        <v>0.30400000000000005</v>
      </c>
      <c r="AF30" s="11">
        <f t="shared" ref="AF30" si="33">10*AA30</f>
        <v>96280</v>
      </c>
      <c r="AG30" s="11">
        <f t="shared" ref="AG30" si="34">AF30*AE30</f>
        <v>29269.120000000006</v>
      </c>
      <c r="AH30" s="11">
        <f t="shared" si="13"/>
        <v>0.34</v>
      </c>
      <c r="AI30">
        <f t="shared" ref="AI30" si="35">AH30*AG30*(39.7/3.6)</f>
        <v>109742.93937777782</v>
      </c>
      <c r="AJ30" s="11">
        <v>8990</v>
      </c>
      <c r="AK30" s="11">
        <v>2976</v>
      </c>
      <c r="AL30" s="11">
        <f t="shared" si="15"/>
        <v>5304</v>
      </c>
      <c r="AM30" s="13">
        <f>$BE$11</f>
        <v>2.5000000000000001E-2</v>
      </c>
      <c r="AN30" s="13">
        <f t="shared" si="16"/>
        <v>0.4</v>
      </c>
      <c r="AO30">
        <f t="shared" ref="AO30" si="36">15*AJ30</f>
        <v>134850</v>
      </c>
      <c r="AP30">
        <f t="shared" ref="AP30" si="37">AO30*AN30</f>
        <v>53940</v>
      </c>
      <c r="AQ30" s="11">
        <v>0.34</v>
      </c>
    </row>
    <row r="31" spans="1:62" x14ac:dyDescent="0.35">
      <c r="A31">
        <v>3</v>
      </c>
      <c r="B31" t="s">
        <v>32</v>
      </c>
      <c r="C31">
        <v>1000</v>
      </c>
      <c r="D31">
        <v>800000</v>
      </c>
      <c r="E31">
        <f t="shared" si="0"/>
        <v>1142400</v>
      </c>
      <c r="F31" s="7">
        <v>49895314</v>
      </c>
      <c r="G31" s="7">
        <f t="shared" si="1"/>
        <v>497906.535893536</v>
      </c>
      <c r="H31">
        <f t="shared" si="2"/>
        <v>1870728.3167658995</v>
      </c>
      <c r="I31" s="11">
        <f>640*0.404686*1000</f>
        <v>258999.03999999998</v>
      </c>
      <c r="J31" s="11">
        <v>3216</v>
      </c>
      <c r="K31" s="11">
        <v>6888</v>
      </c>
      <c r="L31" s="13">
        <f>$BE$11</f>
        <v>2.5000000000000001E-2</v>
      </c>
      <c r="M31" s="13">
        <f t="shared" si="3"/>
        <v>0.4</v>
      </c>
      <c r="N31" s="13">
        <v>1</v>
      </c>
      <c r="O31">
        <f>7.98*I31</f>
        <v>2066812.3392</v>
      </c>
      <c r="P31">
        <f t="shared" si="4"/>
        <v>826724.93568000011</v>
      </c>
      <c r="Q31">
        <f>58.9*P31</f>
        <v>48694098.711552009</v>
      </c>
      <c r="R31" s="11">
        <v>0</v>
      </c>
      <c r="S31" s="11">
        <v>0</v>
      </c>
      <c r="T31" s="11">
        <v>0</v>
      </c>
      <c r="U31" s="13">
        <f>$BE$11</f>
        <v>2.5000000000000001E-2</v>
      </c>
      <c r="V31" s="13">
        <f t="shared" si="5"/>
        <v>0.17998560115190784</v>
      </c>
      <c r="W31">
        <f t="shared" si="6"/>
        <v>0</v>
      </c>
      <c r="X31">
        <f t="shared" si="7"/>
        <v>0</v>
      </c>
      <c r="Y31" s="11">
        <f t="shared" si="8"/>
        <v>0.6875</v>
      </c>
      <c r="Z31">
        <f t="shared" si="9"/>
        <v>0</v>
      </c>
      <c r="AA31" s="11">
        <v>0</v>
      </c>
      <c r="AB31" s="11">
        <v>2976</v>
      </c>
      <c r="AC31" s="11">
        <v>5304</v>
      </c>
      <c r="AD31" s="13">
        <f>$BE$11</f>
        <v>2.5000000000000001E-2</v>
      </c>
      <c r="AE31" s="13">
        <f t="shared" si="10"/>
        <v>0.30400000000000005</v>
      </c>
      <c r="AF31" s="11">
        <f t="shared" si="11"/>
        <v>0</v>
      </c>
      <c r="AG31" s="11">
        <f t="shared" si="12"/>
        <v>0</v>
      </c>
      <c r="AH31" s="11">
        <f t="shared" si="13"/>
        <v>0.34</v>
      </c>
      <c r="AI31">
        <f t="shared" si="14"/>
        <v>0</v>
      </c>
      <c r="AJ31" s="11">
        <v>0</v>
      </c>
      <c r="AK31" s="11">
        <v>2976</v>
      </c>
      <c r="AL31" s="11">
        <f t="shared" si="15"/>
        <v>5304</v>
      </c>
      <c r="AM31" s="13">
        <f>$BE$11</f>
        <v>2.5000000000000001E-2</v>
      </c>
      <c r="AN31" s="13">
        <f t="shared" si="16"/>
        <v>0.4</v>
      </c>
      <c r="AO31">
        <f t="shared" si="17"/>
        <v>0</v>
      </c>
      <c r="AP31">
        <f t="shared" si="18"/>
        <v>0</v>
      </c>
      <c r="AQ31" s="11">
        <v>0.34</v>
      </c>
      <c r="AR31">
        <f t="shared" si="19"/>
        <v>0</v>
      </c>
    </row>
    <row r="32" spans="1:62" x14ac:dyDescent="0.35">
      <c r="B32" t="s">
        <v>33</v>
      </c>
      <c r="C32">
        <v>1000</v>
      </c>
      <c r="D32">
        <v>0</v>
      </c>
      <c r="E32">
        <f t="shared" si="0"/>
        <v>0</v>
      </c>
      <c r="F32" s="7">
        <v>3784333</v>
      </c>
      <c r="G32" s="7">
        <f t="shared" si="1"/>
        <v>37763.949830992002</v>
      </c>
      <c r="H32">
        <f t="shared" si="2"/>
        <v>141886.24813888629</v>
      </c>
      <c r="I32" s="11">
        <f>6*0.404686*1000</f>
        <v>2428.116</v>
      </c>
      <c r="J32" s="11">
        <v>3216</v>
      </c>
      <c r="K32" s="11">
        <v>6888</v>
      </c>
      <c r="L32" s="13">
        <f>$BE$11</f>
        <v>2.5000000000000001E-2</v>
      </c>
      <c r="M32" s="13">
        <f t="shared" si="3"/>
        <v>0.4</v>
      </c>
      <c r="N32" s="13">
        <v>1</v>
      </c>
      <c r="O32">
        <f>7.98*I32</f>
        <v>19376.365680000003</v>
      </c>
      <c r="P32">
        <f t="shared" si="4"/>
        <v>7750.5462720000014</v>
      </c>
      <c r="Q32">
        <f>58.9*P32</f>
        <v>456507.17542080005</v>
      </c>
      <c r="R32" s="11">
        <v>0</v>
      </c>
      <c r="S32" s="11">
        <v>0</v>
      </c>
      <c r="T32" s="11">
        <v>0</v>
      </c>
      <c r="U32" s="13">
        <f>$BE$11</f>
        <v>2.5000000000000001E-2</v>
      </c>
      <c r="V32" s="13">
        <f t="shared" si="5"/>
        <v>0.17998560115190784</v>
      </c>
      <c r="W32">
        <f t="shared" si="6"/>
        <v>0</v>
      </c>
      <c r="X32">
        <f t="shared" si="7"/>
        <v>0</v>
      </c>
      <c r="Y32" s="11">
        <f t="shared" si="8"/>
        <v>0.6875</v>
      </c>
      <c r="Z32">
        <f t="shared" si="9"/>
        <v>0</v>
      </c>
      <c r="AA32" s="11">
        <v>0</v>
      </c>
      <c r="AB32" s="11">
        <v>2976</v>
      </c>
      <c r="AC32" s="11">
        <v>5304</v>
      </c>
      <c r="AD32" s="13">
        <f>$BE$11</f>
        <v>2.5000000000000001E-2</v>
      </c>
      <c r="AE32" s="13">
        <f t="shared" si="10"/>
        <v>0.30400000000000005</v>
      </c>
      <c r="AF32" s="11">
        <f t="shared" si="11"/>
        <v>0</v>
      </c>
      <c r="AG32" s="11">
        <f t="shared" si="12"/>
        <v>0</v>
      </c>
      <c r="AH32" s="11">
        <f t="shared" si="13"/>
        <v>0.34</v>
      </c>
      <c r="AI32">
        <f t="shared" si="14"/>
        <v>0</v>
      </c>
      <c r="AJ32" s="11">
        <v>0</v>
      </c>
      <c r="AK32" s="11">
        <v>2976</v>
      </c>
      <c r="AL32" s="11">
        <f t="shared" si="15"/>
        <v>5304</v>
      </c>
      <c r="AM32" s="13">
        <f>$BE$11</f>
        <v>2.5000000000000001E-2</v>
      </c>
      <c r="AN32" s="13">
        <f t="shared" si="16"/>
        <v>0.4</v>
      </c>
      <c r="AO32">
        <f t="shared" si="17"/>
        <v>0</v>
      </c>
      <c r="AP32">
        <f t="shared" si="18"/>
        <v>0</v>
      </c>
      <c r="AQ32" s="11">
        <v>0.34</v>
      </c>
      <c r="AR32">
        <f t="shared" si="19"/>
        <v>0</v>
      </c>
    </row>
    <row r="33" spans="1:44" ht="15" thickBot="1" x14ac:dyDescent="0.4">
      <c r="B33" t="s">
        <v>34</v>
      </c>
      <c r="C33">
        <v>1000</v>
      </c>
      <c r="D33">
        <v>0</v>
      </c>
      <c r="E33">
        <f t="shared" si="0"/>
        <v>0</v>
      </c>
      <c r="F33" s="7">
        <v>3930136</v>
      </c>
      <c r="G33" s="7">
        <f t="shared" si="1"/>
        <v>39218.921467264001</v>
      </c>
      <c r="H33">
        <f t="shared" si="2"/>
        <v>147352.84968726855</v>
      </c>
      <c r="I33" s="11">
        <f>85*0.404686*1000</f>
        <v>34398.310000000005</v>
      </c>
      <c r="J33" s="11">
        <v>3096</v>
      </c>
      <c r="K33" s="11">
        <v>7008</v>
      </c>
      <c r="L33" s="13">
        <f>$BE$11</f>
        <v>2.5000000000000001E-2</v>
      </c>
      <c r="M33" s="13">
        <f t="shared" si="3"/>
        <v>0.4</v>
      </c>
      <c r="N33" s="13">
        <v>1</v>
      </c>
      <c r="O33">
        <f>7.98*I33</f>
        <v>274498.51380000007</v>
      </c>
      <c r="P33">
        <f t="shared" si="4"/>
        <v>109799.40552000003</v>
      </c>
      <c r="Q33">
        <f>58.9*P33</f>
        <v>6467184.9851280013</v>
      </c>
      <c r="R33" s="11">
        <v>0</v>
      </c>
      <c r="S33" s="11">
        <v>0</v>
      </c>
      <c r="T33" s="11">
        <v>0</v>
      </c>
      <c r="U33" s="13">
        <f>$BE$11</f>
        <v>2.5000000000000001E-2</v>
      </c>
      <c r="V33" s="13">
        <f t="shared" si="5"/>
        <v>0.17998560115190784</v>
      </c>
      <c r="W33">
        <f t="shared" si="6"/>
        <v>0</v>
      </c>
      <c r="X33">
        <f t="shared" si="7"/>
        <v>0</v>
      </c>
      <c r="Y33" s="11">
        <f t="shared" si="8"/>
        <v>0.6875</v>
      </c>
      <c r="Z33">
        <f t="shared" si="9"/>
        <v>0</v>
      </c>
      <c r="AA33" s="11">
        <v>0</v>
      </c>
      <c r="AB33" s="11">
        <v>2976</v>
      </c>
      <c r="AC33" s="11">
        <v>5304</v>
      </c>
      <c r="AD33" s="13">
        <f>$BE$11</f>
        <v>2.5000000000000001E-2</v>
      </c>
      <c r="AE33" s="13">
        <f t="shared" si="10"/>
        <v>0.30400000000000005</v>
      </c>
      <c r="AF33" s="11">
        <f t="shared" si="11"/>
        <v>0</v>
      </c>
      <c r="AG33" s="11">
        <f t="shared" si="12"/>
        <v>0</v>
      </c>
      <c r="AH33" s="11">
        <f t="shared" si="13"/>
        <v>0.34</v>
      </c>
      <c r="AI33">
        <f t="shared" si="14"/>
        <v>0</v>
      </c>
      <c r="AJ33" s="11">
        <v>0</v>
      </c>
      <c r="AK33" s="11">
        <v>2976</v>
      </c>
      <c r="AL33" s="11">
        <f t="shared" si="15"/>
        <v>5304</v>
      </c>
      <c r="AM33" s="13">
        <f>$BE$11</f>
        <v>2.5000000000000001E-2</v>
      </c>
      <c r="AN33" s="13">
        <f t="shared" si="16"/>
        <v>0.4</v>
      </c>
      <c r="AO33">
        <f t="shared" si="17"/>
        <v>0</v>
      </c>
      <c r="AP33">
        <f t="shared" si="18"/>
        <v>0</v>
      </c>
      <c r="AQ33" s="11">
        <v>0.34</v>
      </c>
      <c r="AR33">
        <f t="shared" si="19"/>
        <v>0</v>
      </c>
    </row>
    <row r="34" spans="1:44" ht="15" thickBot="1" x14ac:dyDescent="0.4">
      <c r="B34" t="s">
        <v>35</v>
      </c>
      <c r="C34">
        <v>1000</v>
      </c>
      <c r="D34">
        <v>0</v>
      </c>
      <c r="E34">
        <f t="shared" si="0"/>
        <v>0</v>
      </c>
      <c r="F34" s="9">
        <v>8897143</v>
      </c>
      <c r="G34" s="7">
        <f t="shared" si="1"/>
        <v>88784.803528431992</v>
      </c>
      <c r="H34">
        <f t="shared" si="2"/>
        <v>333581.17254088243</v>
      </c>
      <c r="I34" s="11">
        <f>60*0.404686*1000</f>
        <v>24281.16</v>
      </c>
      <c r="J34" s="11">
        <v>2568</v>
      </c>
      <c r="K34" s="11">
        <v>6888</v>
      </c>
      <c r="L34" s="13">
        <f>$BE$11</f>
        <v>2.5000000000000001E-2</v>
      </c>
      <c r="M34" s="13">
        <f t="shared" si="3"/>
        <v>0.4</v>
      </c>
      <c r="N34" s="13">
        <v>1</v>
      </c>
      <c r="O34">
        <f>7.98*I34</f>
        <v>193763.6568</v>
      </c>
      <c r="P34">
        <f t="shared" si="4"/>
        <v>77505.462719999996</v>
      </c>
      <c r="Q34">
        <f>58.9*P34</f>
        <v>4565071.7542079994</v>
      </c>
      <c r="R34" s="11">
        <v>0</v>
      </c>
      <c r="S34" s="11">
        <v>0</v>
      </c>
      <c r="T34" s="11">
        <v>0</v>
      </c>
      <c r="U34" s="13">
        <f>$BE$11</f>
        <v>2.5000000000000001E-2</v>
      </c>
      <c r="V34" s="13">
        <f t="shared" si="5"/>
        <v>0.17998560115190784</v>
      </c>
      <c r="W34">
        <f t="shared" si="6"/>
        <v>0</v>
      </c>
      <c r="X34">
        <f t="shared" si="7"/>
        <v>0</v>
      </c>
      <c r="Y34" s="11">
        <f t="shared" si="8"/>
        <v>0.6875</v>
      </c>
      <c r="Z34">
        <f t="shared" si="9"/>
        <v>0</v>
      </c>
      <c r="AA34" s="11">
        <v>0</v>
      </c>
      <c r="AB34" s="11">
        <v>2976</v>
      </c>
      <c r="AC34" s="11">
        <v>5304</v>
      </c>
      <c r="AD34" s="13">
        <f>$BE$11</f>
        <v>2.5000000000000001E-2</v>
      </c>
      <c r="AE34" s="13">
        <f t="shared" si="10"/>
        <v>0.30400000000000005</v>
      </c>
      <c r="AF34" s="11">
        <f t="shared" si="11"/>
        <v>0</v>
      </c>
      <c r="AG34" s="11">
        <f t="shared" si="12"/>
        <v>0</v>
      </c>
      <c r="AH34" s="11">
        <f t="shared" si="13"/>
        <v>0.34</v>
      </c>
      <c r="AI34">
        <f t="shared" si="14"/>
        <v>0</v>
      </c>
      <c r="AJ34" s="11">
        <v>0</v>
      </c>
      <c r="AK34" s="11">
        <v>2976</v>
      </c>
      <c r="AL34" s="11">
        <f t="shared" si="15"/>
        <v>5304</v>
      </c>
      <c r="AM34" s="13">
        <f>$BE$11</f>
        <v>2.5000000000000001E-2</v>
      </c>
      <c r="AN34" s="13">
        <f t="shared" si="16"/>
        <v>0.4</v>
      </c>
      <c r="AO34">
        <f t="shared" si="17"/>
        <v>0</v>
      </c>
      <c r="AP34">
        <f t="shared" si="18"/>
        <v>0</v>
      </c>
      <c r="AQ34" s="11">
        <v>0.34</v>
      </c>
      <c r="AR34">
        <f t="shared" si="19"/>
        <v>0</v>
      </c>
    </row>
    <row r="35" spans="1:44" ht="15" thickBot="1" x14ac:dyDescent="0.4">
      <c r="B35" t="s">
        <v>36</v>
      </c>
      <c r="C35">
        <v>1000</v>
      </c>
      <c r="D35">
        <v>0</v>
      </c>
      <c r="E35">
        <f t="shared" si="0"/>
        <v>0</v>
      </c>
      <c r="F35" s="9">
        <v>7113432</v>
      </c>
      <c r="G35" s="7">
        <f t="shared" si="1"/>
        <v>70985.108650367998</v>
      </c>
      <c r="H35">
        <f t="shared" si="2"/>
        <v>266704.37772550515</v>
      </c>
      <c r="I35" s="11">
        <f>1480*0.404686*1000</f>
        <v>598935.28</v>
      </c>
      <c r="J35" s="11">
        <v>3120</v>
      </c>
      <c r="K35" s="11">
        <v>7152</v>
      </c>
      <c r="L35" s="13">
        <f>$BE$11</f>
        <v>2.5000000000000001E-2</v>
      </c>
      <c r="M35" s="13">
        <f t="shared" si="3"/>
        <v>0.4</v>
      </c>
      <c r="N35" s="13">
        <v>1</v>
      </c>
      <c r="O35">
        <f>7.98*I35</f>
        <v>4779503.5344000002</v>
      </c>
      <c r="P35">
        <f t="shared" si="4"/>
        <v>1911801.4137600001</v>
      </c>
      <c r="Q35">
        <f>58.9*P35</f>
        <v>112605103.270464</v>
      </c>
      <c r="R35" s="11">
        <v>0</v>
      </c>
      <c r="S35" s="11">
        <v>0</v>
      </c>
      <c r="T35" s="11">
        <v>0</v>
      </c>
      <c r="U35" s="13">
        <f>$BE$11</f>
        <v>2.5000000000000001E-2</v>
      </c>
      <c r="V35" s="13">
        <f t="shared" si="5"/>
        <v>0.17998560115190784</v>
      </c>
      <c r="W35">
        <f t="shared" si="6"/>
        <v>0</v>
      </c>
      <c r="X35">
        <f t="shared" si="7"/>
        <v>0</v>
      </c>
      <c r="Y35" s="11">
        <f t="shared" si="8"/>
        <v>0.6875</v>
      </c>
      <c r="Z35">
        <f t="shared" si="9"/>
        <v>0</v>
      </c>
      <c r="AA35" s="11">
        <v>0</v>
      </c>
      <c r="AB35" s="11">
        <v>2976</v>
      </c>
      <c r="AC35" s="11">
        <v>5304</v>
      </c>
      <c r="AD35" s="13">
        <f>$BE$11</f>
        <v>2.5000000000000001E-2</v>
      </c>
      <c r="AE35" s="13">
        <f t="shared" si="10"/>
        <v>0.30400000000000005</v>
      </c>
      <c r="AF35" s="11">
        <f t="shared" si="11"/>
        <v>0</v>
      </c>
      <c r="AG35" s="11">
        <f t="shared" si="12"/>
        <v>0</v>
      </c>
      <c r="AH35" s="11">
        <f t="shared" si="13"/>
        <v>0.34</v>
      </c>
      <c r="AI35">
        <f t="shared" si="14"/>
        <v>0</v>
      </c>
      <c r="AJ35" s="11">
        <v>0</v>
      </c>
      <c r="AK35" s="11">
        <v>2976</v>
      </c>
      <c r="AL35" s="11">
        <f t="shared" si="15"/>
        <v>5304</v>
      </c>
      <c r="AM35" s="13">
        <f>$BE$11</f>
        <v>2.5000000000000001E-2</v>
      </c>
      <c r="AN35" s="13">
        <f t="shared" si="16"/>
        <v>0.4</v>
      </c>
      <c r="AO35">
        <f t="shared" si="17"/>
        <v>0</v>
      </c>
      <c r="AP35">
        <f t="shared" si="18"/>
        <v>0</v>
      </c>
      <c r="AQ35" s="11">
        <v>0.34</v>
      </c>
      <c r="AR35">
        <f t="shared" si="19"/>
        <v>0</v>
      </c>
    </row>
    <row r="36" spans="1:44" ht="15" thickBot="1" x14ac:dyDescent="0.4">
      <c r="B36" t="s">
        <v>37</v>
      </c>
      <c r="C36">
        <v>1000</v>
      </c>
      <c r="D36">
        <v>0</v>
      </c>
      <c r="E36">
        <f t="shared" si="0"/>
        <v>0</v>
      </c>
      <c r="F36" s="9">
        <v>2629143</v>
      </c>
      <c r="G36" s="7">
        <f t="shared" si="1"/>
        <v>26236.281096431998</v>
      </c>
      <c r="H36">
        <f t="shared" si="2"/>
        <v>98574.632858846162</v>
      </c>
      <c r="I36" s="11">
        <f>125*0.404686*1000</f>
        <v>50585.75</v>
      </c>
      <c r="J36" s="11">
        <v>2880</v>
      </c>
      <c r="K36" s="11">
        <v>6912</v>
      </c>
      <c r="L36" s="13">
        <f>$BE$11</f>
        <v>2.5000000000000001E-2</v>
      </c>
      <c r="M36" s="13">
        <f t="shared" si="3"/>
        <v>0.4</v>
      </c>
      <c r="N36" s="13">
        <v>1</v>
      </c>
      <c r="O36">
        <f>7.98*I36</f>
        <v>403674.28500000003</v>
      </c>
      <c r="P36">
        <f t="shared" si="4"/>
        <v>161469.71400000004</v>
      </c>
      <c r="Q36">
        <f>58.9*P36</f>
        <v>9510566.1546000019</v>
      </c>
      <c r="R36" s="11">
        <v>0</v>
      </c>
      <c r="S36" s="11">
        <v>0</v>
      </c>
      <c r="T36" s="11">
        <v>0</v>
      </c>
      <c r="U36" s="13">
        <f>$BE$11</f>
        <v>2.5000000000000001E-2</v>
      </c>
      <c r="V36" s="13">
        <f t="shared" si="5"/>
        <v>0.17998560115190784</v>
      </c>
      <c r="W36">
        <f t="shared" si="6"/>
        <v>0</v>
      </c>
      <c r="X36">
        <f t="shared" si="7"/>
        <v>0</v>
      </c>
      <c r="Y36" s="11">
        <f t="shared" si="8"/>
        <v>0.6875</v>
      </c>
      <c r="Z36">
        <f t="shared" si="9"/>
        <v>0</v>
      </c>
      <c r="AA36" s="11">
        <v>0</v>
      </c>
      <c r="AB36" s="11">
        <v>2976</v>
      </c>
      <c r="AC36" s="11">
        <v>5304</v>
      </c>
      <c r="AD36" s="13">
        <f>$BE$11</f>
        <v>2.5000000000000001E-2</v>
      </c>
      <c r="AE36" s="13">
        <f t="shared" si="10"/>
        <v>0.30400000000000005</v>
      </c>
      <c r="AF36" s="11">
        <f t="shared" si="11"/>
        <v>0</v>
      </c>
      <c r="AG36" s="11">
        <f t="shared" si="12"/>
        <v>0</v>
      </c>
      <c r="AH36" s="11">
        <f t="shared" si="13"/>
        <v>0.34</v>
      </c>
      <c r="AI36">
        <f t="shared" si="14"/>
        <v>0</v>
      </c>
      <c r="AJ36" s="11">
        <v>0</v>
      </c>
      <c r="AK36" s="11">
        <v>2976</v>
      </c>
      <c r="AL36" s="11">
        <f t="shared" si="15"/>
        <v>5304</v>
      </c>
      <c r="AM36" s="13">
        <f>$BE$11</f>
        <v>2.5000000000000001E-2</v>
      </c>
      <c r="AN36" s="13">
        <f t="shared" si="16"/>
        <v>0.4</v>
      </c>
      <c r="AO36">
        <f t="shared" si="17"/>
        <v>0</v>
      </c>
      <c r="AP36">
        <f t="shared" si="18"/>
        <v>0</v>
      </c>
      <c r="AQ36" s="11">
        <v>0.34</v>
      </c>
      <c r="AR36">
        <f t="shared" si="19"/>
        <v>0</v>
      </c>
    </row>
    <row r="37" spans="1:44" x14ac:dyDescent="0.35">
      <c r="B37" t="s">
        <v>38</v>
      </c>
      <c r="C37">
        <v>1000</v>
      </c>
      <c r="D37">
        <v>1400000</v>
      </c>
      <c r="E37">
        <f t="shared" si="0"/>
        <v>1999200.0000000002</v>
      </c>
      <c r="F37" s="7">
        <v>35736651</v>
      </c>
      <c r="G37" s="7">
        <f t="shared" si="1"/>
        <v>356616.89800862398</v>
      </c>
      <c r="H37">
        <f t="shared" si="2"/>
        <v>1339876.6259308518</v>
      </c>
      <c r="I37" s="11">
        <f>1900*0.404686*1000</f>
        <v>768903.4</v>
      </c>
      <c r="J37" s="11">
        <v>2328</v>
      </c>
      <c r="K37" s="11">
        <v>5952</v>
      </c>
      <c r="L37" s="13">
        <f>$BE$11</f>
        <v>2.5000000000000001E-2</v>
      </c>
      <c r="M37" s="13">
        <f t="shared" si="3"/>
        <v>0.4</v>
      </c>
      <c r="N37" s="13">
        <v>1</v>
      </c>
      <c r="O37">
        <f>7.98*I37</f>
        <v>6135849.1320000002</v>
      </c>
      <c r="P37">
        <f t="shared" si="4"/>
        <v>2454339.6528000003</v>
      </c>
      <c r="Q37">
        <f>58.9*P37</f>
        <v>144560605.54992002</v>
      </c>
      <c r="R37" s="11">
        <f>165*0.404686*1000</f>
        <v>66773.19</v>
      </c>
      <c r="S37" s="11">
        <v>2856</v>
      </c>
      <c r="T37" s="11">
        <v>6264</v>
      </c>
      <c r="U37" s="13">
        <f>$BE$11</f>
        <v>2.5000000000000001E-2</v>
      </c>
      <c r="V37" s="13">
        <f t="shared" si="5"/>
        <v>0.17998560115190784</v>
      </c>
      <c r="W37">
        <f t="shared" si="6"/>
        <v>38319.415521788622</v>
      </c>
      <c r="X37">
        <f t="shared" si="7"/>
        <v>6896.9430384788739</v>
      </c>
      <c r="Y37" s="11">
        <f t="shared" si="8"/>
        <v>0.6875</v>
      </c>
      <c r="Z37">
        <f t="shared" si="9"/>
        <v>49787.307559019362</v>
      </c>
      <c r="AA37" s="11">
        <v>1812145</v>
      </c>
      <c r="AB37" s="11">
        <v>2976</v>
      </c>
      <c r="AC37" s="11">
        <v>5304</v>
      </c>
      <c r="AD37" s="13">
        <f>$BE$11</f>
        <v>2.5000000000000001E-2</v>
      </c>
      <c r="AE37" s="13">
        <f t="shared" si="10"/>
        <v>0.30400000000000005</v>
      </c>
      <c r="AF37" s="11">
        <f t="shared" si="11"/>
        <v>18121450</v>
      </c>
      <c r="AG37" s="11">
        <f t="shared" si="12"/>
        <v>5508920.8000000007</v>
      </c>
      <c r="AH37" s="11">
        <f t="shared" si="13"/>
        <v>0.34</v>
      </c>
      <c r="AI37">
        <f t="shared" si="14"/>
        <v>20655392.488444451</v>
      </c>
      <c r="AJ37" s="11">
        <v>4208</v>
      </c>
      <c r="AK37" s="11">
        <v>2976</v>
      </c>
      <c r="AL37" s="11">
        <f t="shared" si="15"/>
        <v>5304</v>
      </c>
      <c r="AM37" s="13">
        <f>$BE$11</f>
        <v>2.5000000000000001E-2</v>
      </c>
      <c r="AN37" s="13">
        <f t="shared" si="16"/>
        <v>0.4</v>
      </c>
      <c r="AO37">
        <f t="shared" si="17"/>
        <v>63120</v>
      </c>
      <c r="AP37">
        <f t="shared" si="18"/>
        <v>25248</v>
      </c>
      <c r="AQ37" s="11">
        <v>0.34</v>
      </c>
      <c r="AR37">
        <f t="shared" si="19"/>
        <v>94665.973333333342</v>
      </c>
    </row>
    <row r="38" spans="1:44" x14ac:dyDescent="0.35">
      <c r="B38" t="s">
        <v>40</v>
      </c>
      <c r="C38">
        <v>1000</v>
      </c>
      <c r="D38">
        <v>0</v>
      </c>
      <c r="E38">
        <f t="shared" si="0"/>
        <v>0</v>
      </c>
      <c r="F38" s="7">
        <v>3672558</v>
      </c>
      <c r="G38" s="7">
        <f t="shared" si="1"/>
        <v>36648.544423391999</v>
      </c>
      <c r="H38">
        <f t="shared" si="2"/>
        <v>137695.46065117733</v>
      </c>
      <c r="I38" s="11">
        <f>4700*0.404686*1000</f>
        <v>1902024.2</v>
      </c>
      <c r="J38" s="11">
        <v>2880</v>
      </c>
      <c r="K38" s="11">
        <v>6576</v>
      </c>
      <c r="L38" s="13">
        <f>$BE$11</f>
        <v>2.5000000000000001E-2</v>
      </c>
      <c r="M38" s="13">
        <f t="shared" si="3"/>
        <v>0.4</v>
      </c>
      <c r="N38" s="13">
        <v>1</v>
      </c>
      <c r="O38">
        <f>7.98*I38</f>
        <v>15178153.116</v>
      </c>
      <c r="P38">
        <f t="shared" si="4"/>
        <v>6071261.2464000005</v>
      </c>
      <c r="Q38">
        <f>58.9*P38</f>
        <v>357597287.41295999</v>
      </c>
      <c r="R38" s="11">
        <f>4050*0.404686*1000</f>
        <v>1638978.3</v>
      </c>
      <c r="S38" s="11">
        <v>3648</v>
      </c>
      <c r="T38" s="11">
        <v>6912</v>
      </c>
      <c r="U38" s="13">
        <f>$BE$11</f>
        <v>2.5000000000000001E-2</v>
      </c>
      <c r="V38" s="13">
        <f t="shared" si="5"/>
        <v>0.17998560115190784</v>
      </c>
      <c r="W38">
        <f t="shared" si="6"/>
        <v>940567.47189844796</v>
      </c>
      <c r="X38">
        <f t="shared" si="7"/>
        <v>169288.60185357236</v>
      </c>
      <c r="Y38" s="11">
        <f t="shared" si="8"/>
        <v>0.6875</v>
      </c>
      <c r="Z38">
        <f t="shared" si="9"/>
        <v>1222052.0946304754</v>
      </c>
      <c r="AA38" s="11">
        <v>1187273</v>
      </c>
      <c r="AB38" s="11">
        <v>2976</v>
      </c>
      <c r="AC38" s="11">
        <v>5304</v>
      </c>
      <c r="AD38" s="13">
        <f>$BE$11</f>
        <v>2.5000000000000001E-2</v>
      </c>
      <c r="AE38" s="13">
        <f t="shared" si="10"/>
        <v>0.30400000000000005</v>
      </c>
      <c r="AF38" s="11">
        <f t="shared" si="11"/>
        <v>11872730</v>
      </c>
      <c r="AG38" s="11">
        <f t="shared" si="12"/>
        <v>3609309.9200000004</v>
      </c>
      <c r="AH38" s="11">
        <f t="shared" si="13"/>
        <v>0.34</v>
      </c>
      <c r="AI38">
        <f t="shared" si="14"/>
        <v>13532907.027822226</v>
      </c>
      <c r="AJ38" s="11">
        <v>926</v>
      </c>
      <c r="AK38" s="11">
        <v>2976</v>
      </c>
      <c r="AL38" s="11">
        <f t="shared" si="15"/>
        <v>5304</v>
      </c>
      <c r="AM38" s="13">
        <f>$BE$11</f>
        <v>2.5000000000000001E-2</v>
      </c>
      <c r="AN38" s="13">
        <f t="shared" si="16"/>
        <v>0.4</v>
      </c>
      <c r="AO38">
        <f t="shared" si="17"/>
        <v>13890</v>
      </c>
      <c r="AP38">
        <f t="shared" si="18"/>
        <v>5556</v>
      </c>
      <c r="AQ38" s="11">
        <v>0.34</v>
      </c>
      <c r="AR38">
        <f t="shared" si="19"/>
        <v>20831.913333333338</v>
      </c>
    </row>
    <row r="39" spans="1:44" x14ac:dyDescent="0.35">
      <c r="B39" t="s">
        <v>41</v>
      </c>
      <c r="C39">
        <v>1000</v>
      </c>
      <c r="D39">
        <v>0</v>
      </c>
      <c r="E39">
        <f t="shared" si="0"/>
        <v>0</v>
      </c>
      <c r="F39" s="7">
        <v>4975763</v>
      </c>
      <c r="G39" s="7">
        <f t="shared" si="1"/>
        <v>49653.258395311997</v>
      </c>
      <c r="H39">
        <f t="shared" si="2"/>
        <v>186556.61214229543</v>
      </c>
      <c r="I39" s="11">
        <f>370*0.404686*1000</f>
        <v>149733.82</v>
      </c>
      <c r="J39" s="11">
        <v>2616</v>
      </c>
      <c r="K39" s="11">
        <v>6288</v>
      </c>
      <c r="L39" s="13">
        <f>$BE$11</f>
        <v>2.5000000000000001E-2</v>
      </c>
      <c r="M39" s="13">
        <f t="shared" si="3"/>
        <v>0.4</v>
      </c>
      <c r="N39" s="13">
        <v>1</v>
      </c>
      <c r="O39">
        <f>7.98*I39</f>
        <v>1194875.8836000001</v>
      </c>
      <c r="P39">
        <f t="shared" si="4"/>
        <v>477950.35344000004</v>
      </c>
      <c r="Q39">
        <f>58.9*P39</f>
        <v>28151275.817616001</v>
      </c>
      <c r="R39" s="11">
        <f>485*0.404686*1000</f>
        <v>196272.71</v>
      </c>
      <c r="S39" s="11">
        <v>3144</v>
      </c>
      <c r="T39" s="11">
        <v>7032</v>
      </c>
      <c r="U39" s="13">
        <f>$BE$11</f>
        <v>2.5000000000000001E-2</v>
      </c>
      <c r="V39" s="13">
        <f t="shared" si="5"/>
        <v>0.17998560115190784</v>
      </c>
      <c r="W39">
        <f t="shared" si="6"/>
        <v>112635.85774586351</v>
      </c>
      <c r="X39">
        <f t="shared" si="7"/>
        <v>20272.832567650021</v>
      </c>
      <c r="Y39" s="11">
        <f t="shared" si="8"/>
        <v>0.6875</v>
      </c>
      <c r="Z39">
        <f t="shared" si="9"/>
        <v>146344.51009772357</v>
      </c>
      <c r="AA39" s="11">
        <v>464033</v>
      </c>
      <c r="AB39" s="11">
        <v>2976</v>
      </c>
      <c r="AC39" s="11">
        <v>5304</v>
      </c>
      <c r="AD39" s="13">
        <f>$BE$11</f>
        <v>2.5000000000000001E-2</v>
      </c>
      <c r="AE39" s="13">
        <f t="shared" si="10"/>
        <v>0.30400000000000005</v>
      </c>
      <c r="AF39" s="11">
        <f t="shared" si="11"/>
        <v>4640330</v>
      </c>
      <c r="AG39" s="11">
        <f t="shared" si="12"/>
        <v>1410660.3200000003</v>
      </c>
      <c r="AH39" s="11">
        <f t="shared" si="13"/>
        <v>0.34</v>
      </c>
      <c r="AI39">
        <f t="shared" si="14"/>
        <v>5289192.4998222236</v>
      </c>
      <c r="AJ39" s="11">
        <v>568</v>
      </c>
      <c r="AK39" s="11">
        <v>2976</v>
      </c>
      <c r="AL39" s="11">
        <f t="shared" si="15"/>
        <v>5304</v>
      </c>
      <c r="AM39" s="13">
        <f>$BE$11</f>
        <v>2.5000000000000001E-2</v>
      </c>
      <c r="AN39" s="13">
        <f t="shared" si="16"/>
        <v>0.4</v>
      </c>
      <c r="AO39">
        <f t="shared" si="17"/>
        <v>8520</v>
      </c>
      <c r="AP39">
        <f t="shared" si="18"/>
        <v>3408</v>
      </c>
      <c r="AQ39" s="11">
        <v>0.34</v>
      </c>
      <c r="AR39">
        <f t="shared" si="19"/>
        <v>12778.106666666668</v>
      </c>
    </row>
    <row r="40" spans="1:44" x14ac:dyDescent="0.35">
      <c r="A40">
        <v>4</v>
      </c>
      <c r="B40" t="s">
        <v>42</v>
      </c>
      <c r="C40">
        <v>1000</v>
      </c>
      <c r="D40">
        <v>800000</v>
      </c>
      <c r="E40">
        <f t="shared" si="0"/>
        <v>1142400</v>
      </c>
      <c r="F40" s="7">
        <v>7716536</v>
      </c>
      <c r="G40" s="7">
        <f t="shared" si="1"/>
        <v>77003.497940863992</v>
      </c>
      <c r="H40">
        <f t="shared" si="2"/>
        <v>289316.59599423443</v>
      </c>
      <c r="I40" s="11">
        <f>3300*0.404686*1000</f>
        <v>1335463.8</v>
      </c>
      <c r="J40" s="11">
        <v>2952</v>
      </c>
      <c r="K40" s="11">
        <v>6648</v>
      </c>
      <c r="L40" s="13">
        <f>$BE$11</f>
        <v>2.5000000000000001E-2</v>
      </c>
      <c r="M40" s="13">
        <f t="shared" si="3"/>
        <v>0.4</v>
      </c>
      <c r="N40" s="13">
        <v>1</v>
      </c>
      <c r="O40">
        <f>7.98*I40</f>
        <v>10657001.124000002</v>
      </c>
      <c r="P40">
        <f t="shared" si="4"/>
        <v>4262800.4496000009</v>
      </c>
      <c r="Q40">
        <f>58.9*P40</f>
        <v>251078946.48144004</v>
      </c>
      <c r="R40" s="11">
        <f>5600*0.404686*1000</f>
        <v>2266241.5999999996</v>
      </c>
      <c r="S40" s="11">
        <v>3672</v>
      </c>
      <c r="T40" s="11">
        <v>7008</v>
      </c>
      <c r="U40" s="13">
        <f>$BE$11</f>
        <v>2.5000000000000001E-2</v>
      </c>
      <c r="V40" s="13">
        <f t="shared" si="5"/>
        <v>0.17998560115190784</v>
      </c>
      <c r="W40">
        <f t="shared" si="6"/>
        <v>1300537.7389213105</v>
      </c>
      <c r="X40">
        <f t="shared" si="7"/>
        <v>234078.06676049504</v>
      </c>
      <c r="Y40" s="11">
        <f t="shared" si="8"/>
        <v>0.6875</v>
      </c>
      <c r="Z40">
        <f t="shared" si="9"/>
        <v>1689751.0444273234</v>
      </c>
      <c r="AA40" s="11">
        <v>626196</v>
      </c>
      <c r="AB40" s="11">
        <v>2976</v>
      </c>
      <c r="AC40" s="11">
        <v>5304</v>
      </c>
      <c r="AD40" s="13">
        <f>$BE$11</f>
        <v>2.5000000000000001E-2</v>
      </c>
      <c r="AE40" s="13">
        <f t="shared" si="10"/>
        <v>0.30400000000000005</v>
      </c>
      <c r="AF40" s="11">
        <f t="shared" si="11"/>
        <v>6261960</v>
      </c>
      <c r="AG40" s="11">
        <f t="shared" si="12"/>
        <v>1903635.8400000003</v>
      </c>
      <c r="AH40" s="11">
        <f t="shared" si="13"/>
        <v>0.34</v>
      </c>
      <c r="AI40">
        <f t="shared" si="14"/>
        <v>7137576.8245333359</v>
      </c>
      <c r="AJ40" s="11">
        <v>13156</v>
      </c>
      <c r="AK40" s="11">
        <v>2976</v>
      </c>
      <c r="AL40" s="11">
        <f t="shared" si="15"/>
        <v>5304</v>
      </c>
      <c r="AM40" s="13">
        <f>$BE$11</f>
        <v>2.5000000000000001E-2</v>
      </c>
      <c r="AN40" s="13">
        <f t="shared" si="16"/>
        <v>0.4</v>
      </c>
      <c r="AO40">
        <f t="shared" si="17"/>
        <v>197340</v>
      </c>
      <c r="AP40">
        <f t="shared" si="18"/>
        <v>78936</v>
      </c>
      <c r="AQ40" s="11">
        <v>0.34</v>
      </c>
      <c r="AR40">
        <f t="shared" si="19"/>
        <v>295966.14666666673</v>
      </c>
    </row>
    <row r="41" spans="1:44" x14ac:dyDescent="0.35">
      <c r="B41" t="s">
        <v>43</v>
      </c>
      <c r="C41">
        <v>1000</v>
      </c>
      <c r="D41">
        <v>1550000</v>
      </c>
      <c r="E41">
        <f t="shared" si="0"/>
        <v>2213400</v>
      </c>
      <c r="F41" s="7">
        <v>3787219</v>
      </c>
      <c r="G41" s="7">
        <f t="shared" si="1"/>
        <v>37792.749294255998</v>
      </c>
      <c r="H41">
        <f t="shared" si="2"/>
        <v>141994.45312828041</v>
      </c>
      <c r="I41" s="11">
        <f>660*0.404686*1000</f>
        <v>267092.76</v>
      </c>
      <c r="J41" s="11">
        <v>2472</v>
      </c>
      <c r="K41" s="11">
        <v>6000</v>
      </c>
      <c r="L41" s="13">
        <f>$BE$11</f>
        <v>2.5000000000000001E-2</v>
      </c>
      <c r="M41" s="13">
        <f t="shared" si="3"/>
        <v>0.4</v>
      </c>
      <c r="N41" s="13">
        <v>1</v>
      </c>
      <c r="O41">
        <f>7.98*I41</f>
        <v>2131400.2248</v>
      </c>
      <c r="P41">
        <f t="shared" si="4"/>
        <v>852560.08992000006</v>
      </c>
      <c r="Q41">
        <f>58.9*P41</f>
        <v>50215789.296287999</v>
      </c>
      <c r="R41" s="11">
        <f>3130*0.404686*1000</f>
        <v>1266667.18</v>
      </c>
      <c r="S41" s="11">
        <v>3408</v>
      </c>
      <c r="T41" s="11">
        <v>7032</v>
      </c>
      <c r="U41" s="13">
        <f>$BE$11</f>
        <v>2.5000000000000001E-2</v>
      </c>
      <c r="V41" s="13">
        <f t="shared" si="5"/>
        <v>0.17998560115190784</v>
      </c>
      <c r="W41">
        <f t="shared" si="6"/>
        <v>726907.70050423255</v>
      </c>
      <c r="X41">
        <f t="shared" si="7"/>
        <v>130832.91945720528</v>
      </c>
      <c r="Y41" s="11">
        <f t="shared" si="8"/>
        <v>0.6875</v>
      </c>
      <c r="Z41">
        <f t="shared" si="9"/>
        <v>944450.13733170042</v>
      </c>
      <c r="AA41" s="11">
        <v>0</v>
      </c>
      <c r="AB41" s="11">
        <v>2976</v>
      </c>
      <c r="AC41" s="11">
        <v>5304</v>
      </c>
      <c r="AD41" s="13">
        <f>$BE$11</f>
        <v>2.5000000000000001E-2</v>
      </c>
      <c r="AE41" s="13">
        <f t="shared" si="10"/>
        <v>0.30400000000000005</v>
      </c>
      <c r="AF41" s="11">
        <f t="shared" si="11"/>
        <v>0</v>
      </c>
      <c r="AG41" s="11">
        <f t="shared" si="12"/>
        <v>0</v>
      </c>
      <c r="AH41" s="11">
        <f t="shared" si="13"/>
        <v>0.34</v>
      </c>
      <c r="AI41">
        <f t="shared" si="14"/>
        <v>0</v>
      </c>
      <c r="AJ41" s="11">
        <v>0</v>
      </c>
      <c r="AK41" s="11">
        <v>2976</v>
      </c>
      <c r="AL41" s="11">
        <f t="shared" si="15"/>
        <v>5304</v>
      </c>
      <c r="AM41" s="13">
        <f>$BE$11</f>
        <v>2.5000000000000001E-2</v>
      </c>
      <c r="AN41" s="13">
        <f t="shared" si="16"/>
        <v>0.4</v>
      </c>
      <c r="AO41">
        <f t="shared" si="17"/>
        <v>0</v>
      </c>
      <c r="AP41">
        <f t="shared" si="18"/>
        <v>0</v>
      </c>
      <c r="AQ41" s="11">
        <v>0.34</v>
      </c>
      <c r="AR41">
        <f t="shared" si="19"/>
        <v>0</v>
      </c>
    </row>
    <row r="42" spans="1:44" x14ac:dyDescent="0.35">
      <c r="B42" t="s">
        <v>44</v>
      </c>
      <c r="C42">
        <v>1000</v>
      </c>
      <c r="D42">
        <v>1400000</v>
      </c>
      <c r="E42">
        <f t="shared" si="0"/>
        <v>1999200.0000000002</v>
      </c>
      <c r="F42" s="7">
        <v>5928887</v>
      </c>
      <c r="G42" s="7">
        <f t="shared" si="1"/>
        <v>59164.505666287994</v>
      </c>
      <c r="H42">
        <f t="shared" si="2"/>
        <v>222292.15348369637</v>
      </c>
      <c r="I42" s="11">
        <f>590*0.404686*1000</f>
        <v>238764.74</v>
      </c>
      <c r="J42" s="14">
        <v>2088</v>
      </c>
      <c r="K42" s="11">
        <v>5592</v>
      </c>
      <c r="L42" s="13">
        <f>$BE$11</f>
        <v>2.5000000000000001E-2</v>
      </c>
      <c r="M42" s="13">
        <f t="shared" si="3"/>
        <v>0.4</v>
      </c>
      <c r="N42" s="13">
        <v>1</v>
      </c>
      <c r="O42">
        <f>7.98*I42</f>
        <v>1905342.6252000001</v>
      </c>
      <c r="P42">
        <f t="shared" si="4"/>
        <v>762137.05008000007</v>
      </c>
      <c r="Q42">
        <f>58.9*P42</f>
        <v>44889872.249712005</v>
      </c>
      <c r="R42" s="11">
        <f>1230*0.404686*1000</f>
        <v>497763.77999999997</v>
      </c>
      <c r="S42" s="11">
        <v>3168</v>
      </c>
      <c r="T42" s="11">
        <v>6504</v>
      </c>
      <c r="U42" s="13">
        <f>$BE$11</f>
        <v>2.5000000000000001E-2</v>
      </c>
      <c r="V42" s="13">
        <f t="shared" si="5"/>
        <v>0.17998560115190784</v>
      </c>
      <c r="W42">
        <f t="shared" si="6"/>
        <v>285653.82479878789</v>
      </c>
      <c r="X42">
        <f t="shared" si="7"/>
        <v>51413.5753777516</v>
      </c>
      <c r="Y42" s="11">
        <f t="shared" si="8"/>
        <v>0.6875</v>
      </c>
      <c r="Z42">
        <f t="shared" si="9"/>
        <v>371141.74725814426</v>
      </c>
      <c r="AA42" s="11">
        <v>19795</v>
      </c>
      <c r="AB42" s="11">
        <v>2976</v>
      </c>
      <c r="AC42" s="11">
        <v>5304</v>
      </c>
      <c r="AD42" s="13">
        <f>$BE$11</f>
        <v>2.5000000000000001E-2</v>
      </c>
      <c r="AE42" s="13">
        <f t="shared" si="10"/>
        <v>0.30400000000000005</v>
      </c>
      <c r="AF42" s="11">
        <f t="shared" si="11"/>
        <v>197950</v>
      </c>
      <c r="AG42" s="11">
        <f t="shared" si="12"/>
        <v>60176.80000000001</v>
      </c>
      <c r="AH42" s="11">
        <f t="shared" si="13"/>
        <v>0.34</v>
      </c>
      <c r="AI42">
        <f t="shared" si="14"/>
        <v>225629.56844444451</v>
      </c>
      <c r="AJ42" s="11">
        <v>84240</v>
      </c>
      <c r="AK42" s="11">
        <v>2976</v>
      </c>
      <c r="AL42" s="11">
        <f t="shared" si="15"/>
        <v>5304</v>
      </c>
      <c r="AM42" s="13">
        <f>$BE$11</f>
        <v>2.5000000000000001E-2</v>
      </c>
      <c r="AN42" s="13">
        <f t="shared" si="16"/>
        <v>0.4</v>
      </c>
      <c r="AO42">
        <f t="shared" si="17"/>
        <v>1263600</v>
      </c>
      <c r="AP42">
        <f t="shared" si="18"/>
        <v>505440</v>
      </c>
      <c r="AQ42" s="11">
        <v>0.34</v>
      </c>
      <c r="AR42">
        <f t="shared" si="19"/>
        <v>1895119.2000000002</v>
      </c>
    </row>
    <row r="43" spans="1:44" x14ac:dyDescent="0.35">
      <c r="B43" t="s">
        <v>45</v>
      </c>
      <c r="C43">
        <v>1000</v>
      </c>
      <c r="D43">
        <v>2300000</v>
      </c>
      <c r="E43">
        <f t="shared" si="0"/>
        <v>3284400.0000000005</v>
      </c>
      <c r="F43" s="7">
        <v>3773856</v>
      </c>
      <c r="G43" s="7">
        <f t="shared" si="1"/>
        <v>37659.399596543997</v>
      </c>
      <c r="H43">
        <f t="shared" si="2"/>
        <v>141493.43328307124</v>
      </c>
      <c r="I43" s="11">
        <f>900*0.404686*1000</f>
        <v>364217.4</v>
      </c>
      <c r="J43" s="14">
        <v>2376</v>
      </c>
      <c r="K43" s="11">
        <v>6000</v>
      </c>
      <c r="L43" s="13">
        <f>$BE$11</f>
        <v>2.5000000000000001E-2</v>
      </c>
      <c r="M43" s="13">
        <f t="shared" si="3"/>
        <v>0.4</v>
      </c>
      <c r="N43" s="13">
        <v>1</v>
      </c>
      <c r="O43">
        <f>7.98*I43</f>
        <v>2906454.8520000004</v>
      </c>
      <c r="P43">
        <f t="shared" si="4"/>
        <v>1162581.9408000002</v>
      </c>
      <c r="Q43">
        <f>58.9*P43</f>
        <v>68476076.313120008</v>
      </c>
      <c r="R43" s="11">
        <f>2040*0.404686*1000</f>
        <v>825559.44</v>
      </c>
      <c r="S43" s="11">
        <v>3168</v>
      </c>
      <c r="T43" s="11">
        <v>6696</v>
      </c>
      <c r="U43" s="13">
        <f>$BE$11</f>
        <v>2.5000000000000001E-2</v>
      </c>
      <c r="V43" s="13">
        <f t="shared" si="5"/>
        <v>0.17998560115190784</v>
      </c>
      <c r="W43">
        <f t="shared" si="6"/>
        <v>473767.31917847745</v>
      </c>
      <c r="X43">
        <f t="shared" si="7"/>
        <v>85271.295748466058</v>
      </c>
      <c r="Y43" s="11">
        <f t="shared" si="8"/>
        <v>0.6875</v>
      </c>
      <c r="Z43">
        <f t="shared" si="9"/>
        <v>615552.16618423921</v>
      </c>
      <c r="AA43" s="11">
        <v>66520</v>
      </c>
      <c r="AB43" s="11">
        <v>2976</v>
      </c>
      <c r="AC43" s="11">
        <v>5304</v>
      </c>
      <c r="AD43" s="13">
        <f>$BE$11</f>
        <v>2.5000000000000001E-2</v>
      </c>
      <c r="AE43" s="13">
        <f t="shared" si="10"/>
        <v>0.30400000000000005</v>
      </c>
      <c r="AF43" s="11">
        <f t="shared" si="11"/>
        <v>665200</v>
      </c>
      <c r="AG43" s="11">
        <f t="shared" si="12"/>
        <v>202220.80000000002</v>
      </c>
      <c r="AH43" s="11">
        <f t="shared" si="13"/>
        <v>0.34</v>
      </c>
      <c r="AI43">
        <f t="shared" si="14"/>
        <v>758215.65511111135</v>
      </c>
      <c r="AJ43" s="11">
        <v>288460</v>
      </c>
      <c r="AK43" s="11">
        <v>2976</v>
      </c>
      <c r="AL43" s="11">
        <f t="shared" si="15"/>
        <v>5304</v>
      </c>
      <c r="AM43" s="13">
        <f>$BE$11</f>
        <v>2.5000000000000001E-2</v>
      </c>
      <c r="AN43" s="13">
        <f t="shared" si="16"/>
        <v>0.4</v>
      </c>
      <c r="AO43">
        <f t="shared" si="17"/>
        <v>4326900</v>
      </c>
      <c r="AP43">
        <f t="shared" si="18"/>
        <v>1730760</v>
      </c>
      <c r="AQ43" s="11">
        <v>0.34</v>
      </c>
      <c r="AR43">
        <f t="shared" si="19"/>
        <v>6489388.4666666677</v>
      </c>
    </row>
    <row r="44" spans="1:44" x14ac:dyDescent="0.35">
      <c r="B44" t="s">
        <v>46</v>
      </c>
      <c r="C44">
        <v>1000</v>
      </c>
      <c r="D44">
        <v>800000</v>
      </c>
      <c r="E44">
        <f t="shared" si="0"/>
        <v>1142400</v>
      </c>
      <c r="F44" s="7">
        <v>5619413</v>
      </c>
      <c r="G44" s="7">
        <f t="shared" si="1"/>
        <v>56076.257192912002</v>
      </c>
      <c r="H44">
        <f t="shared" si="2"/>
        <v>210689.02427795951</v>
      </c>
      <c r="I44" s="11">
        <f>1500*0.404686*1000</f>
        <v>607029</v>
      </c>
      <c r="J44" s="14">
        <v>2832</v>
      </c>
      <c r="K44" s="11">
        <v>6552</v>
      </c>
      <c r="L44" s="13">
        <f>$BE$11</f>
        <v>2.5000000000000001E-2</v>
      </c>
      <c r="M44" s="13">
        <f t="shared" si="3"/>
        <v>0.4</v>
      </c>
      <c r="N44" s="13">
        <v>1</v>
      </c>
      <c r="O44">
        <f>7.98*I44</f>
        <v>4844091.42</v>
      </c>
      <c r="P44">
        <f t="shared" si="4"/>
        <v>1937636.568</v>
      </c>
      <c r="Q44">
        <f>58.9*P44</f>
        <v>114126793.85519999</v>
      </c>
      <c r="R44" s="11">
        <f>1790*0.404686*1000</f>
        <v>724387.94</v>
      </c>
      <c r="S44" s="11">
        <v>3768</v>
      </c>
      <c r="T44" s="11">
        <v>7176</v>
      </c>
      <c r="U44" s="13">
        <f>$BE$11</f>
        <v>2.5000000000000001E-2</v>
      </c>
      <c r="V44" s="13">
        <f t="shared" si="5"/>
        <v>0.17998560115190784</v>
      </c>
      <c r="W44">
        <f t="shared" si="6"/>
        <v>415707.59869091894</v>
      </c>
      <c r="X44">
        <f t="shared" si="7"/>
        <v>74821.382053801106</v>
      </c>
      <c r="Y44" s="11">
        <f t="shared" si="8"/>
        <v>0.6875</v>
      </c>
      <c r="Z44">
        <f t="shared" si="9"/>
        <v>540116.85170087661</v>
      </c>
      <c r="AA44" s="11">
        <v>124220</v>
      </c>
      <c r="AB44" s="11">
        <v>2976</v>
      </c>
      <c r="AC44" s="11">
        <v>5304</v>
      </c>
      <c r="AD44" s="13">
        <f>$BE$11</f>
        <v>2.5000000000000001E-2</v>
      </c>
      <c r="AE44" s="13">
        <f t="shared" si="10"/>
        <v>0.30400000000000005</v>
      </c>
      <c r="AF44" s="11">
        <f t="shared" si="11"/>
        <v>1242200</v>
      </c>
      <c r="AG44" s="11">
        <f t="shared" si="12"/>
        <v>377628.80000000005</v>
      </c>
      <c r="AH44" s="11">
        <f t="shared" si="13"/>
        <v>0.34</v>
      </c>
      <c r="AI44">
        <f t="shared" si="14"/>
        <v>1415898.2062222227</v>
      </c>
      <c r="AJ44" s="11">
        <v>3985</v>
      </c>
      <c r="AK44" s="11">
        <v>2976</v>
      </c>
      <c r="AL44" s="11">
        <f t="shared" si="15"/>
        <v>5304</v>
      </c>
      <c r="AM44" s="13">
        <f>$BE$11</f>
        <v>2.5000000000000001E-2</v>
      </c>
      <c r="AN44" s="13">
        <f t="shared" si="16"/>
        <v>0.4</v>
      </c>
      <c r="AO44">
        <f t="shared" si="17"/>
        <v>59775</v>
      </c>
      <c r="AP44">
        <f t="shared" si="18"/>
        <v>23910</v>
      </c>
      <c r="AQ44" s="11">
        <v>0.34</v>
      </c>
      <c r="AR44">
        <f t="shared" si="19"/>
        <v>89649.216666666674</v>
      </c>
    </row>
    <row r="45" spans="1:44" x14ac:dyDescent="0.35">
      <c r="B45" t="s">
        <v>47</v>
      </c>
      <c r="C45">
        <v>1000</v>
      </c>
      <c r="D45">
        <v>1100000</v>
      </c>
      <c r="E45">
        <f t="shared" si="0"/>
        <v>1570799.9999999998</v>
      </c>
      <c r="F45" s="7">
        <v>8471210</v>
      </c>
      <c r="G45" s="7">
        <f t="shared" si="1"/>
        <v>84534.407899040001</v>
      </c>
      <c r="H45">
        <f t="shared" si="2"/>
        <v>317611.63832480257</v>
      </c>
      <c r="I45" s="11">
        <f>950*0.404686*1000</f>
        <v>384451.7</v>
      </c>
      <c r="J45" s="14">
        <v>2688</v>
      </c>
      <c r="K45" s="11">
        <v>6312</v>
      </c>
      <c r="L45" s="13">
        <f>$BE$11</f>
        <v>2.5000000000000001E-2</v>
      </c>
      <c r="M45" s="13">
        <f t="shared" si="3"/>
        <v>0.4</v>
      </c>
      <c r="N45" s="13">
        <v>1</v>
      </c>
      <c r="O45">
        <f>7.98*I45</f>
        <v>3067924.5660000001</v>
      </c>
      <c r="P45">
        <f t="shared" si="4"/>
        <v>1227169.8264000001</v>
      </c>
      <c r="Q45">
        <f>58.9*P45</f>
        <v>72280302.774960011</v>
      </c>
      <c r="R45" s="11">
        <f>1660*0.404686*1000</f>
        <v>671778.76</v>
      </c>
      <c r="S45" s="11">
        <v>3720</v>
      </c>
      <c r="T45" s="11">
        <v>7200</v>
      </c>
      <c r="U45" s="13">
        <f>$BE$11</f>
        <v>2.5000000000000001E-2</v>
      </c>
      <c r="V45" s="13">
        <f t="shared" si="5"/>
        <v>0.17998560115190784</v>
      </c>
      <c r="W45">
        <f t="shared" si="6"/>
        <v>385516.54403738852</v>
      </c>
      <c r="X45">
        <f t="shared" si="7"/>
        <v>69387.426932575327</v>
      </c>
      <c r="Y45" s="11">
        <f t="shared" si="8"/>
        <v>0.6875</v>
      </c>
      <c r="Z45">
        <f t="shared" si="9"/>
        <v>500890.48816952808</v>
      </c>
      <c r="AA45" s="11">
        <v>99609</v>
      </c>
      <c r="AB45" s="11">
        <v>2976</v>
      </c>
      <c r="AC45" s="11">
        <v>5304</v>
      </c>
      <c r="AD45" s="13">
        <f>$BE$11</f>
        <v>2.5000000000000001E-2</v>
      </c>
      <c r="AE45" s="13">
        <f t="shared" si="10"/>
        <v>0.30400000000000005</v>
      </c>
      <c r="AF45" s="11">
        <f t="shared" si="11"/>
        <v>996090</v>
      </c>
      <c r="AG45" s="11">
        <f t="shared" si="12"/>
        <v>302811.36000000004</v>
      </c>
      <c r="AH45" s="11">
        <f t="shared" si="13"/>
        <v>0.34</v>
      </c>
      <c r="AI45">
        <f t="shared" si="14"/>
        <v>1135374.3714666672</v>
      </c>
      <c r="AJ45" s="11">
        <v>15743</v>
      </c>
      <c r="AK45" s="11">
        <v>2976</v>
      </c>
      <c r="AL45" s="11">
        <f t="shared" si="15"/>
        <v>5304</v>
      </c>
      <c r="AM45" s="13">
        <f>$BE$11</f>
        <v>2.5000000000000001E-2</v>
      </c>
      <c r="AN45" s="13">
        <f t="shared" si="16"/>
        <v>0.4</v>
      </c>
      <c r="AO45">
        <f t="shared" si="17"/>
        <v>236145</v>
      </c>
      <c r="AP45">
        <f t="shared" si="18"/>
        <v>94458</v>
      </c>
      <c r="AQ45" s="11">
        <v>0.34</v>
      </c>
      <c r="AR45">
        <f t="shared" si="19"/>
        <v>354165.02333333337</v>
      </c>
    </row>
    <row r="46" spans="1:44" x14ac:dyDescent="0.35">
      <c r="B46" t="s">
        <v>48</v>
      </c>
      <c r="C46">
        <v>1000</v>
      </c>
      <c r="D46">
        <v>2550000</v>
      </c>
      <c r="E46">
        <f t="shared" si="0"/>
        <v>3641399.9999999995</v>
      </c>
      <c r="F46" s="7">
        <v>6154143</v>
      </c>
      <c r="G46" s="7">
        <f t="shared" si="1"/>
        <v>61412.340696431995</v>
      </c>
      <c r="H46">
        <f t="shared" si="2"/>
        <v>230737.69163025296</v>
      </c>
      <c r="I46" s="11">
        <f>290*0.404686*1000</f>
        <v>117358.94</v>
      </c>
      <c r="J46" s="11">
        <v>2376</v>
      </c>
      <c r="K46" s="11">
        <v>5784</v>
      </c>
      <c r="L46" s="13">
        <f>$BE$11</f>
        <v>2.5000000000000001E-2</v>
      </c>
      <c r="M46" s="13">
        <f t="shared" si="3"/>
        <v>0.4</v>
      </c>
      <c r="N46" s="13">
        <v>1</v>
      </c>
      <c r="O46">
        <f>7.98*I46</f>
        <v>936524.34120000002</v>
      </c>
      <c r="P46">
        <f t="shared" si="4"/>
        <v>374609.73648000002</v>
      </c>
      <c r="Q46">
        <f>58.9*P46</f>
        <v>22064513.478672002</v>
      </c>
      <c r="R46" s="11">
        <f>420*0.404686*1000</f>
        <v>169968.12</v>
      </c>
      <c r="S46" s="11">
        <v>3840</v>
      </c>
      <c r="T46" s="11">
        <v>7584</v>
      </c>
      <c r="U46" s="13">
        <f>$BE$11</f>
        <v>2.5000000000000001E-2</v>
      </c>
      <c r="V46" s="13">
        <f t="shared" si="5"/>
        <v>0.17998560115190784</v>
      </c>
      <c r="W46">
        <f t="shared" si="6"/>
        <v>97540.330419098304</v>
      </c>
      <c r="X46">
        <f t="shared" si="7"/>
        <v>17555.855007037131</v>
      </c>
      <c r="Y46" s="11">
        <f t="shared" si="8"/>
        <v>0.6875</v>
      </c>
      <c r="Z46">
        <f t="shared" si="9"/>
        <v>126731.32833204928</v>
      </c>
      <c r="AA46" s="11">
        <v>61597</v>
      </c>
      <c r="AB46" s="11">
        <v>2976</v>
      </c>
      <c r="AC46" s="11">
        <v>5304</v>
      </c>
      <c r="AD46" s="13">
        <f>$BE$11</f>
        <v>2.5000000000000001E-2</v>
      </c>
      <c r="AE46" s="13">
        <f t="shared" si="10"/>
        <v>0.30400000000000005</v>
      </c>
      <c r="AF46" s="11">
        <f t="shared" si="11"/>
        <v>615970</v>
      </c>
      <c r="AG46" s="11">
        <f t="shared" si="12"/>
        <v>187254.88000000003</v>
      </c>
      <c r="AH46" s="11">
        <f t="shared" si="13"/>
        <v>0.34</v>
      </c>
      <c r="AI46">
        <f t="shared" si="14"/>
        <v>702101.76951111131</v>
      </c>
      <c r="AJ46" s="11">
        <v>145954</v>
      </c>
      <c r="AK46" s="11">
        <v>2976</v>
      </c>
      <c r="AL46" s="11">
        <f t="shared" si="15"/>
        <v>5304</v>
      </c>
      <c r="AM46" s="13">
        <f>$BE$11</f>
        <v>2.5000000000000001E-2</v>
      </c>
      <c r="AN46" s="13">
        <f t="shared" si="16"/>
        <v>0.4</v>
      </c>
      <c r="AO46">
        <f t="shared" si="17"/>
        <v>2189310</v>
      </c>
      <c r="AP46">
        <f t="shared" si="18"/>
        <v>875724</v>
      </c>
      <c r="AQ46" s="11">
        <v>0.34</v>
      </c>
      <c r="AR46">
        <f t="shared" si="19"/>
        <v>3283478.4866666673</v>
      </c>
    </row>
    <row r="47" spans="1:44" x14ac:dyDescent="0.35">
      <c r="B47" t="s">
        <v>50</v>
      </c>
      <c r="C47">
        <v>1000</v>
      </c>
      <c r="D47">
        <v>1550000</v>
      </c>
      <c r="E47">
        <f t="shared" si="0"/>
        <v>2213400</v>
      </c>
      <c r="F47" s="7">
        <v>12956117</v>
      </c>
      <c r="G47" s="7">
        <f t="shared" si="1"/>
        <v>129289.402489808</v>
      </c>
      <c r="H47">
        <f t="shared" si="2"/>
        <v>485764.55390644615</v>
      </c>
      <c r="I47" s="11">
        <f>900*0.404686*1000</f>
        <v>364217.4</v>
      </c>
      <c r="J47" s="11">
        <v>2568</v>
      </c>
      <c r="K47" s="11">
        <v>6408</v>
      </c>
      <c r="L47" s="13">
        <f>$BE$11</f>
        <v>2.5000000000000001E-2</v>
      </c>
      <c r="M47" s="13">
        <f t="shared" si="3"/>
        <v>0.4</v>
      </c>
      <c r="N47" s="13">
        <v>1</v>
      </c>
      <c r="O47">
        <f>7.98*I47</f>
        <v>2906454.8520000004</v>
      </c>
      <c r="P47">
        <f t="shared" si="4"/>
        <v>1162581.9408000002</v>
      </c>
      <c r="Q47">
        <f>58.9*P47</f>
        <v>68476076.313120008</v>
      </c>
      <c r="R47" s="11">
        <f>1690*0.404686*1000</f>
        <v>683919.34000000008</v>
      </c>
      <c r="S47" s="11">
        <v>3840</v>
      </c>
      <c r="T47" s="11">
        <v>7800</v>
      </c>
      <c r="U47" s="13">
        <f>$BE$11</f>
        <v>2.5000000000000001E-2</v>
      </c>
      <c r="V47" s="13">
        <f t="shared" si="5"/>
        <v>0.17998560115190784</v>
      </c>
      <c r="W47">
        <f t="shared" si="6"/>
        <v>392483.71049589559</v>
      </c>
      <c r="X47">
        <f t="shared" si="7"/>
        <v>70641.416575935131</v>
      </c>
      <c r="Y47" s="11">
        <f t="shared" si="8"/>
        <v>0.6875</v>
      </c>
      <c r="Z47">
        <f t="shared" si="9"/>
        <v>509942.72590753163</v>
      </c>
      <c r="AA47" s="11">
        <v>11219</v>
      </c>
      <c r="AB47" s="11">
        <v>2976</v>
      </c>
      <c r="AC47" s="11">
        <v>5304</v>
      </c>
      <c r="AD47" s="13">
        <f>$BE$11</f>
        <v>2.5000000000000001E-2</v>
      </c>
      <c r="AE47" s="13">
        <f t="shared" si="10"/>
        <v>0.30400000000000005</v>
      </c>
      <c r="AF47" s="11">
        <f t="shared" si="11"/>
        <v>112190</v>
      </c>
      <c r="AG47" s="11">
        <f t="shared" si="12"/>
        <v>34105.760000000002</v>
      </c>
      <c r="AH47" s="11">
        <f t="shared" si="13"/>
        <v>0.34</v>
      </c>
      <c r="AI47">
        <f t="shared" si="14"/>
        <v>127877.65235555558</v>
      </c>
      <c r="AJ47" s="11">
        <v>27514</v>
      </c>
      <c r="AK47" s="11">
        <v>2976</v>
      </c>
      <c r="AL47" s="11">
        <f t="shared" si="15"/>
        <v>5304</v>
      </c>
      <c r="AM47" s="13">
        <f>$BE$11</f>
        <v>2.5000000000000001E-2</v>
      </c>
      <c r="AN47" s="13">
        <f t="shared" si="16"/>
        <v>0.4</v>
      </c>
      <c r="AO47">
        <f t="shared" si="17"/>
        <v>412710</v>
      </c>
      <c r="AP47">
        <f t="shared" si="18"/>
        <v>165084</v>
      </c>
      <c r="AQ47" s="11">
        <v>0.34</v>
      </c>
      <c r="AR47">
        <f t="shared" si="19"/>
        <v>618973.28666666674</v>
      </c>
    </row>
    <row r="48" spans="1:44" x14ac:dyDescent="0.35">
      <c r="B48" t="s">
        <v>51</v>
      </c>
      <c r="C48">
        <v>1000</v>
      </c>
      <c r="D48">
        <v>1000000</v>
      </c>
      <c r="E48">
        <f t="shared" si="0"/>
        <v>1428000</v>
      </c>
      <c r="F48" s="7">
        <v>6349499</v>
      </c>
      <c r="G48" s="7">
        <f t="shared" si="1"/>
        <v>63361.802908975995</v>
      </c>
      <c r="H48">
        <f t="shared" si="2"/>
        <v>238062.18709389746</v>
      </c>
      <c r="I48" s="11">
        <f>350*0.404686*1000</f>
        <v>141640.09999999998</v>
      </c>
      <c r="J48" s="11">
        <v>2256</v>
      </c>
      <c r="K48" s="11">
        <v>6000</v>
      </c>
      <c r="L48" s="13">
        <f>$BE$11</f>
        <v>2.5000000000000001E-2</v>
      </c>
      <c r="M48" s="13">
        <f t="shared" si="3"/>
        <v>0.4</v>
      </c>
      <c r="N48" s="13">
        <v>1</v>
      </c>
      <c r="O48">
        <f>7.98*I48</f>
        <v>1130287.9979999999</v>
      </c>
      <c r="P48">
        <f t="shared" si="4"/>
        <v>452115.19919999997</v>
      </c>
      <c r="Q48">
        <f>58.9*P48</f>
        <v>26629585.232879996</v>
      </c>
      <c r="R48" s="11">
        <f>420*0.404686*1000</f>
        <v>169968.12</v>
      </c>
      <c r="S48" s="11">
        <v>3888</v>
      </c>
      <c r="T48" s="11">
        <v>7872</v>
      </c>
      <c r="U48" s="13">
        <f>$BE$11</f>
        <v>2.5000000000000001E-2</v>
      </c>
      <c r="V48" s="13">
        <f t="shared" si="5"/>
        <v>0.17998560115190784</v>
      </c>
      <c r="W48">
        <f t="shared" si="6"/>
        <v>97540.330419098304</v>
      </c>
      <c r="X48">
        <f t="shared" si="7"/>
        <v>17555.855007037131</v>
      </c>
      <c r="Y48" s="11">
        <f t="shared" si="8"/>
        <v>0.6875</v>
      </c>
      <c r="Z48">
        <f t="shared" si="9"/>
        <v>126731.32833204928</v>
      </c>
      <c r="AA48" s="11">
        <v>9740</v>
      </c>
      <c r="AB48" s="11">
        <v>2976</v>
      </c>
      <c r="AC48" s="11">
        <v>5304</v>
      </c>
      <c r="AD48" s="13">
        <f>$BE$11</f>
        <v>2.5000000000000001E-2</v>
      </c>
      <c r="AE48" s="13">
        <f t="shared" si="10"/>
        <v>0.30400000000000005</v>
      </c>
      <c r="AF48" s="11">
        <f t="shared" si="11"/>
        <v>97400</v>
      </c>
      <c r="AG48" s="11">
        <f t="shared" si="12"/>
        <v>29609.600000000006</v>
      </c>
      <c r="AH48" s="11">
        <f t="shared" si="13"/>
        <v>0.34</v>
      </c>
      <c r="AI48">
        <f t="shared" si="14"/>
        <v>111019.55022222226</v>
      </c>
      <c r="AJ48" s="11">
        <v>68974</v>
      </c>
      <c r="AK48" s="11">
        <v>2976</v>
      </c>
      <c r="AL48" s="11">
        <f t="shared" si="15"/>
        <v>5304</v>
      </c>
      <c r="AM48" s="13">
        <f>$BE$11</f>
        <v>2.5000000000000001E-2</v>
      </c>
      <c r="AN48" s="13">
        <f t="shared" si="16"/>
        <v>0.4</v>
      </c>
      <c r="AO48">
        <f t="shared" si="17"/>
        <v>1034610</v>
      </c>
      <c r="AP48">
        <f t="shared" si="18"/>
        <v>413844</v>
      </c>
      <c r="AQ48" s="11">
        <v>0.34</v>
      </c>
      <c r="AR48">
        <f t="shared" si="19"/>
        <v>1551685.0866666669</v>
      </c>
    </row>
    <row r="49" spans="1:53" x14ac:dyDescent="0.35">
      <c r="B49" t="s">
        <v>52</v>
      </c>
      <c r="C49">
        <v>1000</v>
      </c>
      <c r="D49">
        <v>2000000</v>
      </c>
      <c r="E49">
        <f t="shared" si="0"/>
        <v>2856000</v>
      </c>
      <c r="F49" s="7">
        <v>13161925</v>
      </c>
      <c r="G49" s="7">
        <f t="shared" si="1"/>
        <v>131343.1654612</v>
      </c>
      <c r="H49">
        <f t="shared" si="2"/>
        <v>493480.92689924774</v>
      </c>
      <c r="I49" s="11">
        <f>340*0.404686*1000</f>
        <v>137593.24000000002</v>
      </c>
      <c r="J49" s="11">
        <v>2304</v>
      </c>
      <c r="K49" s="11">
        <v>5904</v>
      </c>
      <c r="L49" s="13">
        <f>$BE$11</f>
        <v>2.5000000000000001E-2</v>
      </c>
      <c r="M49" s="13">
        <f t="shared" si="3"/>
        <v>0.4</v>
      </c>
      <c r="N49" s="13">
        <v>1</v>
      </c>
      <c r="O49">
        <f>7.98*I49</f>
        <v>1097994.0552000003</v>
      </c>
      <c r="P49">
        <f t="shared" si="4"/>
        <v>439197.62208000012</v>
      </c>
      <c r="Q49">
        <f>58.9*P49</f>
        <v>25868739.940512005</v>
      </c>
      <c r="R49" s="11">
        <f>260*0.404686*1000</f>
        <v>105218.36</v>
      </c>
      <c r="S49" s="11">
        <v>3744</v>
      </c>
      <c r="T49" s="11">
        <v>7680</v>
      </c>
      <c r="U49" s="13">
        <f>$BE$11</f>
        <v>2.5000000000000001E-2</v>
      </c>
      <c r="V49" s="13">
        <f t="shared" si="5"/>
        <v>0.17998560115190784</v>
      </c>
      <c r="W49">
        <f t="shared" si="6"/>
        <v>60382.109307060855</v>
      </c>
      <c r="X49">
        <f t="shared" si="7"/>
        <v>10867.910242451557</v>
      </c>
      <c r="Y49" s="11">
        <f t="shared" si="8"/>
        <v>0.6875</v>
      </c>
      <c r="Z49">
        <f t="shared" si="9"/>
        <v>78452.727062697159</v>
      </c>
      <c r="AA49" s="11">
        <v>7394</v>
      </c>
      <c r="AB49" s="11">
        <v>2976</v>
      </c>
      <c r="AC49" s="11">
        <v>5304</v>
      </c>
      <c r="AD49" s="13">
        <f>$BE$11</f>
        <v>2.5000000000000001E-2</v>
      </c>
      <c r="AE49" s="13">
        <f t="shared" si="10"/>
        <v>0.30400000000000005</v>
      </c>
      <c r="AF49" s="11">
        <f t="shared" si="11"/>
        <v>73940</v>
      </c>
      <c r="AG49" s="11">
        <f t="shared" si="12"/>
        <v>22477.760000000002</v>
      </c>
      <c r="AH49" s="11">
        <f t="shared" si="13"/>
        <v>0.34</v>
      </c>
      <c r="AI49">
        <f t="shared" si="14"/>
        <v>84279.112355555568</v>
      </c>
      <c r="AJ49" s="11">
        <v>129891</v>
      </c>
      <c r="AK49" s="11">
        <v>2976</v>
      </c>
      <c r="AL49" s="11">
        <f t="shared" si="15"/>
        <v>5304</v>
      </c>
      <c r="AM49" s="13">
        <f>$BE$11</f>
        <v>2.5000000000000001E-2</v>
      </c>
      <c r="AN49" s="13">
        <f t="shared" si="16"/>
        <v>0.4</v>
      </c>
      <c r="AO49">
        <f t="shared" si="17"/>
        <v>1948365</v>
      </c>
      <c r="AP49">
        <f t="shared" si="18"/>
        <v>779346</v>
      </c>
      <c r="AQ49" s="11">
        <v>0.34</v>
      </c>
      <c r="AR49">
        <f t="shared" si="19"/>
        <v>2922114.5300000003</v>
      </c>
    </row>
    <row r="50" spans="1:53" x14ac:dyDescent="0.35">
      <c r="B50" t="s">
        <v>53</v>
      </c>
      <c r="C50">
        <v>1000</v>
      </c>
      <c r="D50">
        <v>0</v>
      </c>
      <c r="E50">
        <f t="shared" si="0"/>
        <v>0</v>
      </c>
      <c r="F50" s="7">
        <v>26497226</v>
      </c>
      <c r="G50" s="7">
        <f t="shared" si="1"/>
        <v>264416.45418742398</v>
      </c>
      <c r="H50">
        <f t="shared" si="2"/>
        <v>993462.25166446762</v>
      </c>
      <c r="I50" s="11">
        <f>70*0.404686*1000</f>
        <v>28328.02</v>
      </c>
      <c r="J50" s="11">
        <v>2280</v>
      </c>
      <c r="K50" s="11">
        <v>5568</v>
      </c>
      <c r="L50" s="13">
        <f>$BE$11</f>
        <v>2.5000000000000001E-2</v>
      </c>
      <c r="M50" s="13">
        <f t="shared" si="3"/>
        <v>0.4</v>
      </c>
      <c r="N50" s="13">
        <v>1</v>
      </c>
      <c r="O50">
        <f>7.98*I50</f>
        <v>226057.59960000002</v>
      </c>
      <c r="P50">
        <f t="shared" si="4"/>
        <v>90423.039840000012</v>
      </c>
      <c r="Q50">
        <f>58.9*P50</f>
        <v>5325917.0465760008</v>
      </c>
      <c r="R50" s="11">
        <f>31*0.404686*1000</f>
        <v>12545.266</v>
      </c>
      <c r="S50" s="11">
        <v>3432</v>
      </c>
      <c r="T50" s="11">
        <v>7392</v>
      </c>
      <c r="U50" s="13">
        <f>$BE$11</f>
        <v>2.5000000000000001E-2</v>
      </c>
      <c r="V50" s="13">
        <f t="shared" si="5"/>
        <v>0.17998560115190784</v>
      </c>
      <c r="W50">
        <f t="shared" si="6"/>
        <v>7199.4053404572551</v>
      </c>
      <c r="X50">
        <f t="shared" si="7"/>
        <v>1295.7892981384548</v>
      </c>
      <c r="Y50" s="11">
        <f t="shared" si="8"/>
        <v>0.6875</v>
      </c>
      <c r="Z50">
        <f t="shared" si="9"/>
        <v>9353.97899593697</v>
      </c>
      <c r="AA50" s="11">
        <v>2722</v>
      </c>
      <c r="AB50" s="11">
        <v>2976</v>
      </c>
      <c r="AC50" s="11">
        <v>5304</v>
      </c>
      <c r="AD50" s="13">
        <f>$BE$11</f>
        <v>2.5000000000000001E-2</v>
      </c>
      <c r="AE50" s="13">
        <f t="shared" si="10"/>
        <v>0.30400000000000005</v>
      </c>
      <c r="AF50" s="11">
        <f t="shared" si="11"/>
        <v>27220</v>
      </c>
      <c r="AG50" s="11">
        <f t="shared" si="12"/>
        <v>8274.880000000001</v>
      </c>
      <c r="AH50" s="11">
        <f t="shared" si="13"/>
        <v>0.34</v>
      </c>
      <c r="AI50">
        <f t="shared" si="14"/>
        <v>31026.202844444455</v>
      </c>
      <c r="AJ50" s="11">
        <v>35548</v>
      </c>
      <c r="AK50" s="11">
        <v>2976</v>
      </c>
      <c r="AL50" s="11">
        <f t="shared" si="15"/>
        <v>5304</v>
      </c>
      <c r="AM50" s="13">
        <f>$BE$11</f>
        <v>2.5000000000000001E-2</v>
      </c>
      <c r="AN50" s="13">
        <f t="shared" si="16"/>
        <v>0.4</v>
      </c>
      <c r="AO50">
        <f t="shared" si="17"/>
        <v>533220</v>
      </c>
      <c r="AP50">
        <f t="shared" si="18"/>
        <v>213288</v>
      </c>
      <c r="AQ50" s="11">
        <v>0.34</v>
      </c>
      <c r="AR50">
        <f t="shared" si="19"/>
        <v>799711.50666666671</v>
      </c>
    </row>
    <row r="51" spans="1:53" x14ac:dyDescent="0.35">
      <c r="A51">
        <v>5</v>
      </c>
      <c r="B51" t="s">
        <v>68</v>
      </c>
      <c r="E51">
        <f t="shared" si="0"/>
        <v>0</v>
      </c>
      <c r="F51" s="7">
        <v>163130331</v>
      </c>
      <c r="G51" s="7">
        <f>(((0.37+0.84)/2)*10^6)+(((0.37+0.84)/2)*10^6*13/9)</f>
        <v>1478888.888888889</v>
      </c>
      <c r="H51">
        <f t="shared" si="2"/>
        <v>5556463.1559415115</v>
      </c>
      <c r="I51" s="11">
        <f>(1964000/(295254+695662+315194))*(I37+I36+I34)</f>
        <v>1268778.9610675978</v>
      </c>
      <c r="L51" s="13">
        <f>$BE$11</f>
        <v>2.5000000000000001E-2</v>
      </c>
      <c r="M51" s="13">
        <f t="shared" si="3"/>
        <v>0.4</v>
      </c>
      <c r="N51" s="13">
        <v>1</v>
      </c>
      <c r="O51">
        <f>7.98*I51</f>
        <v>10124856.109319432</v>
      </c>
      <c r="P51">
        <f t="shared" si="4"/>
        <v>4049942.4437277727</v>
      </c>
      <c r="Q51">
        <f>58.9*P51</f>
        <v>238541609.9355658</v>
      </c>
      <c r="R51" s="11">
        <f>(1964000/(295254+695662+315194))*(R37+R36+R34)</f>
        <v>100406.9681420401</v>
      </c>
      <c r="U51" s="13">
        <f>$BE$11</f>
        <v>2.5000000000000001E-2</v>
      </c>
      <c r="V51" s="13">
        <f t="shared" si="5"/>
        <v>0.17998560115190784</v>
      </c>
      <c r="W51">
        <f t="shared" si="6"/>
        <v>57620.97532734061</v>
      </c>
      <c r="X51">
        <f t="shared" si="7"/>
        <v>10370.94588325065</v>
      </c>
      <c r="Y51" s="11">
        <f t="shared" si="8"/>
        <v>0.6875</v>
      </c>
      <c r="Z51">
        <f t="shared" si="9"/>
        <v>74865.265594715616</v>
      </c>
      <c r="AA51" s="11">
        <f>(1964000/(295254+695662+315194))*(AA37+AA36+AA34)</f>
        <v>2724925.7566361181</v>
      </c>
      <c r="AB51" s="11">
        <v>2976</v>
      </c>
      <c r="AC51" s="11">
        <v>5304</v>
      </c>
      <c r="AD51" s="13">
        <f>$BE$11</f>
        <v>2.5000000000000001E-2</v>
      </c>
      <c r="AE51" s="13">
        <f t="shared" si="10"/>
        <v>0.30400000000000005</v>
      </c>
      <c r="AF51" s="11">
        <f t="shared" si="11"/>
        <v>27249257.566361181</v>
      </c>
      <c r="AG51" s="11">
        <f t="shared" si="12"/>
        <v>8283774.3001738004</v>
      </c>
      <c r="AH51" s="11">
        <f t="shared" si="13"/>
        <v>0.34</v>
      </c>
      <c r="AI51">
        <f t="shared" si="14"/>
        <v>31059551.528818328</v>
      </c>
      <c r="AJ51" s="11">
        <f>(1964000/(295254+695662+315194))*(AJ37+AJ36+AJ34)</f>
        <v>6327.5773097212332</v>
      </c>
      <c r="AK51" s="11">
        <v>2976</v>
      </c>
      <c r="AL51" s="11">
        <f t="shared" si="15"/>
        <v>5304</v>
      </c>
      <c r="AM51" s="13">
        <f>$BE$11</f>
        <v>2.5000000000000001E-2</v>
      </c>
      <c r="AN51" s="13">
        <f t="shared" si="16"/>
        <v>0.4</v>
      </c>
      <c r="AO51">
        <f t="shared" si="17"/>
        <v>94913.659645818494</v>
      </c>
      <c r="AP51">
        <f t="shared" si="18"/>
        <v>37965.463858327399</v>
      </c>
      <c r="AQ51" s="11">
        <v>0.34</v>
      </c>
      <c r="AR51">
        <f t="shared" si="19"/>
        <v>142349.39754436203</v>
      </c>
    </row>
    <row r="52" spans="1:53" x14ac:dyDescent="0.35">
      <c r="A52">
        <v>4</v>
      </c>
      <c r="B52" t="s">
        <v>67</v>
      </c>
      <c r="G52" s="7"/>
      <c r="L52" s="13"/>
      <c r="M52" s="13">
        <f t="shared" si="3"/>
        <v>0.4</v>
      </c>
      <c r="N52" s="13">
        <v>1</v>
      </c>
      <c r="Q52">
        <f>58.9*P52</f>
        <v>0</v>
      </c>
      <c r="V52" s="13">
        <f t="shared" si="5"/>
        <v>0.17998560115190784</v>
      </c>
      <c r="Y52" s="11">
        <f t="shared" si="8"/>
        <v>0.6875</v>
      </c>
      <c r="AB52" s="11">
        <v>2976</v>
      </c>
      <c r="AC52" s="11">
        <v>5304</v>
      </c>
      <c r="AE52" s="13">
        <f t="shared" si="10"/>
        <v>0.30400000000000005</v>
      </c>
      <c r="AF52" s="11">
        <f t="shared" si="11"/>
        <v>0</v>
      </c>
      <c r="AG52" s="11">
        <f t="shared" si="12"/>
        <v>0</v>
      </c>
      <c r="AH52" s="11">
        <f t="shared" si="13"/>
        <v>0.34</v>
      </c>
      <c r="AI52">
        <f t="shared" si="14"/>
        <v>0</v>
      </c>
      <c r="AK52" s="11">
        <v>2976</v>
      </c>
      <c r="AL52" s="11">
        <f t="shared" si="15"/>
        <v>5304</v>
      </c>
      <c r="AN52" s="13">
        <f t="shared" si="16"/>
        <v>0.4</v>
      </c>
      <c r="AO52">
        <f t="shared" si="17"/>
        <v>0</v>
      </c>
      <c r="AP52">
        <f t="shared" si="18"/>
        <v>0</v>
      </c>
      <c r="AQ52" s="11">
        <v>0.34</v>
      </c>
      <c r="AR52">
        <f t="shared" si="19"/>
        <v>0</v>
      </c>
      <c r="AS52" s="11">
        <v>100000</v>
      </c>
      <c r="AT52" s="11">
        <v>1</v>
      </c>
      <c r="AU52" s="11">
        <v>8760</v>
      </c>
      <c r="AV52" s="16">
        <f>$BE$12</f>
        <v>0.01</v>
      </c>
      <c r="AW52" s="16">
        <f>0.3/1</f>
        <v>0.3</v>
      </c>
      <c r="AX52" s="21">
        <f>1.3*AS52</f>
        <v>130000</v>
      </c>
      <c r="AY52" s="20">
        <f>AW52*AX52</f>
        <v>39000</v>
      </c>
      <c r="AZ52" s="11">
        <f>2.2/3.2</f>
        <v>0.6875</v>
      </c>
      <c r="BA52">
        <f>AZ52*AY52*(37.8/3.6)</f>
        <v>281531.24999999994</v>
      </c>
    </row>
    <row r="53" spans="1:53" x14ac:dyDescent="0.35">
      <c r="A53">
        <v>5</v>
      </c>
      <c r="B53" t="s">
        <v>67</v>
      </c>
      <c r="G53" s="7"/>
      <c r="M53" s="13">
        <f t="shared" si="3"/>
        <v>0.4</v>
      </c>
      <c r="N53" s="13">
        <v>1</v>
      </c>
      <c r="Q53">
        <f>58.9*P53</f>
        <v>0</v>
      </c>
      <c r="V53" s="13">
        <f t="shared" si="5"/>
        <v>0.17998560115190784</v>
      </c>
      <c r="Y53" s="11">
        <f t="shared" si="8"/>
        <v>0.6875</v>
      </c>
      <c r="AB53" s="11">
        <v>2976</v>
      </c>
      <c r="AC53" s="11">
        <v>5304</v>
      </c>
      <c r="AE53" s="13">
        <f t="shared" si="10"/>
        <v>0.30400000000000005</v>
      </c>
      <c r="AF53" s="11">
        <f t="shared" si="11"/>
        <v>0</v>
      </c>
      <c r="AG53" s="11">
        <f t="shared" si="12"/>
        <v>0</v>
      </c>
      <c r="AH53" s="11">
        <f t="shared" si="13"/>
        <v>0.34</v>
      </c>
      <c r="AI53">
        <f t="shared" si="14"/>
        <v>0</v>
      </c>
      <c r="AK53" s="11">
        <v>2976</v>
      </c>
      <c r="AL53" s="11">
        <f t="shared" si="15"/>
        <v>5304</v>
      </c>
      <c r="AN53" s="13">
        <f t="shared" si="16"/>
        <v>0.4</v>
      </c>
      <c r="AO53">
        <f t="shared" si="17"/>
        <v>0</v>
      </c>
      <c r="AP53">
        <f t="shared" si="18"/>
        <v>0</v>
      </c>
      <c r="AQ53" s="11">
        <v>0.34</v>
      </c>
      <c r="AR53">
        <f t="shared" si="19"/>
        <v>0</v>
      </c>
      <c r="AS53" s="11">
        <v>100000</v>
      </c>
      <c r="AT53" s="11">
        <v>1</v>
      </c>
      <c r="AU53" s="11">
        <v>8760</v>
      </c>
      <c r="AV53" s="16">
        <f>$BE$12</f>
        <v>0.01</v>
      </c>
      <c r="AW53" s="16">
        <f>0.3/1</f>
        <v>0.3</v>
      </c>
      <c r="AX53" s="21">
        <f>1.3*AS53</f>
        <v>130000</v>
      </c>
      <c r="AY53" s="20">
        <f>AW53*AX53</f>
        <v>39000</v>
      </c>
      <c r="AZ53" s="11">
        <f>2.2/3.2</f>
        <v>0.6875</v>
      </c>
      <c r="BA53">
        <f>AZ53*AY53*(37.8/3.6)</f>
        <v>281531.24999999994</v>
      </c>
    </row>
    <row r="54" spans="1:53" x14ac:dyDescent="0.35">
      <c r="E54" s="11">
        <f>SUM(E3:E51)</f>
        <v>45196200</v>
      </c>
      <c r="G54" s="11">
        <f>SUM(G3:G51)</f>
        <v>5543302.144935945</v>
      </c>
    </row>
    <row r="57" spans="1:53" x14ac:dyDescent="0.35">
      <c r="W57">
        <f>SUM(W37:W50,W8:W23)/36.74</f>
        <v>523536.22536102991</v>
      </c>
      <c r="X57">
        <f>SUM(X37:X50,X8:X23)</f>
        <v>3461972.8077329434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2017-12-17T22:08:08Z</dcterms:created>
  <dcterms:modified xsi:type="dcterms:W3CDTF">2017-12-23T11:00:41Z</dcterms:modified>
</cp:coreProperties>
</file>