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60" yWindow="300" windowWidth="12120" windowHeight="9000" tabRatio="260"/>
  </bookViews>
  <sheets>
    <sheet name="SYSTEM" sheetId="1" r:id="rId1"/>
    <sheet name="KWIKFOLD" sheetId="2" r:id="rId2"/>
    <sheet name="NEEDLES" sheetId="3" state="hidden" r:id="rId3"/>
  </sheets>
  <definedNames>
    <definedName name="_1_6M_UNIT">KWIKFOLD!$L$11</definedName>
    <definedName name="_HOP1">SYSTEM!$D$17</definedName>
    <definedName name="_HOP2">SYSTEM!$D$18</definedName>
    <definedName name="_HOP3">SYSTEM!$D$19</definedName>
    <definedName name="_LED13">SYSTEM!$P$15</definedName>
    <definedName name="_LED18">SYSTEM!$P$14</definedName>
    <definedName name="_LED24">SYSTEM!$P$13</definedName>
    <definedName name="BRACE21">SYSTEM!$P$19</definedName>
    <definedName name="BRACE36">SYSTEM!$P$18</definedName>
    <definedName name="CHAIN">SYSTEM!$D$23</definedName>
    <definedName name="CHAINM">SYSTEM!$P$27</definedName>
    <definedName name="DEAD_IN">SYSTEM!$D$26</definedName>
    <definedName name="DEAD_OUT">SYSTEM!$D$27</definedName>
    <definedName name="DECKS">SYSTEM!$D$15</definedName>
    <definedName name="DIM_A">NEEDLES!$G$35</definedName>
    <definedName name="DIM_B">NEEDLES!$G$36</definedName>
    <definedName name="DIM_C">NEEDLES!$G$37</definedName>
    <definedName name="DIM_D">NEEDLES!$G$38</definedName>
    <definedName name="DIM_E">NEEDLES!$G$39</definedName>
    <definedName name="EXTRA_LEDGERS">SYSTEM!$P$6</definedName>
    <definedName name="ExtraLifts">SYSTEM!$D$21</definedName>
    <definedName name="H_DUTY">SYSTEM!$D$30</definedName>
    <definedName name="H_RAIL">SYSTEM!$P$7</definedName>
    <definedName name="HOP1_WT">KWIKFOLD!$L$12</definedName>
    <definedName name="HOP2_WT">KWIKFOLD!$L$13</definedName>
    <definedName name="HOP3_WT">KWIKFOLD!$L$14</definedName>
    <definedName name="HR_HGHT">KWIKFOLD!$L$10</definedName>
    <definedName name="HRAIL_1M">SYSTEM!$D$14</definedName>
    <definedName name="IXX">NEEDLES!$C$20</definedName>
    <definedName name="JACK">SYSTEM!$P$11</definedName>
    <definedName name="KF_DEAD_IN">KWIKFOLD!$D$17</definedName>
    <definedName name="KF_DEAD_OUT">KWIKFOLD!$D$18</definedName>
    <definedName name="KF_HDUTY">KWIKFOLD!$D$20</definedName>
    <definedName name="KF_HOP1">KWIKFOLD!$D$12</definedName>
    <definedName name="KF_HOP2">KWIKFOLD!$D$13</definedName>
    <definedName name="KF_HOP3">KWIKFOLD!$D$14</definedName>
    <definedName name="KF_LDUTY">KWIKFOLD!$D$22</definedName>
    <definedName name="KF_LIVE_IN">KWIKFOLD!$D$24</definedName>
    <definedName name="KF_LIVE_OUT">KWIKFOLD!$D$25</definedName>
    <definedName name="KF_MDUTY">KWIKFOLD!$D$21</definedName>
    <definedName name="KF_TWP">KWIKFOLD!$D$11</definedName>
    <definedName name="KN_CONV">SYSTEM!$P$5</definedName>
    <definedName name="L_DUTY">SYSTEM!$D$32</definedName>
    <definedName name="LIFT">SYSTEM!$D$20</definedName>
    <definedName name="LIFT_NUM">SYSTEM!$P$8</definedName>
    <definedName name="LIVE_IN">SYSTEM!$D$34</definedName>
    <definedName name="LIVE_OUT">SYSTEM!$D$35</definedName>
    <definedName name="LOAD_P1">NEEDLES!$G$40</definedName>
    <definedName name="LOAD_P2">NEEDLES!$G$41</definedName>
    <definedName name="LOAD_P3">NEEDLES!$G$42</definedName>
    <definedName name="LOAD_P3N">NEEDLES!$G$44</definedName>
    <definedName name="LOAD_P4">NEEDLES!$G$43</definedName>
    <definedName name="LOAD_P4N">NEEDLES!$G$45</definedName>
    <definedName name="LOAD_P5">NEEDLES!$G$46</definedName>
    <definedName name="LOAD_P6">NEEDLES!$G$47</definedName>
    <definedName name="LOAD_P7">NEEDLES!$G$48</definedName>
    <definedName name="M_DUTY">SYSTEM!$D$31</definedName>
    <definedName name="MESHG">SYSTEM!$D$22</definedName>
    <definedName name="MESHG13">SYSTEM!$P$26</definedName>
    <definedName name="MESHG18">SYSTEM!$P$25</definedName>
    <definedName name="MESHG24">SYSTEM!$P$24</definedName>
    <definedName name="MID_RAIL">SYSTEM!$D$16</definedName>
    <definedName name="Midrail">SYSTEM!$P$4</definedName>
    <definedName name="NUM_UNITS">KWIKFOLD!$L$9</definedName>
    <definedName name="_xlnm.Print_Area">SYSTEM!$AU$4:$AW$12</definedName>
    <definedName name="PrintEnd">SYSTEM!$K$52</definedName>
    <definedName name="PrintKFEnd">KWIKFOLD!$J$33</definedName>
    <definedName name="PrintKFStart">KWIKFOLD!$A$1</definedName>
    <definedName name="PrintStart">SYSTEM!$A$1</definedName>
    <definedName name="SHADE">SYSTEM!$D$24</definedName>
    <definedName name="SHADEC">SYSTEM!$P$28</definedName>
    <definedName name="SHADECLOTH">KWIKFOLD!$D$15</definedName>
    <definedName name="STAND">SYSTEM!$P$12</definedName>
    <definedName name="Start">SYSTEM!$K$51</definedName>
    <definedName name="StartKF">KWIKFOLD!$J$33</definedName>
    <definedName name="STEELB13">SYSTEM!$P$23</definedName>
    <definedName name="STEELB18">SYSTEM!$P$22</definedName>
    <definedName name="STEELB24">SYSTEM!$P$20</definedName>
    <definedName name="TABLE1">NEEDLES!$E$18:$G$24</definedName>
    <definedName name="TABLE2">NEEDLES!$J$3:$K$5</definedName>
    <definedName name="TRAN08">SYSTEM!$P$17</definedName>
    <definedName name="TRAN13">SYSTEM!$P$16</definedName>
    <definedName name="TWP">SYSTEM!$D$11</definedName>
    <definedName name="WIDTH08">SYSTEM!$D$13</definedName>
    <definedName name="WIDTH13">SYSTEM!$D$12</definedName>
    <definedName name="WT_UNITS">KWIKFOLD!$L$16</definedName>
    <definedName name="WT_UNITS_IN">KWIKFOLD!$L$17</definedName>
    <definedName name="WT_UNITS_OUT">KWIKFOLD!$L$18</definedName>
  </definedNames>
  <calcPr calcId="125725"/>
</workbook>
</file>

<file path=xl/calcChain.xml><?xml version="1.0" encoding="utf-8"?>
<calcChain xmlns="http://schemas.openxmlformats.org/spreadsheetml/2006/main">
  <c r="B7" i="2"/>
  <c r="B8"/>
  <c r="L10"/>
  <c r="L9" s="1"/>
  <c r="L16" s="1"/>
  <c r="E32"/>
  <c r="I32"/>
  <c r="C3" i="3"/>
  <c r="C4"/>
  <c r="C5"/>
  <c r="C6"/>
  <c r="B7"/>
  <c r="B8"/>
  <c r="E30"/>
  <c r="G44"/>
  <c r="G45"/>
  <c r="P4" i="1"/>
  <c r="B7"/>
  <c r="P7"/>
  <c r="P8" s="1"/>
  <c r="P6" s="1"/>
  <c r="B8"/>
  <c r="R11"/>
  <c r="S11"/>
  <c r="S12"/>
  <c r="F41"/>
  <c r="J41"/>
  <c r="F43"/>
  <c r="J43"/>
  <c r="F45"/>
  <c r="J45"/>
  <c r="F47"/>
  <c r="J47"/>
  <c r="F49"/>
  <c r="J49"/>
  <c r="F51"/>
  <c r="J51"/>
  <c r="D51" l="1"/>
  <c r="G51" s="1"/>
  <c r="R12"/>
  <c r="D45"/>
  <c r="G45" s="1"/>
  <c r="D47"/>
  <c r="G47" s="1"/>
  <c r="S14"/>
  <c r="D49"/>
  <c r="G49" s="1"/>
  <c r="R14"/>
  <c r="S13"/>
  <c r="D43"/>
  <c r="G43" s="1"/>
  <c r="D41"/>
  <c r="G41" s="1"/>
  <c r="C18" i="3" s="1"/>
  <c r="R13" i="1"/>
  <c r="I41"/>
  <c r="K41" s="1"/>
  <c r="C19" i="3" s="1"/>
  <c r="I45" i="1"/>
  <c r="K45" s="1"/>
  <c r="I43"/>
  <c r="K43" s="1"/>
  <c r="I47"/>
  <c r="K47" s="1"/>
  <c r="I51"/>
  <c r="K51" s="1"/>
  <c r="I49"/>
  <c r="K49" s="1"/>
  <c r="L18" i="2"/>
  <c r="H32" s="1"/>
  <c r="J32" s="1"/>
  <c r="L17"/>
  <c r="D32" s="1"/>
  <c r="F32" s="1"/>
  <c r="C24" i="3" l="1"/>
  <c r="C25"/>
  <c r="D29" s="1"/>
  <c r="C16"/>
  <c r="C17"/>
</calcChain>
</file>

<file path=xl/sharedStrings.xml><?xml version="1.0" encoding="utf-8"?>
<sst xmlns="http://schemas.openxmlformats.org/spreadsheetml/2006/main" count="301" uniqueCount="183">
  <si>
    <t>SYSTEM SCAFFOLD LOAD DESIGN</t>
  </si>
  <si>
    <t>COMPANY:</t>
  </si>
  <si>
    <t>PROJECT:</t>
  </si>
  <si>
    <t>LOCATION:</t>
  </si>
  <si>
    <t>ENQUIRY NO.:</t>
  </si>
  <si>
    <t>DEAD LOAD   (G)</t>
  </si>
  <si>
    <t>HEIGHT (T.W.P.)</t>
  </si>
  <si>
    <t>WIDTH - 1.3M</t>
  </si>
  <si>
    <t xml:space="preserve">                - 0.8M</t>
  </si>
  <si>
    <t>LEDGER EACH 1M (outside)</t>
  </si>
  <si>
    <t>NO.OF DECKS</t>
  </si>
  <si>
    <t>MIDRAIL</t>
  </si>
  <si>
    <t>HOP UP LEVELS - 1B</t>
  </si>
  <si>
    <t xml:space="preserve"> -2B</t>
  </si>
  <si>
    <t xml:space="preserve"> -3B</t>
  </si>
  <si>
    <t xml:space="preserve"> LIFT  HEIGHT</t>
  </si>
  <si>
    <t>MESHGUARDS</t>
  </si>
  <si>
    <t>CHAINMESH</t>
  </si>
  <si>
    <t>SHADECLOTH</t>
  </si>
  <si>
    <t>ADDITIONAL DEAD  LOAD-</t>
  </si>
  <si>
    <t>INSIDE STANDARD</t>
  </si>
  <si>
    <t>OUTSIDE STANDARD</t>
  </si>
  <si>
    <t>LIVE  LOAD   (Q)</t>
  </si>
  <si>
    <t>HEAVY DUTY DECK</t>
  </si>
  <si>
    <t>MEDUIM DUTY DECK</t>
  </si>
  <si>
    <t>LIGHT DUTY DECK</t>
  </si>
  <si>
    <t>ADDITIONAL LIVE LOAD-</t>
  </si>
  <si>
    <t>DESIGN  LOADS</t>
  </si>
  <si>
    <t>=</t>
  </si>
  <si>
    <t>Y</t>
  </si>
  <si>
    <t>N</t>
  </si>
  <si>
    <t>G</t>
  </si>
  <si>
    <t>twp</t>
  </si>
  <si>
    <t>width13</t>
  </si>
  <si>
    <t>width08</t>
  </si>
  <si>
    <t>decks</t>
  </si>
  <si>
    <t>mid_rail</t>
  </si>
  <si>
    <t>hop1</t>
  </si>
  <si>
    <t>hop2</t>
  </si>
  <si>
    <t>hop3</t>
  </si>
  <si>
    <t>lift</t>
  </si>
  <si>
    <t>meshg</t>
  </si>
  <si>
    <t>chain</t>
  </si>
  <si>
    <t>shadecloth</t>
  </si>
  <si>
    <t>dead_in</t>
  </si>
  <si>
    <t>dead_out</t>
  </si>
  <si>
    <t>h_duty</t>
  </si>
  <si>
    <t>m_duty</t>
  </si>
  <si>
    <t>ld_uty</t>
  </si>
  <si>
    <t>live_in</t>
  </si>
  <si>
    <t>live_out</t>
  </si>
  <si>
    <t xml:space="preserve">  metres</t>
  </si>
  <si>
    <t xml:space="preserve">  yes, no</t>
  </si>
  <si>
    <t xml:space="preserve">  no. off</t>
  </si>
  <si>
    <t xml:space="preserve">  yes,no</t>
  </si>
  <si>
    <t xml:space="preserve">  no. off levels</t>
  </si>
  <si>
    <t xml:space="preserve">  kgs.</t>
  </si>
  <si>
    <t>KN.</t>
  </si>
  <si>
    <t>Q</t>
  </si>
  <si>
    <t>G+Q</t>
  </si>
  <si>
    <t>ledger at 1m + h/rail + mid rail</t>
  </si>
  <si>
    <t>handrail height</t>
  </si>
  <si>
    <t>lift numbers</t>
  </si>
  <si>
    <t>item</t>
  </si>
  <si>
    <t>jack</t>
  </si>
  <si>
    <t>std</t>
  </si>
  <si>
    <t>ledger 2.4</t>
  </si>
  <si>
    <t>ledger 1.8</t>
  </si>
  <si>
    <t>ledger 1.3</t>
  </si>
  <si>
    <t>transom  1.3</t>
  </si>
  <si>
    <t>transom 0.8</t>
  </si>
  <si>
    <t>brace 3.6</t>
  </si>
  <si>
    <t>brace 2.1</t>
  </si>
  <si>
    <t>sb 2.4</t>
  </si>
  <si>
    <t>sb 1.8</t>
  </si>
  <si>
    <t>sb 1.3</t>
  </si>
  <si>
    <t>mg 2.4</t>
  </si>
  <si>
    <t>mg 1.8</t>
  </si>
  <si>
    <t>mg 1.3</t>
  </si>
  <si>
    <t>mesh</t>
  </si>
  <si>
    <t>shade</t>
  </si>
  <si>
    <t>unit</t>
  </si>
  <si>
    <t>kg.</t>
  </si>
  <si>
    <t>kn_conv</t>
  </si>
  <si>
    <t>extra_ledgers</t>
  </si>
  <si>
    <t>h_rail</t>
  </si>
  <si>
    <t>lift_num</t>
  </si>
  <si>
    <t>range</t>
  </si>
  <si>
    <t>name</t>
  </si>
  <si>
    <t>stand</t>
  </si>
  <si>
    <t>led24</t>
  </si>
  <si>
    <t>led18</t>
  </si>
  <si>
    <t>led13</t>
  </si>
  <si>
    <t>tran13</t>
  </si>
  <si>
    <t>tran08</t>
  </si>
  <si>
    <t>brace36</t>
  </si>
  <si>
    <t>brace21</t>
  </si>
  <si>
    <t>steelb24</t>
  </si>
  <si>
    <t>steelb18</t>
  </si>
  <si>
    <t>steelb13</t>
  </si>
  <si>
    <t>meshg24</t>
  </si>
  <si>
    <t>meshg18</t>
  </si>
  <si>
    <t>meshg13</t>
  </si>
  <si>
    <t>chainm</t>
  </si>
  <si>
    <t>total</t>
  </si>
  <si>
    <t>inside</t>
  </si>
  <si>
    <t>outside</t>
  </si>
  <si>
    <t>SCAFFOLD LOAD DESIGN - KWIKFOLD</t>
  </si>
  <si>
    <t>no. off</t>
  </si>
  <si>
    <t>kgs.</t>
  </si>
  <si>
    <t>num_units</t>
  </si>
  <si>
    <t>hr_hght</t>
  </si>
  <si>
    <t>6m_unit</t>
  </si>
  <si>
    <t>hop1_wt</t>
  </si>
  <si>
    <t>hop2_wt</t>
  </si>
  <si>
    <t>hop3_wt</t>
  </si>
  <si>
    <t>wt_units</t>
  </si>
  <si>
    <t>wt_units_in</t>
  </si>
  <si>
    <t>wt_units_out</t>
  </si>
  <si>
    <t>NEEDLE DESIGN</t>
  </si>
  <si>
    <t>SUMMARY</t>
  </si>
  <si>
    <t>P1</t>
  </si>
  <si>
    <t>R</t>
  </si>
  <si>
    <t>P2</t>
  </si>
  <si>
    <t>P3</t>
  </si>
  <si>
    <t>IXX</t>
  </si>
  <si>
    <t>x</t>
  </si>
  <si>
    <t>y</t>
  </si>
  <si>
    <t>z</t>
  </si>
  <si>
    <t>d1</t>
  </si>
  <si>
    <t>d2</t>
  </si>
  <si>
    <t>Beam Size to be used:</t>
  </si>
  <si>
    <t>Minimum threaded rod size at P1:</t>
  </si>
  <si>
    <t>Load at P1 (upwards) KN :</t>
  </si>
  <si>
    <t>Load at slab edge(downwards) KN :</t>
  </si>
  <si>
    <t>KN</t>
  </si>
  <si>
    <t>E+6mm4</t>
  </si>
  <si>
    <t>mm</t>
  </si>
  <si>
    <t>Ixx</t>
  </si>
  <si>
    <t>Beam</t>
  </si>
  <si>
    <t>ladder beam</t>
  </si>
  <si>
    <t>360UB45</t>
  </si>
  <si>
    <t>250UB31</t>
  </si>
  <si>
    <t>310UB40</t>
  </si>
  <si>
    <t>unit beam</t>
  </si>
  <si>
    <t>410UB54</t>
  </si>
  <si>
    <t>460UB67</t>
  </si>
  <si>
    <t>a</t>
  </si>
  <si>
    <t>b</t>
  </si>
  <si>
    <t>c</t>
  </si>
  <si>
    <t>d</t>
  </si>
  <si>
    <t>e</t>
  </si>
  <si>
    <t>P4</t>
  </si>
  <si>
    <t>P3New</t>
  </si>
  <si>
    <t>P4New</t>
  </si>
  <si>
    <t>P5</t>
  </si>
  <si>
    <t>P6</t>
  </si>
  <si>
    <t>P7</t>
  </si>
  <si>
    <t>Kg/m</t>
  </si>
  <si>
    <t>dim_a</t>
  </si>
  <si>
    <t>dim_b</t>
  </si>
  <si>
    <t>dim_c</t>
  </si>
  <si>
    <t>dim_d</t>
  </si>
  <si>
    <t>dim_e</t>
  </si>
  <si>
    <t>load_p1</t>
  </si>
  <si>
    <t>load_p2</t>
  </si>
  <si>
    <t>load_p3</t>
  </si>
  <si>
    <t>load_p4</t>
  </si>
  <si>
    <t>load_p3N</t>
  </si>
  <si>
    <t>load_p4N</t>
  </si>
  <si>
    <t>load_p5</t>
  </si>
  <si>
    <t>load_p6</t>
  </si>
  <si>
    <t>load_p7</t>
  </si>
  <si>
    <t>THREADED ROD</t>
  </si>
  <si>
    <t>M16</t>
  </si>
  <si>
    <t>M20</t>
  </si>
  <si>
    <t>M24</t>
  </si>
  <si>
    <t>@ROUNDUP(C16/2,0); 3</t>
  </si>
  <si>
    <t>@ROUNDUP(C16,1); 5.7</t>
  </si>
  <si>
    <t>@ROUNDUP(C17,1); 23.7</t>
  </si>
  <si>
    <t>if midrail equal 'Y'</t>
  </si>
  <si>
    <t>EXTRA LIFTS (dummy lifts)</t>
  </si>
  <si>
    <t xml:space="preserve">  no. off lifts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</si>
</sst>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2"/>
      <name val="Arial"/>
    </font>
    <font>
      <sz val="12"/>
      <name val="Arial MT"/>
    </font>
    <font>
      <b/>
      <u/>
      <sz val="14"/>
      <name val="Arial MT"/>
    </font>
    <font>
      <b/>
      <u/>
      <sz val="12"/>
      <name val="Arial MT"/>
    </font>
    <font>
      <sz val="12"/>
      <name val="Arial MT"/>
    </font>
    <font>
      <b/>
      <sz val="12"/>
      <name val="Arial MT"/>
    </font>
    <font>
      <b/>
      <sz val="14"/>
      <name val="Arial MT"/>
    </font>
    <font>
      <u/>
      <sz val="12"/>
      <name val="Arial MT"/>
    </font>
    <font>
      <b/>
      <i/>
      <u/>
      <sz val="12"/>
      <name val="Arial MT"/>
    </font>
    <font>
      <sz val="12"/>
      <color indexed="8"/>
      <name val="Arial"/>
      <family val="2"/>
    </font>
    <font>
      <sz val="12"/>
      <name val="Arial MT"/>
    </font>
    <font>
      <b/>
      <u/>
      <sz val="12"/>
      <name val="Arial MT"/>
    </font>
    <font>
      <b/>
      <sz val="12"/>
      <name val="Arial MT"/>
    </font>
    <font>
      <u/>
      <sz val="12"/>
      <name val="Arial MT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1">
    <xf numFmtId="0" fontId="0" fillId="0" borderId="0" xfId="0"/>
    <xf numFmtId="164" fontId="1" fillId="0" borderId="0" xfId="0" applyNumberFormat="1" applyFont="1" applyAlignment="1"/>
    <xf numFmtId="164" fontId="0" fillId="0" borderId="0" xfId="0" applyNumberFormat="1"/>
    <xf numFmtId="164" fontId="3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5" fontId="5" fillId="0" borderId="0" xfId="0" applyNumberFormat="1" applyFont="1" applyAlignment="1"/>
    <xf numFmtId="15" fontId="0" fillId="0" borderId="0" xfId="0" applyNumberFormat="1"/>
    <xf numFmtId="164" fontId="0" fillId="0" borderId="1" xfId="0" applyNumberFormat="1" applyBorder="1"/>
    <xf numFmtId="18" fontId="5" fillId="0" borderId="0" xfId="0" applyNumberFormat="1" applyFont="1" applyAlignment="1"/>
    <xf numFmtId="18" fontId="0" fillId="0" borderId="0" xfId="0" applyNumberForma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center"/>
    </xf>
    <xf numFmtId="164" fontId="6" fillId="2" borderId="0" xfId="0" applyNumberFormat="1" applyFont="1" applyFill="1" applyAlignment="1"/>
    <xf numFmtId="164" fontId="4" fillId="0" borderId="2" xfId="0" applyNumberFormat="1" applyFont="1" applyBorder="1" applyAlignment="1"/>
    <xf numFmtId="164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0" fontId="7" fillId="0" borderId="0" xfId="0" applyFont="1" applyAlignment="1"/>
    <xf numFmtId="0" fontId="0" fillId="0" borderId="3" xfId="0" applyBorder="1"/>
    <xf numFmtId="0" fontId="4" fillId="2" borderId="2" xfId="0" applyFont="1" applyFill="1" applyBorder="1" applyAlignment="1"/>
    <xf numFmtId="0" fontId="5" fillId="2" borderId="2" xfId="0" applyFont="1" applyFill="1" applyBorder="1" applyAlignment="1"/>
    <xf numFmtId="0" fontId="8" fillId="0" borderId="0" xfId="0" applyFont="1" applyAlignment="1"/>
    <xf numFmtId="0" fontId="4" fillId="2" borderId="0" xfId="0" applyFont="1" applyFill="1" applyAlignment="1"/>
    <xf numFmtId="0" fontId="9" fillId="2" borderId="0" xfId="0" applyFont="1" applyFill="1" applyAlignment="1"/>
    <xf numFmtId="0" fontId="0" fillId="2" borderId="0" xfId="0" applyFill="1"/>
    <xf numFmtId="0" fontId="10" fillId="2" borderId="0" xfId="0" applyFont="1" applyFill="1" applyAlignment="1"/>
    <xf numFmtId="0" fontId="11" fillId="2" borderId="0" xfId="0" applyFont="1" applyFill="1" applyAlignment="1"/>
    <xf numFmtId="0" fontId="10" fillId="2" borderId="0" xfId="0" applyFont="1" applyFill="1" applyAlignment="1">
      <alignment horizontal="right"/>
    </xf>
    <xf numFmtId="0" fontId="12" fillId="2" borderId="1" xfId="0" applyFont="1" applyFill="1" applyBorder="1" applyAlignment="1"/>
    <xf numFmtId="0" fontId="10" fillId="2" borderId="1" xfId="0" applyFont="1" applyFill="1" applyBorder="1" applyAlignment="1"/>
    <xf numFmtId="0" fontId="10" fillId="2" borderId="4" xfId="0" applyFont="1" applyFill="1" applyBorder="1" applyAlignment="1"/>
    <xf numFmtId="0" fontId="12" fillId="2" borderId="0" xfId="0" applyFont="1" applyFill="1" applyAlignment="1"/>
    <xf numFmtId="0" fontId="6" fillId="2" borderId="0" xfId="0" applyFont="1" applyFill="1" applyAlignment="1"/>
    <xf numFmtId="0" fontId="10" fillId="2" borderId="2" xfId="0" applyFont="1" applyFill="1" applyBorder="1" applyAlignment="1"/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2" borderId="1" xfId="0" applyFont="1" applyFill="1" applyBorder="1" applyAlignment="1"/>
    <xf numFmtId="0" fontId="0" fillId="0" borderId="4" xfId="0" applyBorder="1"/>
    <xf numFmtId="0" fontId="4" fillId="0" borderId="2" xfId="0" applyFont="1" applyBorder="1" applyAlignment="1">
      <alignment horizontal="center"/>
    </xf>
    <xf numFmtId="0" fontId="0" fillId="0" borderId="1" xfId="0" applyBorder="1"/>
    <xf numFmtId="0" fontId="14" fillId="0" borderId="2" xfId="0" applyFont="1" applyBorder="1" applyAlignment="1">
      <alignment horizontal="center"/>
    </xf>
    <xf numFmtId="0" fontId="5" fillId="0" borderId="2" xfId="0" applyFont="1" applyBorder="1" applyAlignment="1"/>
    <xf numFmtId="0" fontId="4" fillId="0" borderId="4" xfId="0" applyFont="1" applyBorder="1" applyAlignment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quotePrefix="1" applyNumberFormat="1"/>
    <xf numFmtId="164" fontId="4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0" fillId="0" borderId="0" xfId="0" applyNumberFormat="1" applyBorder="1"/>
    <xf numFmtId="2" fontId="4" fillId="2" borderId="0" xfId="0" quotePrefix="1" applyNumberFormat="1" applyFont="1" applyFill="1" applyBorder="1" applyAlignment="1"/>
    <xf numFmtId="0" fontId="0" fillId="0" borderId="0" xfId="0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2" fontId="1" fillId="0" borderId="0" xfId="0" applyNumberFormat="1" applyFont="1" applyAlignment="1"/>
    <xf numFmtId="4" fontId="4" fillId="2" borderId="0" xfId="0" applyNumberFormat="1" applyFont="1" applyFill="1" applyBorder="1" applyAlignment="1"/>
    <xf numFmtId="164" fontId="1" fillId="0" borderId="0" xfId="0" applyNumberFormat="1" applyFont="1" applyBorder="1" applyAlignment="1"/>
    <xf numFmtId="2" fontId="1" fillId="0" borderId="0" xfId="0" applyNumberFormat="1" applyFont="1" applyBorder="1" applyAlignment="1"/>
    <xf numFmtId="0" fontId="5" fillId="2" borderId="0" xfId="0" applyFont="1" applyFill="1" applyBorder="1" applyAlignment="1"/>
    <xf numFmtId="4" fontId="5" fillId="2" borderId="0" xfId="0" applyNumberFormat="1" applyFont="1" applyFill="1" applyBorder="1" applyAlignment="1"/>
    <xf numFmtId="2" fontId="4" fillId="2" borderId="0" xfId="0" applyNumberFormat="1" applyFont="1" applyFill="1" applyBorder="1" applyAlignment="1"/>
    <xf numFmtId="0" fontId="4" fillId="2" borderId="9" xfId="0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4" fontId="1" fillId="2" borderId="9" xfId="0" applyNumberFormat="1" applyFont="1" applyFill="1" applyBorder="1" applyAlignment="1"/>
    <xf numFmtId="4" fontId="4" fillId="2" borderId="10" xfId="0" applyNumberFormat="1" applyFont="1" applyFill="1" applyBorder="1" applyAlignment="1"/>
    <xf numFmtId="4" fontId="5" fillId="2" borderId="11" xfId="0" applyNumberFormat="1" applyFont="1" applyFill="1" applyBorder="1" applyAlignment="1"/>
    <xf numFmtId="4" fontId="4" fillId="2" borderId="9" xfId="0" applyNumberFormat="1" applyFont="1" applyFill="1" applyBorder="1" applyAlignment="1"/>
    <xf numFmtId="2" fontId="4" fillId="2" borderId="9" xfId="0" applyNumberFormat="1" applyFont="1" applyFill="1" applyBorder="1" applyAlignment="1">
      <alignment horizontal="center"/>
    </xf>
    <xf numFmtId="4" fontId="5" fillId="2" borderId="11" xfId="0" applyNumberFormat="1" applyFont="1" applyFill="1" applyBorder="1" applyAlignment="1">
      <alignment horizontal="center"/>
    </xf>
    <xf numFmtId="2" fontId="5" fillId="0" borderId="0" xfId="0" applyNumberFormat="1" applyFont="1" applyAlignment="1"/>
    <xf numFmtId="4" fontId="4" fillId="2" borderId="12" xfId="0" applyNumberFormat="1" applyFont="1" applyFill="1" applyBorder="1" applyAlignment="1"/>
    <xf numFmtId="4" fontId="5" fillId="2" borderId="13" xfId="0" applyNumberFormat="1" applyFont="1" applyFill="1" applyBorder="1" applyAlignment="1"/>
    <xf numFmtId="1" fontId="0" fillId="0" borderId="0" xfId="0" quotePrefix="1" applyNumberFormat="1" applyAlignment="1">
      <alignment horizontal="right"/>
    </xf>
    <xf numFmtId="164" fontId="4" fillId="0" borderId="0" xfId="0" applyNumberFormat="1" applyFont="1" applyBorder="1" applyAlignment="1">
      <alignment horizontal="centerContinuous"/>
    </xf>
    <xf numFmtId="2" fontId="4" fillId="0" borderId="0" xfId="0" applyNumberFormat="1" applyFont="1" applyBorder="1" applyAlignment="1">
      <alignment horizontal="centerContinuous"/>
    </xf>
    <xf numFmtId="14" fontId="4" fillId="0" borderId="0" xfId="0" applyNumberFormat="1" applyFont="1" applyBorder="1" applyAlignment="1">
      <alignment horizontal="centerContinuous"/>
    </xf>
    <xf numFmtId="15" fontId="5" fillId="2" borderId="0" xfId="0" applyNumberFormat="1" applyFont="1" applyFill="1" applyAlignment="1"/>
    <xf numFmtId="18" fontId="5" fillId="2" borderId="0" xfId="0" applyNumberFormat="1" applyFont="1" applyFill="1" applyAlignment="1"/>
    <xf numFmtId="164" fontId="5" fillId="2" borderId="14" xfId="0" applyNumberFormat="1" applyFont="1" applyFill="1" applyBorder="1" applyAlignment="1" applyProtection="1">
      <alignment horizontal="center"/>
      <protection locked="0"/>
    </xf>
    <xf numFmtId="164" fontId="5" fillId="2" borderId="15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 applyProtection="1">
      <alignment horizontal="center"/>
      <protection locked="0"/>
    </xf>
    <xf numFmtId="0" fontId="5" fillId="2" borderId="16" xfId="0" applyFont="1" applyFill="1" applyBorder="1" applyAlignment="1" applyProtection="1">
      <alignment horizontal="center"/>
      <protection locked="0"/>
    </xf>
    <xf numFmtId="0" fontId="5" fillId="2" borderId="14" xfId="0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0" fontId="10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0" fillId="2" borderId="20" xfId="0" applyFont="1" applyFill="1" applyBorder="1" applyAlignment="1"/>
    <xf numFmtId="0" fontId="10" fillId="2" borderId="21" xfId="0" applyFont="1" applyFill="1" applyBorder="1" applyAlignment="1"/>
    <xf numFmtId="0" fontId="12" fillId="2" borderId="22" xfId="0" applyFont="1" applyFill="1" applyBorder="1" applyAlignment="1"/>
    <xf numFmtId="0" fontId="12" fillId="2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</xf>
    <xf numFmtId="0" fontId="5" fillId="0" borderId="0" xfId="0" applyFont="1" applyBorder="1" applyAlignment="1"/>
    <xf numFmtId="0" fontId="4" fillId="0" borderId="9" xfId="0" applyFont="1" applyBorder="1" applyAlignment="1"/>
    <xf numFmtId="0" fontId="4" fillId="0" borderId="13" xfId="0" applyFont="1" applyBorder="1" applyAlignment="1">
      <alignment horizontal="center"/>
    </xf>
    <xf numFmtId="1" fontId="5" fillId="2" borderId="15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left"/>
    </xf>
    <xf numFmtId="164" fontId="5" fillId="2" borderId="9" xfId="0" applyNumberFormat="1" applyFont="1" applyFill="1" applyBorder="1" applyAlignment="1" applyProtection="1">
      <alignment horizontal="left"/>
      <protection locked="0"/>
    </xf>
    <xf numFmtId="164" fontId="5" fillId="2" borderId="12" xfId="0" applyNumberFormat="1" applyFont="1" applyFill="1" applyBorder="1" applyAlignment="1" applyProtection="1">
      <alignment horizontal="left"/>
      <protection locked="0"/>
    </xf>
    <xf numFmtId="164" fontId="5" fillId="2" borderId="13" xfId="0" applyNumberFormat="1" applyFont="1" applyFill="1" applyBorder="1" applyAlignment="1" applyProtection="1">
      <alignment horizontal="left"/>
      <protection locked="0"/>
    </xf>
    <xf numFmtId="0" fontId="5" fillId="2" borderId="9" xfId="0" applyNumberFormat="1" applyFont="1" applyFill="1" applyBorder="1" applyAlignment="1" applyProtection="1">
      <alignment horizontal="left"/>
      <protection locked="0"/>
    </xf>
    <xf numFmtId="0" fontId="5" fillId="2" borderId="12" xfId="0" applyNumberFormat="1" applyFont="1" applyFill="1" applyBorder="1" applyAlignment="1" applyProtection="1">
      <alignment horizontal="left"/>
      <protection locked="0"/>
    </xf>
    <xf numFmtId="0" fontId="5" fillId="2" borderId="13" xfId="0" applyNumberFormat="1" applyFont="1" applyFill="1" applyBorder="1" applyAlignment="1" applyProtection="1">
      <alignment horizontal="left"/>
      <protection locked="0"/>
    </xf>
    <xf numFmtId="0" fontId="5" fillId="2" borderId="23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2" fillId="2" borderId="24" xfId="0" applyFont="1" applyFill="1" applyBorder="1" applyAlignment="1" applyProtection="1">
      <alignment horizontal="left"/>
      <protection locked="0"/>
    </xf>
    <xf numFmtId="0" fontId="12" fillId="2" borderId="25" xfId="0" applyFont="1" applyFill="1" applyBorder="1" applyAlignment="1" applyProtection="1">
      <alignment horizontal="left"/>
      <protection locked="0"/>
    </xf>
    <xf numFmtId="0" fontId="12" fillId="2" borderId="2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46</xdr:row>
      <xdr:rowOff>0</xdr:rowOff>
    </xdr:from>
    <xdr:to>
      <xdr:col>1</xdr:col>
      <xdr:colOff>1571625</xdr:colOff>
      <xdr:row>47</xdr:row>
      <xdr:rowOff>9525</xdr:rowOff>
    </xdr:to>
    <xdr:sp macro="" textlink="">
      <xdr:nvSpPr>
        <xdr:cNvPr id="2062" name="Rectangle 14"/>
        <xdr:cNvSpPr>
          <a:spLocks noChangeArrowheads="1"/>
        </xdr:cNvSpPr>
      </xdr:nvSpPr>
      <xdr:spPr bwMode="auto">
        <a:xfrm>
          <a:off x="1181100" y="8305800"/>
          <a:ext cx="70485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171450</xdr:colOff>
      <xdr:row>40</xdr:row>
      <xdr:rowOff>0</xdr:rowOff>
    </xdr:from>
    <xdr:to>
      <xdr:col>1</xdr:col>
      <xdr:colOff>876300</xdr:colOff>
      <xdr:row>41</xdr:row>
      <xdr:rowOff>9525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485775" y="7362825"/>
          <a:ext cx="70485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876300</xdr:colOff>
      <xdr:row>40</xdr:row>
      <xdr:rowOff>0</xdr:rowOff>
    </xdr:from>
    <xdr:to>
      <xdr:col>1</xdr:col>
      <xdr:colOff>1581150</xdr:colOff>
      <xdr:row>41</xdr:row>
      <xdr:rowOff>9525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1190625" y="7362825"/>
          <a:ext cx="70485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1581150</xdr:colOff>
      <xdr:row>46</xdr:row>
      <xdr:rowOff>0</xdr:rowOff>
    </xdr:from>
    <xdr:to>
      <xdr:col>1</xdr:col>
      <xdr:colOff>1581150</xdr:colOff>
      <xdr:row>47</xdr:row>
      <xdr:rowOff>9525</xdr:rowOff>
    </xdr:to>
    <xdr:sp macro="" textlink="" fLocksText="0">
      <xdr:nvSpPr>
        <xdr:cNvPr id="2052" name="Line 4"/>
        <xdr:cNvSpPr>
          <a:spLocks noChangeShapeType="1"/>
        </xdr:cNvSpPr>
      </xdr:nvSpPr>
      <xdr:spPr bwMode="auto">
        <a:xfrm>
          <a:off x="1895475" y="8305800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 fLocksWithSheet="0"/>
  </xdr:twoCellAnchor>
  <xdr:twoCellAnchor>
    <xdr:from>
      <xdr:col>1</xdr:col>
      <xdr:colOff>876300</xdr:colOff>
      <xdr:row>40</xdr:row>
      <xdr:rowOff>0</xdr:rowOff>
    </xdr:from>
    <xdr:to>
      <xdr:col>1</xdr:col>
      <xdr:colOff>876300</xdr:colOff>
      <xdr:row>41</xdr:row>
      <xdr:rowOff>9525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1190625" y="736282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/>
  </xdr:twoCellAnchor>
  <xdr:twoCellAnchor>
    <xdr:from>
      <xdr:col>1</xdr:col>
      <xdr:colOff>781050</xdr:colOff>
      <xdr:row>37</xdr:row>
      <xdr:rowOff>190500</xdr:rowOff>
    </xdr:from>
    <xdr:to>
      <xdr:col>1</xdr:col>
      <xdr:colOff>1819275</xdr:colOff>
      <xdr:row>39</xdr:row>
      <xdr:rowOff>9525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1095375" y="7038975"/>
          <a:ext cx="1038225" cy="2190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Load Points</a:t>
          </a:r>
        </a:p>
      </xdr:txBody>
    </xdr:sp>
    <xdr:clientData/>
  </xdr:twoCellAnchor>
  <xdr:twoCellAnchor>
    <xdr:from>
      <xdr:col>1</xdr:col>
      <xdr:colOff>171450</xdr:colOff>
      <xdr:row>42</xdr:row>
      <xdr:rowOff>0</xdr:rowOff>
    </xdr:from>
    <xdr:to>
      <xdr:col>1</xdr:col>
      <xdr:colOff>876300</xdr:colOff>
      <xdr:row>43</xdr:row>
      <xdr:rowOff>19050</xdr:rowOff>
    </xdr:to>
    <xdr:sp macro="" textlink="">
      <xdr:nvSpPr>
        <xdr:cNvPr id="2055" name="Rectangle 7"/>
        <xdr:cNvSpPr>
          <a:spLocks noChangeArrowheads="1"/>
        </xdr:cNvSpPr>
      </xdr:nvSpPr>
      <xdr:spPr bwMode="auto">
        <a:xfrm>
          <a:off x="485775" y="7677150"/>
          <a:ext cx="70485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876300</xdr:colOff>
      <xdr:row>42</xdr:row>
      <xdr:rowOff>0</xdr:rowOff>
    </xdr:from>
    <xdr:to>
      <xdr:col>1</xdr:col>
      <xdr:colOff>1476375</xdr:colOff>
      <xdr:row>43</xdr:row>
      <xdr:rowOff>19050</xdr:rowOff>
    </xdr:to>
    <xdr:sp macro="" textlink="">
      <xdr:nvSpPr>
        <xdr:cNvPr id="2056" name="Rectangle 8"/>
        <xdr:cNvSpPr>
          <a:spLocks noChangeArrowheads="1"/>
        </xdr:cNvSpPr>
      </xdr:nvSpPr>
      <xdr:spPr bwMode="auto">
        <a:xfrm>
          <a:off x="1190625" y="7677150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876300</xdr:colOff>
      <xdr:row>42</xdr:row>
      <xdr:rowOff>9525</xdr:rowOff>
    </xdr:from>
    <xdr:to>
      <xdr:col>1</xdr:col>
      <xdr:colOff>876300</xdr:colOff>
      <xdr:row>43</xdr:row>
      <xdr:rowOff>28575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>
          <a:off x="1190625" y="768667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/>
  </xdr:twoCellAnchor>
  <xdr:twoCellAnchor>
    <xdr:from>
      <xdr:col>1</xdr:col>
      <xdr:colOff>171450</xdr:colOff>
      <xdr:row>44</xdr:row>
      <xdr:rowOff>0</xdr:rowOff>
    </xdr:from>
    <xdr:to>
      <xdr:col>1</xdr:col>
      <xdr:colOff>876300</xdr:colOff>
      <xdr:row>45</xdr:row>
      <xdr:rowOff>19050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485775" y="7991475"/>
          <a:ext cx="70485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876300</xdr:colOff>
      <xdr:row>44</xdr:row>
      <xdr:rowOff>0</xdr:rowOff>
    </xdr:from>
    <xdr:to>
      <xdr:col>1</xdr:col>
      <xdr:colOff>1323975</xdr:colOff>
      <xdr:row>45</xdr:row>
      <xdr:rowOff>19050</xdr:rowOff>
    </xdr:to>
    <xdr:sp macro="" textlink="">
      <xdr:nvSpPr>
        <xdr:cNvPr id="2059" name="Rectangle 11"/>
        <xdr:cNvSpPr>
          <a:spLocks noChangeArrowheads="1"/>
        </xdr:cNvSpPr>
      </xdr:nvSpPr>
      <xdr:spPr bwMode="auto">
        <a:xfrm>
          <a:off x="1190625" y="7991475"/>
          <a:ext cx="4476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876300</xdr:colOff>
      <xdr:row>44</xdr:row>
      <xdr:rowOff>0</xdr:rowOff>
    </xdr:from>
    <xdr:to>
      <xdr:col>1</xdr:col>
      <xdr:colOff>876300</xdr:colOff>
      <xdr:row>45</xdr:row>
      <xdr:rowOff>19050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>
          <a:off x="1190625" y="799147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/>
  </xdr:twoCellAnchor>
  <xdr:twoCellAnchor>
    <xdr:from>
      <xdr:col>1</xdr:col>
      <xdr:colOff>161925</xdr:colOff>
      <xdr:row>46</xdr:row>
      <xdr:rowOff>0</xdr:rowOff>
    </xdr:from>
    <xdr:to>
      <xdr:col>1</xdr:col>
      <xdr:colOff>866775</xdr:colOff>
      <xdr:row>47</xdr:row>
      <xdr:rowOff>9525</xdr:rowOff>
    </xdr:to>
    <xdr:sp macro="" textlink="">
      <xdr:nvSpPr>
        <xdr:cNvPr id="2061" name="Rectangle 13"/>
        <xdr:cNvSpPr>
          <a:spLocks noChangeArrowheads="1"/>
        </xdr:cNvSpPr>
      </xdr:nvSpPr>
      <xdr:spPr bwMode="auto">
        <a:xfrm>
          <a:off x="476250" y="8305800"/>
          <a:ext cx="70485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171450</xdr:colOff>
      <xdr:row>47</xdr:row>
      <xdr:rowOff>190500</xdr:rowOff>
    </xdr:from>
    <xdr:to>
      <xdr:col>1</xdr:col>
      <xdr:colOff>876300</xdr:colOff>
      <xdr:row>49</xdr:row>
      <xdr:rowOff>9525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485775" y="8620125"/>
          <a:ext cx="70485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876300</xdr:colOff>
      <xdr:row>47</xdr:row>
      <xdr:rowOff>190500</xdr:rowOff>
    </xdr:from>
    <xdr:to>
      <xdr:col>1</xdr:col>
      <xdr:colOff>1476375</xdr:colOff>
      <xdr:row>49</xdr:row>
      <xdr:rowOff>9525</xdr:rowOff>
    </xdr:to>
    <xdr:sp macro="" textlink="">
      <xdr:nvSpPr>
        <xdr:cNvPr id="2064" name="Rectangle 16"/>
        <xdr:cNvSpPr>
          <a:spLocks noChangeArrowheads="1"/>
        </xdr:cNvSpPr>
      </xdr:nvSpPr>
      <xdr:spPr bwMode="auto">
        <a:xfrm>
          <a:off x="1190625" y="8620125"/>
          <a:ext cx="60007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190500</xdr:colOff>
      <xdr:row>50</xdr:row>
      <xdr:rowOff>0</xdr:rowOff>
    </xdr:from>
    <xdr:to>
      <xdr:col>1</xdr:col>
      <xdr:colOff>895350</xdr:colOff>
      <xdr:row>51</xdr:row>
      <xdr:rowOff>19050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504825" y="8934450"/>
          <a:ext cx="70485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895350</xdr:colOff>
      <xdr:row>50</xdr:row>
      <xdr:rowOff>0</xdr:rowOff>
    </xdr:from>
    <xdr:to>
      <xdr:col>1</xdr:col>
      <xdr:colOff>1343025</xdr:colOff>
      <xdr:row>51</xdr:row>
      <xdr:rowOff>19050</xdr:rowOff>
    </xdr:to>
    <xdr:sp macro="" textlink="">
      <xdr:nvSpPr>
        <xdr:cNvPr id="2067" name="Rectangle 19"/>
        <xdr:cNvSpPr>
          <a:spLocks noChangeArrowheads="1"/>
        </xdr:cNvSpPr>
      </xdr:nvSpPr>
      <xdr:spPr bwMode="auto">
        <a:xfrm>
          <a:off x="1209675" y="8934450"/>
          <a:ext cx="4476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1476375</xdr:colOff>
      <xdr:row>48</xdr:row>
      <xdr:rowOff>0</xdr:rowOff>
    </xdr:from>
    <xdr:to>
      <xdr:col>1</xdr:col>
      <xdr:colOff>1476375</xdr:colOff>
      <xdr:row>49</xdr:row>
      <xdr:rowOff>9525</xdr:rowOff>
    </xdr:to>
    <xdr:sp macro="" textlink="" fLocksText="0">
      <xdr:nvSpPr>
        <xdr:cNvPr id="2069" name="Line 21"/>
        <xdr:cNvSpPr>
          <a:spLocks noChangeShapeType="1"/>
        </xdr:cNvSpPr>
      </xdr:nvSpPr>
      <xdr:spPr bwMode="auto">
        <a:xfrm>
          <a:off x="1790700" y="862012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 fLocksWithSheet="0"/>
  </xdr:twoCellAnchor>
  <xdr:twoCellAnchor>
    <xdr:from>
      <xdr:col>1</xdr:col>
      <xdr:colOff>1333500</xdr:colOff>
      <xdr:row>50</xdr:row>
      <xdr:rowOff>9525</xdr:rowOff>
    </xdr:from>
    <xdr:to>
      <xdr:col>1</xdr:col>
      <xdr:colOff>1333500</xdr:colOff>
      <xdr:row>51</xdr:row>
      <xdr:rowOff>19050</xdr:rowOff>
    </xdr:to>
    <xdr:sp macro="" textlink="" fLocksText="0">
      <xdr:nvSpPr>
        <xdr:cNvPr id="2070" name="Line 22"/>
        <xdr:cNvSpPr>
          <a:spLocks noChangeShapeType="1"/>
        </xdr:cNvSpPr>
      </xdr:nvSpPr>
      <xdr:spPr bwMode="auto">
        <a:xfrm>
          <a:off x="1647825" y="894397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 fLocksWithSheet="0"/>
  </xdr:twoCellAnchor>
  <xdr:twoCellAnchor>
    <xdr:from>
      <xdr:col>1</xdr:col>
      <xdr:colOff>542925</xdr:colOff>
      <xdr:row>38</xdr:row>
      <xdr:rowOff>0</xdr:rowOff>
    </xdr:from>
    <xdr:to>
      <xdr:col>1</xdr:col>
      <xdr:colOff>542925</xdr:colOff>
      <xdr:row>39</xdr:row>
      <xdr:rowOff>9525</xdr:rowOff>
    </xdr:to>
    <xdr:sp macro="" textlink="">
      <xdr:nvSpPr>
        <xdr:cNvPr id="2073" name="Line 25"/>
        <xdr:cNvSpPr>
          <a:spLocks noChangeShapeType="1"/>
        </xdr:cNvSpPr>
      </xdr:nvSpPr>
      <xdr:spPr bwMode="auto">
        <a:xfrm>
          <a:off x="857250" y="7048500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/>
  </xdr:twoCellAnchor>
  <xdr:twoCellAnchor>
    <xdr:from>
      <xdr:col>1</xdr:col>
      <xdr:colOff>381000</xdr:colOff>
      <xdr:row>40</xdr:row>
      <xdr:rowOff>9525</xdr:rowOff>
    </xdr:from>
    <xdr:to>
      <xdr:col>1</xdr:col>
      <xdr:colOff>676275</xdr:colOff>
      <xdr:row>41</xdr:row>
      <xdr:rowOff>0</xdr:rowOff>
    </xdr:to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695325" y="7372350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2.4</a:t>
          </a:r>
        </a:p>
      </xdr:txBody>
    </xdr:sp>
    <xdr:clientData/>
  </xdr:twoCellAnchor>
  <xdr:twoCellAnchor>
    <xdr:from>
      <xdr:col>1</xdr:col>
      <xdr:colOff>1104900</xdr:colOff>
      <xdr:row>40</xdr:row>
      <xdr:rowOff>9525</xdr:rowOff>
    </xdr:from>
    <xdr:to>
      <xdr:col>1</xdr:col>
      <xdr:colOff>1400175</xdr:colOff>
      <xdr:row>41</xdr:row>
      <xdr:rowOff>0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419225" y="7372350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2.4</a:t>
          </a:r>
        </a:p>
      </xdr:txBody>
    </xdr:sp>
    <xdr:clientData/>
  </xdr:twoCellAnchor>
  <xdr:twoCellAnchor>
    <xdr:from>
      <xdr:col>1</xdr:col>
      <xdr:colOff>361950</xdr:colOff>
      <xdr:row>42</xdr:row>
      <xdr:rowOff>19050</xdr:rowOff>
    </xdr:from>
    <xdr:to>
      <xdr:col>1</xdr:col>
      <xdr:colOff>657225</xdr:colOff>
      <xdr:row>43</xdr:row>
      <xdr:rowOff>9525</xdr:rowOff>
    </xdr:to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676275" y="7696200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2.4</a:t>
          </a:r>
        </a:p>
      </xdr:txBody>
    </xdr:sp>
    <xdr:clientData/>
  </xdr:twoCellAnchor>
  <xdr:twoCellAnchor>
    <xdr:from>
      <xdr:col>1</xdr:col>
      <xdr:colOff>361950</xdr:colOff>
      <xdr:row>44</xdr:row>
      <xdr:rowOff>19050</xdr:rowOff>
    </xdr:from>
    <xdr:to>
      <xdr:col>1</xdr:col>
      <xdr:colOff>657225</xdr:colOff>
      <xdr:row>45</xdr:row>
      <xdr:rowOff>9525</xdr:rowOff>
    </xdr:to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676275" y="8010525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2.4</a:t>
          </a:r>
        </a:p>
      </xdr:txBody>
    </xdr:sp>
    <xdr:clientData/>
  </xdr:twoCellAnchor>
  <xdr:twoCellAnchor>
    <xdr:from>
      <xdr:col>1</xdr:col>
      <xdr:colOff>371475</xdr:colOff>
      <xdr:row>46</xdr:row>
      <xdr:rowOff>19050</xdr:rowOff>
    </xdr:from>
    <xdr:to>
      <xdr:col>1</xdr:col>
      <xdr:colOff>666750</xdr:colOff>
      <xdr:row>47</xdr:row>
      <xdr:rowOff>0</xdr:rowOff>
    </xdr:to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685800" y="8324850"/>
          <a:ext cx="295275" cy="1809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2.4</a:t>
          </a:r>
        </a:p>
      </xdr:txBody>
    </xdr:sp>
    <xdr:clientData/>
  </xdr:twoCellAnchor>
  <xdr:twoCellAnchor>
    <xdr:from>
      <xdr:col>1</xdr:col>
      <xdr:colOff>1019175</xdr:colOff>
      <xdr:row>46</xdr:row>
      <xdr:rowOff>9525</xdr:rowOff>
    </xdr:from>
    <xdr:to>
      <xdr:col>1</xdr:col>
      <xdr:colOff>1314450</xdr:colOff>
      <xdr:row>47</xdr:row>
      <xdr:rowOff>0</xdr:rowOff>
    </xdr:to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333500" y="8315325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2.4</a:t>
          </a:r>
        </a:p>
      </xdr:txBody>
    </xdr:sp>
    <xdr:clientData/>
  </xdr:twoCellAnchor>
  <xdr:twoCellAnchor>
    <xdr:from>
      <xdr:col>1</xdr:col>
      <xdr:colOff>352425</xdr:colOff>
      <xdr:row>48</xdr:row>
      <xdr:rowOff>19050</xdr:rowOff>
    </xdr:from>
    <xdr:to>
      <xdr:col>1</xdr:col>
      <xdr:colOff>647700</xdr:colOff>
      <xdr:row>48</xdr:row>
      <xdr:rowOff>190500</xdr:rowOff>
    </xdr:to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666750" y="8639175"/>
          <a:ext cx="295275" cy="17145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2.4</a:t>
          </a:r>
        </a:p>
      </xdr:txBody>
    </xdr:sp>
    <xdr:clientData/>
  </xdr:twoCellAnchor>
  <xdr:twoCellAnchor>
    <xdr:from>
      <xdr:col>1</xdr:col>
      <xdr:colOff>361950</xdr:colOff>
      <xdr:row>50</xdr:row>
      <xdr:rowOff>19050</xdr:rowOff>
    </xdr:from>
    <xdr:to>
      <xdr:col>1</xdr:col>
      <xdr:colOff>657225</xdr:colOff>
      <xdr:row>51</xdr:row>
      <xdr:rowOff>0</xdr:rowOff>
    </xdr:to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676275" y="8953500"/>
          <a:ext cx="295275" cy="1809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2.4</a:t>
          </a:r>
        </a:p>
      </xdr:txBody>
    </xdr:sp>
    <xdr:clientData/>
  </xdr:twoCellAnchor>
  <xdr:twoCellAnchor>
    <xdr:from>
      <xdr:col>1</xdr:col>
      <xdr:colOff>1047750</xdr:colOff>
      <xdr:row>42</xdr:row>
      <xdr:rowOff>19050</xdr:rowOff>
    </xdr:from>
    <xdr:to>
      <xdr:col>1</xdr:col>
      <xdr:colOff>1343025</xdr:colOff>
      <xdr:row>43</xdr:row>
      <xdr:rowOff>9525</xdr:rowOff>
    </xdr:to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362075" y="7696200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1.8</a:t>
          </a:r>
        </a:p>
      </xdr:txBody>
    </xdr:sp>
    <xdr:clientData/>
  </xdr:twoCellAnchor>
  <xdr:twoCellAnchor>
    <xdr:from>
      <xdr:col>1</xdr:col>
      <xdr:colOff>1000125</xdr:colOff>
      <xdr:row>48</xdr:row>
      <xdr:rowOff>9525</xdr:rowOff>
    </xdr:from>
    <xdr:to>
      <xdr:col>1</xdr:col>
      <xdr:colOff>1295400</xdr:colOff>
      <xdr:row>49</xdr:row>
      <xdr:rowOff>0</xdr:rowOff>
    </xdr:to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314450" y="8629650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1.8</a:t>
          </a:r>
        </a:p>
      </xdr:txBody>
    </xdr:sp>
    <xdr:clientData/>
  </xdr:twoCellAnchor>
  <xdr:twoCellAnchor>
    <xdr:from>
      <xdr:col>1</xdr:col>
      <xdr:colOff>962025</xdr:colOff>
      <xdr:row>44</xdr:row>
      <xdr:rowOff>19050</xdr:rowOff>
    </xdr:from>
    <xdr:to>
      <xdr:col>1</xdr:col>
      <xdr:colOff>1257300</xdr:colOff>
      <xdr:row>45</xdr:row>
      <xdr:rowOff>9525</xdr:rowOff>
    </xdr:to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276350" y="8010525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1.2</a:t>
          </a:r>
        </a:p>
      </xdr:txBody>
    </xdr:sp>
    <xdr:clientData/>
  </xdr:twoCellAnchor>
  <xdr:twoCellAnchor>
    <xdr:from>
      <xdr:col>1</xdr:col>
      <xdr:colOff>962025</xdr:colOff>
      <xdr:row>50</xdr:row>
      <xdr:rowOff>19050</xdr:rowOff>
    </xdr:from>
    <xdr:to>
      <xdr:col>1</xdr:col>
      <xdr:colOff>1257300</xdr:colOff>
      <xdr:row>51</xdr:row>
      <xdr:rowOff>0</xdr:rowOff>
    </xdr:to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276350" y="8953500"/>
          <a:ext cx="295275" cy="1809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1.2</a:t>
          </a:r>
        </a:p>
      </xdr:txBody>
    </xdr:sp>
    <xdr:clientData/>
  </xdr:twoCellAnchor>
  <xdr:twoCellAnchor>
    <xdr:from>
      <xdr:col>0</xdr:col>
      <xdr:colOff>247650</xdr:colOff>
      <xdr:row>5</xdr:row>
      <xdr:rowOff>95250</xdr:rowOff>
    </xdr:from>
    <xdr:to>
      <xdr:col>1</xdr:col>
      <xdr:colOff>819150</xdr:colOff>
      <xdr:row>7</xdr:row>
      <xdr:rowOff>152400</xdr:rowOff>
    </xdr:to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247650" y="1219200"/>
          <a:ext cx="885825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Updated</a:t>
          </a:r>
        </a:p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30/7/02</a:t>
          </a:r>
        </a:p>
      </xdr:txBody>
    </xdr:sp>
    <xdr:clientData fPrintsWithSheet="0"/>
  </xdr:twoCellAnchor>
  <xdr:twoCellAnchor>
    <xdr:from>
      <xdr:col>9</xdr:col>
      <xdr:colOff>142875</xdr:colOff>
      <xdr:row>0</xdr:row>
      <xdr:rowOff>66675</xdr:rowOff>
    </xdr:from>
    <xdr:to>
      <xdr:col>10</xdr:col>
      <xdr:colOff>447675</xdr:colOff>
      <xdr:row>0</xdr:row>
      <xdr:rowOff>342900</xdr:rowOff>
    </xdr:to>
    <xdr:sp macro="[0]!Test1" textlink="">
      <xdr:nvSpPr>
        <xdr:cNvPr id="2090" name="Text Box 42"/>
        <xdr:cNvSpPr txBox="1">
          <a:spLocks noChangeArrowheads="1"/>
        </xdr:cNvSpPr>
      </xdr:nvSpPr>
      <xdr:spPr bwMode="auto">
        <a:xfrm>
          <a:off x="5200650" y="66675"/>
          <a:ext cx="876300" cy="276225"/>
        </a:xfrm>
        <a:prstGeom prst="rect">
          <a:avLst/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en-US" sz="1800" b="1" i="0" strike="noStrike">
              <a:solidFill>
                <a:srgbClr val="000000"/>
              </a:solidFill>
              <a:latin typeface="Arial"/>
              <a:cs typeface="Arial"/>
            </a:rPr>
            <a:t>Print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31</xdr:row>
      <xdr:rowOff>0</xdr:rowOff>
    </xdr:from>
    <xdr:to>
      <xdr:col>1</xdr:col>
      <xdr:colOff>952500</xdr:colOff>
      <xdr:row>32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561975" y="6419850"/>
          <a:ext cx="70485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962025</xdr:colOff>
      <xdr:row>31</xdr:row>
      <xdr:rowOff>0</xdr:rowOff>
    </xdr:from>
    <xdr:to>
      <xdr:col>1</xdr:col>
      <xdr:colOff>1666875</xdr:colOff>
      <xdr:row>32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1276350" y="6419850"/>
          <a:ext cx="70485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466725</xdr:colOff>
      <xdr:row>31</xdr:row>
      <xdr:rowOff>9525</xdr:rowOff>
    </xdr:from>
    <xdr:to>
      <xdr:col>1</xdr:col>
      <xdr:colOff>762000</xdr:colOff>
      <xdr:row>31</xdr:row>
      <xdr:rowOff>200025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781050" y="6429375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2.3</a:t>
          </a:r>
        </a:p>
      </xdr:txBody>
    </xdr:sp>
    <xdr:clientData/>
  </xdr:twoCellAnchor>
  <xdr:twoCellAnchor>
    <xdr:from>
      <xdr:col>1</xdr:col>
      <xdr:colOff>1190625</xdr:colOff>
      <xdr:row>31</xdr:row>
      <xdr:rowOff>9525</xdr:rowOff>
    </xdr:from>
    <xdr:to>
      <xdr:col>1</xdr:col>
      <xdr:colOff>1485900</xdr:colOff>
      <xdr:row>31</xdr:row>
      <xdr:rowOff>200025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1504950" y="6429375"/>
          <a:ext cx="295275" cy="190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2.3</a:t>
          </a:r>
        </a:p>
      </xdr:txBody>
    </xdr:sp>
    <xdr:clientData/>
  </xdr:twoCellAnchor>
  <xdr:twoCellAnchor>
    <xdr:from>
      <xdr:col>1</xdr:col>
      <xdr:colOff>1190625</xdr:colOff>
      <xdr:row>69</xdr:row>
      <xdr:rowOff>142875</xdr:rowOff>
    </xdr:from>
    <xdr:to>
      <xdr:col>1</xdr:col>
      <xdr:colOff>1190625</xdr:colOff>
      <xdr:row>70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>
          <a:off x="1504950" y="1382077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/>
  </xdr:twoCellAnchor>
  <xdr:twoCellAnchor>
    <xdr:from>
      <xdr:col>1</xdr:col>
      <xdr:colOff>952500</xdr:colOff>
      <xdr:row>31</xdr:row>
      <xdr:rowOff>0</xdr:rowOff>
    </xdr:from>
    <xdr:to>
      <xdr:col>1</xdr:col>
      <xdr:colOff>952500</xdr:colOff>
      <xdr:row>32</xdr:row>
      <xdr:rowOff>9525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266825" y="641985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  <a:effectLst/>
      </xdr:spPr>
    </xdr:sp>
    <xdr:clientData/>
  </xdr:twoCellAnchor>
  <xdr:twoCellAnchor>
    <xdr:from>
      <xdr:col>7</xdr:col>
      <xdr:colOff>200025</xdr:colOff>
      <xdr:row>0</xdr:row>
      <xdr:rowOff>57150</xdr:rowOff>
    </xdr:from>
    <xdr:to>
      <xdr:col>8</xdr:col>
      <xdr:colOff>504825</xdr:colOff>
      <xdr:row>0</xdr:row>
      <xdr:rowOff>333375</xdr:rowOff>
    </xdr:to>
    <xdr:sp macro="[0]!KwikfoldPrint" textlink="">
      <xdr:nvSpPr>
        <xdr:cNvPr id="3079" name="Text Box 7"/>
        <xdr:cNvSpPr txBox="1">
          <a:spLocks noChangeArrowheads="1"/>
        </xdr:cNvSpPr>
      </xdr:nvSpPr>
      <xdr:spPr bwMode="auto">
        <a:xfrm>
          <a:off x="4972050" y="57150"/>
          <a:ext cx="876300" cy="276225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en-US" sz="1800" b="1" i="0" strike="noStrike">
              <a:solidFill>
                <a:srgbClr val="000000"/>
              </a:solidFill>
              <a:latin typeface="Arial"/>
              <a:cs typeface="Arial"/>
            </a:rPr>
            <a:t>Print</a:t>
          </a:r>
        </a:p>
      </xdr:txBody>
    </xdr:sp>
    <xdr:clientData fPrintsWithSheet="0"/>
  </xdr:twoCellAnchor>
  <xdr:twoCellAnchor>
    <xdr:from>
      <xdr:col>0</xdr:col>
      <xdr:colOff>247650</xdr:colOff>
      <xdr:row>5</xdr:row>
      <xdr:rowOff>123825</xdr:rowOff>
    </xdr:from>
    <xdr:to>
      <xdr:col>1</xdr:col>
      <xdr:colOff>762000</xdr:colOff>
      <xdr:row>7</xdr:row>
      <xdr:rowOff>104775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247650" y="1295400"/>
          <a:ext cx="828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Updated</a:t>
          </a:r>
        </a:p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31/05/02</a:t>
          </a:r>
        </a:p>
      </xdr:txBody>
    </xdr:sp>
    <xdr:clientData fPrintsWithSheet="0"/>
  </xdr:twoCellAnchor>
  <xdr:twoCellAnchor>
    <xdr:from>
      <xdr:col>1</xdr:col>
      <xdr:colOff>857250</xdr:colOff>
      <xdr:row>62</xdr:row>
      <xdr:rowOff>152400</xdr:rowOff>
    </xdr:from>
    <xdr:to>
      <xdr:col>1</xdr:col>
      <xdr:colOff>857250</xdr:colOff>
      <xdr:row>63</xdr:row>
      <xdr:rowOff>171450</xdr:rowOff>
    </xdr:to>
    <xdr:sp macro="" textlink="">
      <xdr:nvSpPr>
        <xdr:cNvPr id="3081" name="Line 9"/>
        <xdr:cNvSpPr>
          <a:spLocks noChangeShapeType="1"/>
        </xdr:cNvSpPr>
      </xdr:nvSpPr>
      <xdr:spPr bwMode="auto">
        <a:xfrm>
          <a:off x="1171575" y="12496800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/>
  </xdr:twoCellAnchor>
  <xdr:twoCellAnchor>
    <xdr:from>
      <xdr:col>1</xdr:col>
      <xdr:colOff>857250</xdr:colOff>
      <xdr:row>63</xdr:row>
      <xdr:rowOff>161925</xdr:rowOff>
    </xdr:from>
    <xdr:to>
      <xdr:col>1</xdr:col>
      <xdr:colOff>857250</xdr:colOff>
      <xdr:row>64</xdr:row>
      <xdr:rowOff>180975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>
          <a:off x="1171575" y="1269682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/>
  </xdr:twoCellAnchor>
  <xdr:twoCellAnchor>
    <xdr:from>
      <xdr:col>1</xdr:col>
      <xdr:colOff>857250</xdr:colOff>
      <xdr:row>63</xdr:row>
      <xdr:rowOff>161925</xdr:rowOff>
    </xdr:from>
    <xdr:to>
      <xdr:col>1</xdr:col>
      <xdr:colOff>857250</xdr:colOff>
      <xdr:row>64</xdr:row>
      <xdr:rowOff>180975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1171575" y="1269682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/>
  </xdr:twoCellAnchor>
  <xdr:twoCellAnchor>
    <xdr:from>
      <xdr:col>1</xdr:col>
      <xdr:colOff>857250</xdr:colOff>
      <xdr:row>63</xdr:row>
      <xdr:rowOff>161925</xdr:rowOff>
    </xdr:from>
    <xdr:to>
      <xdr:col>1</xdr:col>
      <xdr:colOff>857250</xdr:colOff>
      <xdr:row>64</xdr:row>
      <xdr:rowOff>180975</xdr:rowOff>
    </xdr:to>
    <xdr:sp macro="" textlink="">
      <xdr:nvSpPr>
        <xdr:cNvPr id="3084" name="Line 12"/>
        <xdr:cNvSpPr>
          <a:spLocks noChangeShapeType="1"/>
        </xdr:cNvSpPr>
      </xdr:nvSpPr>
      <xdr:spPr bwMode="auto">
        <a:xfrm>
          <a:off x="1171575" y="1269682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</xdr:spPr>
    </xdr:sp>
    <xdr:clientData/>
  </xdr:twoCellAnchor>
  <xdr:twoCellAnchor>
    <xdr:from>
      <xdr:col>1</xdr:col>
      <xdr:colOff>409575</xdr:colOff>
      <xdr:row>28</xdr:row>
      <xdr:rowOff>190500</xdr:rowOff>
    </xdr:from>
    <xdr:to>
      <xdr:col>1</xdr:col>
      <xdr:colOff>409575</xdr:colOff>
      <xdr:row>30</xdr:row>
      <xdr:rowOff>0</xdr:rowOff>
    </xdr:to>
    <xdr:sp macro="" textlink="">
      <xdr:nvSpPr>
        <xdr:cNvPr id="3085" name="Line 13"/>
        <xdr:cNvSpPr>
          <a:spLocks noChangeShapeType="1"/>
        </xdr:cNvSpPr>
      </xdr:nvSpPr>
      <xdr:spPr bwMode="auto">
        <a:xfrm>
          <a:off x="723900" y="600075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 type="oval" w="med" len="med"/>
        </a:ln>
        <a:effectLst/>
      </xdr:spPr>
    </xdr:sp>
    <xdr:clientData/>
  </xdr:twoCellAnchor>
  <xdr:twoCellAnchor>
    <xdr:from>
      <xdr:col>1</xdr:col>
      <xdr:colOff>657225</xdr:colOff>
      <xdr:row>28</xdr:row>
      <xdr:rowOff>190500</xdr:rowOff>
    </xdr:from>
    <xdr:to>
      <xdr:col>1</xdr:col>
      <xdr:colOff>1695450</xdr:colOff>
      <xdr:row>30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971550" y="6000750"/>
          <a:ext cx="1038225" cy="2190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Load Points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133350</xdr:rowOff>
    </xdr:from>
    <xdr:to>
      <xdr:col>5</xdr:col>
      <xdr:colOff>200025</xdr:colOff>
      <xdr:row>10</xdr:row>
      <xdr:rowOff>133350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809625" y="2085975"/>
          <a:ext cx="3190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200025</xdr:colOff>
      <xdr:row>8</xdr:row>
      <xdr:rowOff>180975</xdr:rowOff>
    </xdr:from>
    <xdr:to>
      <xdr:col>5</xdr:col>
      <xdr:colOff>200025</xdr:colOff>
      <xdr:row>10</xdr:row>
      <xdr:rowOff>76200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4000500" y="175260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390525</xdr:colOff>
      <xdr:row>8</xdr:row>
      <xdr:rowOff>142875</xdr:rowOff>
    </xdr:from>
    <xdr:to>
      <xdr:col>4</xdr:col>
      <xdr:colOff>390525</xdr:colOff>
      <xdr:row>10</xdr:row>
      <xdr:rowOff>38100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3362325" y="171450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323850</xdr:colOff>
      <xdr:row>9</xdr:row>
      <xdr:rowOff>38100</xdr:rowOff>
    </xdr:from>
    <xdr:to>
      <xdr:col>1</xdr:col>
      <xdr:colOff>323850</xdr:colOff>
      <xdr:row>10</xdr:row>
      <xdr:rowOff>142875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809625" y="1800225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323850</xdr:colOff>
      <xdr:row>11</xdr:row>
      <xdr:rowOff>0</xdr:rowOff>
    </xdr:from>
    <xdr:to>
      <xdr:col>1</xdr:col>
      <xdr:colOff>323850</xdr:colOff>
      <xdr:row>12</xdr:row>
      <xdr:rowOff>123825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809625" y="2143125"/>
          <a:ext cx="0" cy="3143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390525</xdr:colOff>
      <xdr:row>10</xdr:row>
      <xdr:rowOff>180975</xdr:rowOff>
    </xdr:from>
    <xdr:to>
      <xdr:col>4</xdr:col>
      <xdr:colOff>390525</xdr:colOff>
      <xdr:row>12</xdr:row>
      <xdr:rowOff>123825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V="1">
          <a:off x="3362325" y="2133600"/>
          <a:ext cx="0" cy="32385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200025</xdr:colOff>
      <xdr:row>10</xdr:row>
      <xdr:rowOff>180975</xdr:rowOff>
    </xdr:from>
    <xdr:to>
      <xdr:col>5</xdr:col>
      <xdr:colOff>200025</xdr:colOff>
      <xdr:row>12</xdr:row>
      <xdr:rowOff>95250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4000500" y="2133600"/>
          <a:ext cx="0" cy="29527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419100</xdr:colOff>
      <xdr:row>12</xdr:row>
      <xdr:rowOff>57150</xdr:rowOff>
    </xdr:from>
    <xdr:to>
      <xdr:col>3</xdr:col>
      <xdr:colOff>723900</xdr:colOff>
      <xdr:row>12</xdr:row>
      <xdr:rowOff>57150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>
          <a:off x="904875" y="2390775"/>
          <a:ext cx="1962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</xdr:col>
      <xdr:colOff>466725</xdr:colOff>
      <xdr:row>12</xdr:row>
      <xdr:rowOff>57150</xdr:rowOff>
    </xdr:from>
    <xdr:to>
      <xdr:col>5</xdr:col>
      <xdr:colOff>133350</xdr:colOff>
      <xdr:row>12</xdr:row>
      <xdr:rowOff>57150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>
          <a:off x="3438525" y="2390775"/>
          <a:ext cx="495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</xdr:col>
      <xdr:colOff>19050</xdr:colOff>
      <xdr:row>11</xdr:row>
      <xdr:rowOff>38100</xdr:rowOff>
    </xdr:from>
    <xdr:to>
      <xdr:col>4</xdr:col>
      <xdr:colOff>19050</xdr:colOff>
      <xdr:row>13</xdr:row>
      <xdr:rowOff>47625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2990850" y="218122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66675</xdr:colOff>
      <xdr:row>12</xdr:row>
      <xdr:rowOff>57150</xdr:rowOff>
    </xdr:from>
    <xdr:to>
      <xdr:col>4</xdr:col>
      <xdr:colOff>342900</xdr:colOff>
      <xdr:row>12</xdr:row>
      <xdr:rowOff>57150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H="1">
          <a:off x="3038475" y="239077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219075</xdr:colOff>
      <xdr:row>8</xdr:row>
      <xdr:rowOff>104775</xdr:rowOff>
    </xdr:from>
    <xdr:to>
      <xdr:col>5</xdr:col>
      <xdr:colOff>619125</xdr:colOff>
      <xdr:row>14</xdr:row>
      <xdr:rowOff>123825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704850" y="1676400"/>
          <a:ext cx="3714750" cy="1162050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809625</xdr:colOff>
      <xdr:row>8</xdr:row>
      <xdr:rowOff>180975</xdr:rowOff>
    </xdr:from>
    <xdr:to>
      <xdr:col>4</xdr:col>
      <xdr:colOff>285750</xdr:colOff>
      <xdr:row>10</xdr:row>
      <xdr:rowOff>38100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2952750" y="1752600"/>
          <a:ext cx="3048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P2</a:t>
          </a:r>
        </a:p>
      </xdr:txBody>
    </xdr:sp>
    <xdr:clientData/>
  </xdr:twoCellAnchor>
  <xdr:twoCellAnchor>
    <xdr:from>
      <xdr:col>1</xdr:col>
      <xdr:colOff>438150</xdr:colOff>
      <xdr:row>9</xdr:row>
      <xdr:rowOff>9525</xdr:rowOff>
    </xdr:from>
    <xdr:to>
      <xdr:col>1</xdr:col>
      <xdr:colOff>809625</xdr:colOff>
      <xdr:row>10</xdr:row>
      <xdr:rowOff>95250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923925" y="1771650"/>
          <a:ext cx="371475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P1</a:t>
          </a:r>
        </a:p>
      </xdr:txBody>
    </xdr:sp>
    <xdr:clientData/>
  </xdr:twoCellAnchor>
  <xdr:twoCellAnchor>
    <xdr:from>
      <xdr:col>3</xdr:col>
      <xdr:colOff>533400</xdr:colOff>
      <xdr:row>12</xdr:row>
      <xdr:rowOff>152400</xdr:rowOff>
    </xdr:from>
    <xdr:to>
      <xdr:col>3</xdr:col>
      <xdr:colOff>790575</xdr:colOff>
      <xdr:row>14</xdr:row>
      <xdr:rowOff>57150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676525" y="2486025"/>
          <a:ext cx="257175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5</xdr:col>
      <xdr:colOff>285750</xdr:colOff>
      <xdr:row>8</xdr:row>
      <xdr:rowOff>180975</xdr:rowOff>
    </xdr:from>
    <xdr:to>
      <xdr:col>5</xdr:col>
      <xdr:colOff>561975</xdr:colOff>
      <xdr:row>10</xdr:row>
      <xdr:rowOff>38100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4086225" y="1752600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P3</a:t>
          </a:r>
        </a:p>
      </xdr:txBody>
    </xdr:sp>
    <xdr:clientData/>
  </xdr:twoCellAnchor>
  <xdr:twoCellAnchor>
    <xdr:from>
      <xdr:col>2</xdr:col>
      <xdr:colOff>657225</xdr:colOff>
      <xdr:row>9</xdr:row>
      <xdr:rowOff>28575</xdr:rowOff>
    </xdr:from>
    <xdr:to>
      <xdr:col>3</xdr:col>
      <xdr:colOff>219075</xdr:colOff>
      <xdr:row>10</xdr:row>
      <xdr:rowOff>95250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1971675" y="1790700"/>
          <a:ext cx="390525" cy="2571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d1</a:t>
          </a:r>
        </a:p>
      </xdr:txBody>
    </xdr:sp>
    <xdr:clientData/>
  </xdr:twoCellAnchor>
  <xdr:twoCellAnchor>
    <xdr:from>
      <xdr:col>5</xdr:col>
      <xdr:colOff>257175</xdr:colOff>
      <xdr:row>10</xdr:row>
      <xdr:rowOff>133350</xdr:rowOff>
    </xdr:from>
    <xdr:to>
      <xdr:col>5</xdr:col>
      <xdr:colOff>571500</xdr:colOff>
      <xdr:row>12</xdr:row>
      <xdr:rowOff>38100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4057650" y="2085975"/>
          <a:ext cx="314325" cy="28575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d2</a:t>
          </a:r>
        </a:p>
      </xdr:txBody>
    </xdr:sp>
    <xdr:clientData/>
  </xdr:twoCellAnchor>
  <xdr:twoCellAnchor>
    <xdr:from>
      <xdr:col>2</xdr:col>
      <xdr:colOff>333375</xdr:colOff>
      <xdr:row>10</xdr:row>
      <xdr:rowOff>180975</xdr:rowOff>
    </xdr:from>
    <xdr:to>
      <xdr:col>2</xdr:col>
      <xdr:colOff>628650</xdr:colOff>
      <xdr:row>12</xdr:row>
      <xdr:rowOff>38100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1647825" y="2133600"/>
          <a:ext cx="295275" cy="23812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104775</xdr:colOff>
      <xdr:row>10</xdr:row>
      <xdr:rowOff>180975</xdr:rowOff>
    </xdr:from>
    <xdr:to>
      <xdr:col>4</xdr:col>
      <xdr:colOff>323850</xdr:colOff>
      <xdr:row>12</xdr:row>
      <xdr:rowOff>38100</xdr:rowOff>
    </xdr:to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3076575" y="2133600"/>
          <a:ext cx="219075" cy="23812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twoCellAnchor>
  <xdr:twoCellAnchor>
    <xdr:from>
      <xdr:col>4</xdr:col>
      <xdr:colOff>600075</xdr:colOff>
      <xdr:row>11</xdr:row>
      <xdr:rowOff>9525</xdr:rowOff>
    </xdr:from>
    <xdr:to>
      <xdr:col>5</xdr:col>
      <xdr:colOff>9525</xdr:colOff>
      <xdr:row>12</xdr:row>
      <xdr:rowOff>38100</xdr:rowOff>
    </xdr:to>
    <xdr:sp macro="" textlink="">
      <xdr:nvSpPr>
        <xdr:cNvPr id="1045" name="Text Box 21"/>
        <xdr:cNvSpPr txBox="1">
          <a:spLocks noChangeArrowheads="1"/>
        </xdr:cNvSpPr>
      </xdr:nvSpPr>
      <xdr:spPr bwMode="auto">
        <a:xfrm>
          <a:off x="3571875" y="2152650"/>
          <a:ext cx="238125" cy="2190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V103"/>
  <sheetViews>
    <sheetView showGridLines="0" tabSelected="1" showOutlineSymbols="0" zoomScale="87" zoomScaleNormal="87" workbookViewId="0">
      <pane ySplit="1" topLeftCell="A2" activePane="bottomLeft" state="frozen"/>
      <selection pane="bottomLeft" activeCell="D31" sqref="D31"/>
    </sheetView>
  </sheetViews>
  <sheetFormatPr defaultColWidth="9.6640625" defaultRowHeight="15"/>
  <cols>
    <col min="1" max="1" width="3.6640625" style="1" customWidth="1"/>
    <col min="2" max="2" width="24.33203125" style="1" customWidth="1"/>
    <col min="3" max="3" width="1.6640625" style="1" customWidth="1"/>
    <col min="4" max="4" width="6.6640625" style="1" customWidth="1"/>
    <col min="5" max="5" width="0" style="1" hidden="1" customWidth="1"/>
    <col min="6" max="7" width="6.6640625" style="1" customWidth="1"/>
    <col min="8" max="8" width="2.6640625" style="1" customWidth="1"/>
    <col min="9" max="9" width="6.6640625" style="80" customWidth="1"/>
    <col min="10" max="10" width="6.6640625" style="1" customWidth="1"/>
    <col min="11" max="11" width="6.6640625" style="77" customWidth="1"/>
    <col min="12" max="12" width="8.6640625" style="1" customWidth="1"/>
    <col min="13" max="13" width="6.6640625" style="1" customWidth="1"/>
    <col min="14" max="14" width="9.6640625" style="1" customWidth="1"/>
    <col min="15" max="15" width="25.109375" style="1" customWidth="1"/>
    <col min="16" max="19" width="8.88671875" style="1" customWidth="1"/>
    <col min="20" max="20" width="9.6640625" style="1" customWidth="1"/>
    <col min="21" max="16384" width="9.6640625" style="1"/>
  </cols>
  <sheetData>
    <row r="1" spans="1:256" ht="30.75" customHeight="1">
      <c r="A1" s="2"/>
      <c r="B1" s="128" t="s">
        <v>0</v>
      </c>
      <c r="C1" s="128"/>
      <c r="D1" s="128"/>
      <c r="E1" s="128"/>
      <c r="F1" s="128"/>
      <c r="G1" s="2"/>
      <c r="H1" s="2"/>
      <c r="I1" s="78"/>
      <c r="J1" s="2"/>
      <c r="K1" s="7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>
      <c r="A2" s="2"/>
      <c r="B2" s="2"/>
      <c r="C2" s="2"/>
      <c r="D2" s="2"/>
      <c r="E2" s="2"/>
      <c r="F2" s="2"/>
      <c r="G2" s="2"/>
      <c r="H2" s="2"/>
      <c r="I2" s="78"/>
      <c r="J2" s="2"/>
      <c r="K2" s="75"/>
      <c r="L2" s="2"/>
      <c r="M2" s="2"/>
      <c r="N2" s="2"/>
      <c r="O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ht="14.25" customHeight="1">
      <c r="A3" s="2"/>
      <c r="B3" s="4" t="s">
        <v>1</v>
      </c>
      <c r="C3" s="4"/>
      <c r="D3" s="130"/>
      <c r="E3" s="131"/>
      <c r="F3" s="131"/>
      <c r="G3" s="131"/>
      <c r="H3" s="131"/>
      <c r="I3" s="131"/>
      <c r="J3" s="132"/>
      <c r="K3" s="75"/>
      <c r="L3" s="2"/>
      <c r="M3" s="2"/>
      <c r="N3" s="2"/>
      <c r="O3" s="2"/>
      <c r="P3" s="6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ht="14.25" customHeight="1">
      <c r="A4" s="2"/>
      <c r="B4" s="4" t="s">
        <v>2</v>
      </c>
      <c r="C4" s="4"/>
      <c r="D4" s="130"/>
      <c r="E4" s="131"/>
      <c r="F4" s="131"/>
      <c r="G4" s="131"/>
      <c r="H4" s="131"/>
      <c r="I4" s="131"/>
      <c r="J4" s="132"/>
      <c r="K4" s="75"/>
      <c r="L4" s="2"/>
      <c r="M4" s="2"/>
      <c r="N4" s="2"/>
      <c r="O4" s="2" t="s">
        <v>180</v>
      </c>
      <c r="P4" s="100">
        <f>IF(MID_RAIL="y",1,0)</f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ht="14.25" customHeight="1">
      <c r="A5" s="2"/>
      <c r="B5" s="4" t="s">
        <v>3</v>
      </c>
      <c r="C5" s="4"/>
      <c r="D5" s="130"/>
      <c r="E5" s="131"/>
      <c r="F5" s="131"/>
      <c r="G5" s="131"/>
      <c r="H5" s="131"/>
      <c r="I5" s="131"/>
      <c r="J5" s="132"/>
      <c r="K5" s="75"/>
      <c r="L5" s="2"/>
      <c r="M5" s="2"/>
      <c r="N5" s="2"/>
      <c r="O5" s="2"/>
      <c r="P5" s="2">
        <v>9.7999999999999997E-3</v>
      </c>
      <c r="Q5" s="5" t="s">
        <v>83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4.25" customHeight="1">
      <c r="A6" s="2"/>
      <c r="B6" s="4" t="s">
        <v>4</v>
      </c>
      <c r="C6" s="4"/>
      <c r="D6" s="133"/>
      <c r="E6" s="134"/>
      <c r="F6" s="134"/>
      <c r="G6" s="134"/>
      <c r="H6" s="134"/>
      <c r="I6" s="134"/>
      <c r="J6" s="135"/>
      <c r="K6" s="75"/>
      <c r="L6" s="2"/>
      <c r="M6" s="2"/>
      <c r="N6" s="2"/>
      <c r="O6" s="5" t="s">
        <v>60</v>
      </c>
      <c r="P6" s="67">
        <f>DECKS+(DECKS*Midrail)+IF(HRAIL_1M="Y",LIFT_NUM-(DECKS),0)</f>
        <v>22</v>
      </c>
      <c r="Q6" s="5" t="s">
        <v>84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ht="14.25" customHeight="1">
      <c r="A7" s="2"/>
      <c r="B7" s="6">
        <f ca="1">NOW()</f>
        <v>41617.474483564816</v>
      </c>
      <c r="C7" s="7"/>
      <c r="D7" s="70"/>
      <c r="E7" s="70"/>
      <c r="F7" s="70"/>
      <c r="G7" s="70"/>
      <c r="H7" s="70"/>
      <c r="I7" s="79"/>
      <c r="J7" s="2"/>
      <c r="K7" s="75"/>
      <c r="L7" s="2"/>
      <c r="M7" s="2"/>
      <c r="N7" s="2"/>
      <c r="O7" s="5" t="s">
        <v>61</v>
      </c>
      <c r="P7" s="2">
        <f>TWP+1</f>
        <v>21</v>
      </c>
      <c r="Q7" s="5" t="s">
        <v>85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ht="14.25" customHeight="1">
      <c r="A8" s="2"/>
      <c r="B8" s="9">
        <f ca="1">NOW()</f>
        <v>41617.474483564816</v>
      </c>
      <c r="C8" s="10"/>
      <c r="D8" s="2"/>
      <c r="E8" s="2"/>
      <c r="F8" s="2"/>
      <c r="G8" s="2"/>
      <c r="H8" s="82"/>
      <c r="I8" s="83"/>
      <c r="J8" s="70"/>
      <c r="K8" s="75"/>
      <c r="L8" s="2"/>
      <c r="M8" s="2"/>
      <c r="N8" s="2"/>
      <c r="O8" s="5" t="s">
        <v>62</v>
      </c>
      <c r="P8" s="2">
        <f>ROUND(H_RAIL/LIFT+1+ExtraLifts,0)</f>
        <v>12</v>
      </c>
      <c r="Q8" s="5" t="s">
        <v>86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ht="9" customHeight="1">
      <c r="A9" s="2"/>
      <c r="B9" s="11"/>
      <c r="C9" s="11"/>
      <c r="D9" s="2"/>
      <c r="E9" s="2"/>
      <c r="F9" s="2"/>
      <c r="G9" s="2"/>
      <c r="H9" s="82"/>
      <c r="I9" s="83"/>
      <c r="J9" s="70"/>
      <c r="K9" s="75"/>
      <c r="L9" s="2"/>
      <c r="M9" s="2"/>
      <c r="N9" s="2"/>
      <c r="O9" s="2"/>
      <c r="P9" s="12" t="s">
        <v>81</v>
      </c>
      <c r="Q9" s="12" t="s">
        <v>87</v>
      </c>
      <c r="R9" s="12" t="s">
        <v>104</v>
      </c>
      <c r="S9" s="12" t="s">
        <v>104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ht="14.25" customHeight="1">
      <c r="A10" s="129" t="s">
        <v>5</v>
      </c>
      <c r="B10" s="129"/>
      <c r="C10" s="13"/>
      <c r="D10" s="2"/>
      <c r="E10" s="2"/>
      <c r="F10" s="2"/>
      <c r="G10" s="3"/>
      <c r="H10" s="70"/>
      <c r="I10" s="79"/>
      <c r="J10" s="2"/>
      <c r="K10" s="75"/>
      <c r="L10" s="2"/>
      <c r="M10" s="2"/>
      <c r="N10" s="2"/>
      <c r="O10" s="12" t="s">
        <v>63</v>
      </c>
      <c r="P10" s="12" t="s">
        <v>82</v>
      </c>
      <c r="Q10" s="12" t="s">
        <v>88</v>
      </c>
      <c r="R10" s="12" t="s">
        <v>105</v>
      </c>
      <c r="S10" s="12" t="s">
        <v>106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ht="14.25" customHeight="1">
      <c r="A11" s="2"/>
      <c r="B11" s="14" t="s">
        <v>6</v>
      </c>
      <c r="C11" s="15" t="s">
        <v>28</v>
      </c>
      <c r="D11" s="106">
        <v>20</v>
      </c>
      <c r="E11" s="68" t="s">
        <v>32</v>
      </c>
      <c r="F11" s="5" t="s">
        <v>51</v>
      </c>
      <c r="G11" s="2"/>
      <c r="H11" s="101"/>
      <c r="I11" s="102"/>
      <c r="J11" s="12"/>
      <c r="K11" s="75"/>
      <c r="L11" s="2"/>
      <c r="M11" s="2"/>
      <c r="N11" s="2"/>
      <c r="O11" s="5" t="s">
        <v>64</v>
      </c>
      <c r="P11" s="2">
        <v>7.2</v>
      </c>
      <c r="Q11" s="5" t="s">
        <v>64</v>
      </c>
      <c r="R11" s="2">
        <f>JACK</f>
        <v>7.2</v>
      </c>
      <c r="S11" s="2">
        <f>JACK</f>
        <v>7.2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ht="14.25" customHeight="1">
      <c r="A12" s="2"/>
      <c r="B12" s="14" t="s">
        <v>7</v>
      </c>
      <c r="C12" s="15" t="s">
        <v>28</v>
      </c>
      <c r="D12" s="107" t="s">
        <v>29</v>
      </c>
      <c r="E12" s="68" t="s">
        <v>33</v>
      </c>
      <c r="F12" s="5" t="s">
        <v>52</v>
      </c>
      <c r="G12" s="2"/>
      <c r="H12" s="103"/>
      <c r="I12" s="102"/>
      <c r="J12" s="12"/>
      <c r="K12" s="75"/>
      <c r="L12" s="2"/>
      <c r="M12" s="2"/>
      <c r="N12" s="2"/>
      <c r="O12" s="5" t="s">
        <v>65</v>
      </c>
      <c r="P12" s="2">
        <v>17.7</v>
      </c>
      <c r="Q12" s="5" t="s">
        <v>89</v>
      </c>
      <c r="R12" s="2">
        <f>ROUNDUP(H_RAIL/3,0)</f>
        <v>7</v>
      </c>
      <c r="S12" s="2">
        <f>ROUNDUP(TWP/3,0)</f>
        <v>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ht="14.25" customHeight="1">
      <c r="A13" s="2"/>
      <c r="B13" s="14" t="s">
        <v>8</v>
      </c>
      <c r="C13" s="15" t="s">
        <v>28</v>
      </c>
      <c r="D13" s="107" t="s">
        <v>30</v>
      </c>
      <c r="E13" s="68" t="s">
        <v>34</v>
      </c>
      <c r="F13" s="5" t="s">
        <v>52</v>
      </c>
      <c r="G13" s="2"/>
      <c r="H13" s="2"/>
      <c r="I13" s="78"/>
      <c r="J13" s="2"/>
      <c r="K13" s="75"/>
      <c r="L13" s="2"/>
      <c r="M13" s="2"/>
      <c r="N13" s="2"/>
      <c r="O13" s="5" t="s">
        <v>66</v>
      </c>
      <c r="P13" s="2">
        <v>11.3</v>
      </c>
      <c r="Q13" s="5" t="s">
        <v>90</v>
      </c>
      <c r="R13" s="2">
        <f>(LIFT_NUM+DECKS)*_LED24</f>
        <v>248.60000000000002</v>
      </c>
      <c r="S13" s="2">
        <f>(LIFT_NUM+DECKS+IF(MID_RAIL="y",DECKS,0))*_LED24</f>
        <v>361.6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ht="14.25" customHeight="1">
      <c r="A14" s="2"/>
      <c r="B14" s="14" t="s">
        <v>9</v>
      </c>
      <c r="C14" s="15" t="s">
        <v>28</v>
      </c>
      <c r="D14" s="107" t="s">
        <v>29</v>
      </c>
      <c r="E14" s="68" t="s">
        <v>34</v>
      </c>
      <c r="F14" s="5" t="s">
        <v>52</v>
      </c>
      <c r="G14" s="2"/>
      <c r="H14" s="2"/>
      <c r="I14" s="78"/>
      <c r="J14" s="2"/>
      <c r="K14" s="75"/>
      <c r="L14" s="2"/>
      <c r="M14" s="2"/>
      <c r="N14" s="2"/>
      <c r="O14" s="5" t="s">
        <v>67</v>
      </c>
      <c r="P14" s="2">
        <v>8.6</v>
      </c>
      <c r="Q14" s="5" t="s">
        <v>91</v>
      </c>
      <c r="R14" s="2">
        <f>(LIFT_NUM+DECKS)*_LED18</f>
        <v>189.2</v>
      </c>
      <c r="S14" s="2">
        <f>(LIFT_NUM+DECKS+IF(MID_RAIL="y",DECKS,0))*_LED18</f>
        <v>275.2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ht="14.25" customHeight="1">
      <c r="A15" s="2"/>
      <c r="B15" s="14" t="s">
        <v>10</v>
      </c>
      <c r="C15" s="15" t="s">
        <v>28</v>
      </c>
      <c r="D15" s="108">
        <v>10</v>
      </c>
      <c r="E15" s="68" t="s">
        <v>35</v>
      </c>
      <c r="F15" s="5" t="s">
        <v>53</v>
      </c>
      <c r="G15" s="2"/>
      <c r="H15" s="2"/>
      <c r="I15" s="78"/>
      <c r="J15" s="2"/>
      <c r="K15" s="75"/>
      <c r="L15" s="2"/>
      <c r="M15" s="2"/>
      <c r="N15" s="2"/>
      <c r="O15" s="5" t="s">
        <v>68</v>
      </c>
      <c r="P15" s="2">
        <v>5.8</v>
      </c>
      <c r="Q15" s="5" t="s">
        <v>92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ht="14.25" customHeight="1">
      <c r="A16" s="2"/>
      <c r="B16" s="16" t="s">
        <v>11</v>
      </c>
      <c r="C16" s="17" t="s">
        <v>28</v>
      </c>
      <c r="D16" s="108" t="s">
        <v>29</v>
      </c>
      <c r="E16" s="68" t="s">
        <v>36</v>
      </c>
      <c r="F16" s="5" t="s">
        <v>54</v>
      </c>
      <c r="G16" s="2"/>
      <c r="H16" s="2"/>
      <c r="I16" s="78"/>
      <c r="J16" s="2"/>
      <c r="K16" s="75"/>
      <c r="L16" s="2"/>
      <c r="M16" s="2"/>
      <c r="N16" s="2"/>
      <c r="O16" s="5" t="s">
        <v>69</v>
      </c>
      <c r="P16" s="2">
        <v>9.6</v>
      </c>
      <c r="Q16" s="5" t="s">
        <v>93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ht="14.25" customHeight="1">
      <c r="A17" s="2"/>
      <c r="B17" s="18" t="s">
        <v>12</v>
      </c>
      <c r="C17" s="15" t="s">
        <v>28</v>
      </c>
      <c r="D17" s="108">
        <v>0</v>
      </c>
      <c r="E17" s="68" t="s">
        <v>37</v>
      </c>
      <c r="F17" s="5" t="s">
        <v>55</v>
      </c>
      <c r="G17" s="2"/>
      <c r="H17" s="2"/>
      <c r="I17" s="78"/>
      <c r="J17" s="2"/>
      <c r="K17" s="75"/>
      <c r="L17" s="2"/>
      <c r="M17" s="2"/>
      <c r="N17" s="2"/>
      <c r="O17" s="5" t="s">
        <v>70</v>
      </c>
      <c r="P17" s="2">
        <v>5.9</v>
      </c>
      <c r="Q17" s="5" t="s">
        <v>94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ht="14.25" customHeight="1">
      <c r="A18" s="2"/>
      <c r="B18" s="18" t="s">
        <v>13</v>
      </c>
      <c r="C18" s="15" t="s">
        <v>28</v>
      </c>
      <c r="D18" s="108">
        <v>10</v>
      </c>
      <c r="E18" s="68" t="s">
        <v>38</v>
      </c>
      <c r="F18" s="5" t="s">
        <v>55</v>
      </c>
      <c r="G18" s="2"/>
      <c r="H18" s="2"/>
      <c r="I18" s="78"/>
      <c r="J18" s="2"/>
      <c r="K18" s="75"/>
      <c r="L18" s="2"/>
      <c r="M18" s="2"/>
      <c r="N18" s="2"/>
      <c r="O18" s="5" t="s">
        <v>71</v>
      </c>
      <c r="P18" s="2">
        <v>16</v>
      </c>
      <c r="Q18" s="5" t="s">
        <v>95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ht="14.25" customHeight="1">
      <c r="A19" s="2"/>
      <c r="B19" s="18" t="s">
        <v>14</v>
      </c>
      <c r="C19" s="19" t="s">
        <v>28</v>
      </c>
      <c r="D19" s="108">
        <v>0</v>
      </c>
      <c r="E19" s="68" t="s">
        <v>39</v>
      </c>
      <c r="F19" s="5" t="s">
        <v>55</v>
      </c>
      <c r="G19" s="2"/>
      <c r="H19" s="2"/>
      <c r="I19" s="78"/>
      <c r="J19" s="2"/>
      <c r="K19" s="75"/>
      <c r="L19" s="2"/>
      <c r="M19" s="2"/>
      <c r="N19" s="2"/>
      <c r="O19" s="20" t="s">
        <v>72</v>
      </c>
      <c r="P19" s="2">
        <v>9.6999999999999993</v>
      </c>
      <c r="Q19" s="5" t="s">
        <v>96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ht="14.25" customHeight="1">
      <c r="A20" s="2"/>
      <c r="B20" s="14" t="s">
        <v>15</v>
      </c>
      <c r="C20" s="15" t="s">
        <v>28</v>
      </c>
      <c r="D20" s="107">
        <v>2</v>
      </c>
      <c r="E20" s="68" t="s">
        <v>40</v>
      </c>
      <c r="F20" s="5" t="s">
        <v>51</v>
      </c>
      <c r="G20" s="2"/>
      <c r="H20" s="2"/>
      <c r="I20" s="78"/>
      <c r="J20" s="2"/>
      <c r="K20" s="75"/>
      <c r="L20" s="2"/>
      <c r="M20" s="2"/>
      <c r="N20" s="2"/>
      <c r="O20" s="20" t="s">
        <v>73</v>
      </c>
      <c r="P20" s="2">
        <v>17</v>
      </c>
      <c r="Q20" s="5" t="s">
        <v>97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ht="14.25" customHeight="1">
      <c r="A21" s="2"/>
      <c r="B21" s="14" t="s">
        <v>181</v>
      </c>
      <c r="C21" s="15" t="s">
        <v>28</v>
      </c>
      <c r="D21" s="125">
        <v>0</v>
      </c>
      <c r="E21" s="68"/>
      <c r="F21" s="126" t="s">
        <v>182</v>
      </c>
      <c r="G21" s="2"/>
      <c r="H21" s="2"/>
      <c r="I21" s="78"/>
      <c r="J21" s="2"/>
      <c r="K21" s="75"/>
      <c r="L21" s="2"/>
      <c r="M21" s="2"/>
      <c r="N21" s="2"/>
      <c r="O21" s="20"/>
      <c r="P21" s="2"/>
      <c r="Q21" s="5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ht="14.25" customHeight="1">
      <c r="A22" s="2"/>
      <c r="B22" s="14" t="s">
        <v>16</v>
      </c>
      <c r="C22" s="15" t="s">
        <v>28</v>
      </c>
      <c r="D22" s="108">
        <v>0</v>
      </c>
      <c r="E22" s="68" t="s">
        <v>41</v>
      </c>
      <c r="F22" s="5" t="s">
        <v>55</v>
      </c>
      <c r="G22" s="2"/>
      <c r="H22" s="2"/>
      <c r="I22" s="78"/>
      <c r="J22" s="2"/>
      <c r="K22" s="75"/>
      <c r="L22" s="2"/>
      <c r="M22" s="2"/>
      <c r="N22" s="2"/>
      <c r="O22" s="5" t="s">
        <v>74</v>
      </c>
      <c r="P22" s="2">
        <v>13</v>
      </c>
      <c r="Q22" s="5" t="s">
        <v>98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ht="14.25" customHeight="1">
      <c r="A23" s="2"/>
      <c r="B23" s="14" t="s">
        <v>17</v>
      </c>
      <c r="C23" s="15" t="s">
        <v>28</v>
      </c>
      <c r="D23" s="107" t="s">
        <v>29</v>
      </c>
      <c r="E23" s="68" t="s">
        <v>42</v>
      </c>
      <c r="F23" s="5" t="s">
        <v>52</v>
      </c>
      <c r="G23" s="2"/>
      <c r="H23" s="2"/>
      <c r="I23" s="78"/>
      <c r="J23" s="2"/>
      <c r="K23" s="75"/>
      <c r="L23" s="2"/>
      <c r="M23" s="2"/>
      <c r="N23" s="2"/>
      <c r="O23" s="5" t="s">
        <v>75</v>
      </c>
      <c r="P23" s="2">
        <v>9.1999999999999993</v>
      </c>
      <c r="Q23" s="5" t="s">
        <v>99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ht="15.75" customHeight="1">
      <c r="A24" s="2"/>
      <c r="B24" s="123" t="s">
        <v>18</v>
      </c>
      <c r="C24" s="124" t="s">
        <v>28</v>
      </c>
      <c r="D24" s="109" t="s">
        <v>29</v>
      </c>
      <c r="E24" s="68" t="s">
        <v>43</v>
      </c>
      <c r="F24" s="5" t="s">
        <v>52</v>
      </c>
      <c r="G24" s="2"/>
      <c r="H24" s="2"/>
      <c r="I24" s="78"/>
      <c r="J24" s="2"/>
      <c r="K24" s="75"/>
      <c r="L24" s="2"/>
      <c r="M24" s="2"/>
      <c r="N24" s="2"/>
      <c r="O24" s="5" t="s">
        <v>76</v>
      </c>
      <c r="P24" s="2">
        <v>18.5</v>
      </c>
      <c r="Q24" s="5" t="s">
        <v>100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ht="14.25" customHeight="1">
      <c r="A25" s="127" t="s">
        <v>19</v>
      </c>
      <c r="B25" s="127"/>
      <c r="C25" s="122"/>
      <c r="D25" s="121"/>
      <c r="E25" s="22"/>
      <c r="F25" s="2"/>
      <c r="G25" s="2"/>
      <c r="H25" s="2"/>
      <c r="I25" s="78"/>
      <c r="J25" s="2"/>
      <c r="K25" s="75"/>
      <c r="L25" s="2"/>
      <c r="M25" s="2"/>
      <c r="N25" s="2"/>
      <c r="O25" s="5" t="s">
        <v>77</v>
      </c>
      <c r="P25" s="2">
        <v>13.5</v>
      </c>
      <c r="Q25" s="5" t="s">
        <v>101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ht="14.25" customHeight="1">
      <c r="A26" s="2"/>
      <c r="B26" s="14" t="s">
        <v>20</v>
      </c>
      <c r="C26" s="15" t="s">
        <v>28</v>
      </c>
      <c r="D26" s="110">
        <v>0</v>
      </c>
      <c r="E26" s="68" t="s">
        <v>44</v>
      </c>
      <c r="F26" s="5" t="s">
        <v>56</v>
      </c>
      <c r="G26" s="2"/>
      <c r="H26" s="2"/>
      <c r="I26" s="78"/>
      <c r="J26" s="2"/>
      <c r="K26" s="75"/>
      <c r="L26" s="2"/>
      <c r="M26" s="2"/>
      <c r="N26" s="2"/>
      <c r="O26" s="5" t="s">
        <v>78</v>
      </c>
      <c r="P26" s="2">
        <v>12.9</v>
      </c>
      <c r="Q26" s="5" t="s">
        <v>102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ht="14.25" customHeight="1">
      <c r="A27" s="2"/>
      <c r="B27" s="16" t="s">
        <v>21</v>
      </c>
      <c r="C27" s="19" t="s">
        <v>28</v>
      </c>
      <c r="D27" s="109">
        <v>0</v>
      </c>
      <c r="E27" s="68" t="s">
        <v>45</v>
      </c>
      <c r="F27" s="5" t="s">
        <v>56</v>
      </c>
      <c r="G27" s="2"/>
      <c r="H27" s="2"/>
      <c r="I27" s="78"/>
      <c r="J27" s="2"/>
      <c r="K27" s="75"/>
      <c r="L27" s="2"/>
      <c r="M27" s="2"/>
      <c r="N27" s="2"/>
      <c r="O27" s="5" t="s">
        <v>79</v>
      </c>
      <c r="P27" s="2">
        <v>2.2999999999999998</v>
      </c>
      <c r="Q27" s="5" t="s">
        <v>103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ht="14.25" customHeight="1">
      <c r="A28" s="2"/>
      <c r="B28" s="8"/>
      <c r="C28" s="17"/>
      <c r="D28" s="69"/>
      <c r="E28" s="22"/>
      <c r="F28" s="2"/>
      <c r="G28" s="2"/>
      <c r="H28" s="2"/>
      <c r="I28" s="78"/>
      <c r="J28" s="2"/>
      <c r="K28" s="75"/>
      <c r="L28" s="2"/>
      <c r="M28" s="2"/>
      <c r="N28" s="2"/>
      <c r="O28" s="5" t="s">
        <v>80</v>
      </c>
      <c r="P28" s="2">
        <v>0.2</v>
      </c>
      <c r="Q28" s="5" t="s">
        <v>80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ht="14.25" customHeight="1">
      <c r="A29" s="129" t="s">
        <v>22</v>
      </c>
      <c r="B29" s="129"/>
      <c r="C29" s="13"/>
      <c r="D29" s="23"/>
      <c r="E29" s="22"/>
      <c r="F29" s="2"/>
      <c r="G29" s="2"/>
      <c r="H29" s="2"/>
      <c r="I29" s="78"/>
      <c r="J29" s="2"/>
      <c r="K29" s="7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ht="14.25" customHeight="1">
      <c r="A30" s="2"/>
      <c r="B30" s="14" t="s">
        <v>23</v>
      </c>
      <c r="C30" s="15" t="s">
        <v>28</v>
      </c>
      <c r="D30" s="110">
        <v>1</v>
      </c>
      <c r="E30" s="68" t="s">
        <v>46</v>
      </c>
      <c r="F30" s="5" t="s">
        <v>53</v>
      </c>
      <c r="G30" s="2"/>
      <c r="H30" s="2"/>
      <c r="I30" s="78"/>
      <c r="J30" s="2"/>
      <c r="K30" s="7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ht="14.25" customHeight="1">
      <c r="A31" s="2"/>
      <c r="B31" s="16" t="s">
        <v>24</v>
      </c>
      <c r="C31" s="19" t="s">
        <v>28</v>
      </c>
      <c r="D31" s="108">
        <v>0</v>
      </c>
      <c r="E31" s="68" t="s">
        <v>47</v>
      </c>
      <c r="F31" s="5" t="s">
        <v>53</v>
      </c>
      <c r="G31" s="2"/>
      <c r="H31" s="2"/>
      <c r="I31" s="78"/>
      <c r="J31" s="2"/>
      <c r="K31" s="7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ht="14.25" customHeight="1">
      <c r="A32" s="2"/>
      <c r="B32" s="123" t="s">
        <v>25</v>
      </c>
      <c r="C32" s="124" t="s">
        <v>28</v>
      </c>
      <c r="D32" s="109">
        <v>0</v>
      </c>
      <c r="E32" s="68" t="s">
        <v>48</v>
      </c>
      <c r="F32" s="5" t="s">
        <v>55</v>
      </c>
      <c r="G32" s="2"/>
      <c r="H32" s="2"/>
      <c r="I32" s="78"/>
      <c r="J32" s="2"/>
      <c r="K32" s="7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ht="14.25" customHeight="1">
      <c r="A33" s="127" t="s">
        <v>26</v>
      </c>
      <c r="B33" s="127"/>
      <c r="C33" s="122"/>
      <c r="D33" s="69"/>
      <c r="E33" s="22"/>
      <c r="F33" s="2"/>
      <c r="G33" s="2"/>
      <c r="H33" s="2"/>
      <c r="I33" s="78"/>
      <c r="J33" s="24"/>
      <c r="K33" s="7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ht="14.25" customHeight="1">
      <c r="A34" s="2"/>
      <c r="B34" s="14" t="s">
        <v>20</v>
      </c>
      <c r="C34" s="15" t="s">
        <v>28</v>
      </c>
      <c r="D34" s="110">
        <v>0</v>
      </c>
      <c r="E34" s="68" t="s">
        <v>49</v>
      </c>
      <c r="F34" s="5" t="s">
        <v>56</v>
      </c>
      <c r="G34" s="2"/>
      <c r="H34" s="2"/>
      <c r="I34" s="78"/>
      <c r="J34" s="2"/>
      <c r="K34" s="7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ht="14.25" customHeight="1">
      <c r="A35" s="2"/>
      <c r="B35" s="14" t="s">
        <v>21</v>
      </c>
      <c r="C35" s="15" t="s">
        <v>28</v>
      </c>
      <c r="D35" s="109">
        <v>0</v>
      </c>
      <c r="E35" s="68" t="s">
        <v>50</v>
      </c>
      <c r="F35" s="5" t="s">
        <v>56</v>
      </c>
      <c r="G35" s="2"/>
      <c r="H35" s="2"/>
      <c r="I35" s="78"/>
      <c r="J35" s="2"/>
      <c r="K35" s="7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ht="11.25" customHeight="1">
      <c r="A36" s="2"/>
      <c r="B36" s="8"/>
      <c r="C36" s="8"/>
      <c r="D36" s="70"/>
      <c r="E36" s="2"/>
      <c r="F36" s="2"/>
      <c r="G36" s="2"/>
      <c r="H36" s="2"/>
      <c r="I36" s="78"/>
      <c r="J36" s="2"/>
      <c r="K36" s="7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ht="15.75">
      <c r="A37" s="2"/>
      <c r="B37" s="3" t="s">
        <v>27</v>
      </c>
      <c r="C37" s="2"/>
      <c r="D37" s="2"/>
      <c r="E37" s="2"/>
      <c r="F37" s="12" t="s">
        <v>57</v>
      </c>
      <c r="G37" s="2"/>
      <c r="H37" s="2"/>
      <c r="I37" s="78"/>
      <c r="J37" s="12" t="s">
        <v>57</v>
      </c>
      <c r="K37" s="7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ht="15.75">
      <c r="A38" s="2"/>
      <c r="B38" s="2"/>
      <c r="C38" s="3"/>
      <c r="D38" s="11" t="s">
        <v>20</v>
      </c>
      <c r="E38" s="3"/>
      <c r="F38" s="25"/>
      <c r="G38" s="25"/>
      <c r="H38" s="25"/>
      <c r="I38" s="97" t="s">
        <v>21</v>
      </c>
      <c r="J38" s="2"/>
      <c r="K38" s="7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ht="15.75">
      <c r="A39" s="2"/>
      <c r="B39" s="2"/>
      <c r="C39" s="2"/>
      <c r="D39" s="87" t="s">
        <v>31</v>
      </c>
      <c r="E39" s="88"/>
      <c r="F39" s="89" t="s">
        <v>58</v>
      </c>
      <c r="G39" s="90" t="s">
        <v>59</v>
      </c>
      <c r="H39" s="73"/>
      <c r="I39" s="95" t="s">
        <v>31</v>
      </c>
      <c r="J39" s="89" t="s">
        <v>58</v>
      </c>
      <c r="K39" s="96" t="s">
        <v>59</v>
      </c>
      <c r="L39" s="7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ht="14.25" customHeight="1">
      <c r="A40" s="2"/>
      <c r="B40" s="2"/>
      <c r="C40" s="2"/>
      <c r="D40" s="74"/>
      <c r="E40" s="74"/>
      <c r="F40" s="74"/>
      <c r="G40" s="84"/>
      <c r="H40" s="74"/>
      <c r="I40" s="86"/>
      <c r="J40" s="74"/>
      <c r="K40" s="85"/>
      <c r="L40" s="72"/>
      <c r="M40" s="7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ht="15.75">
      <c r="A41" s="2"/>
      <c r="B41" s="2"/>
      <c r="C41" s="2"/>
      <c r="D41" s="91">
        <f>((ROUNDUP(H_RAIL/3,0)*STAND)+((LIFT_NUM*_LED24)/2)+((LIFT_NUM*_LED24)/2)+((IF(WIDTH13="y",2.5,1.5)*DECKS)+(_HOP1)+(_HOP2*2)+(_HOP3*3))*(STEELB24/2)+((IF(WIDTH13="y",2.5,1.5)*DECKS)+(_HOP1)+(_HOP2*2)+(_HOP3*3))*(STEELB24/2)+(LIFT_NUM*IF(WIDTH13="y",TRAN13/2,TRAN08/2))+(_HOP1*1.5)+(_HOP2*6)+(_HOP3*11)+DEAD_IN)*0.0098</f>
        <v>11.19258</v>
      </c>
      <c r="E41" s="92"/>
      <c r="F41" s="92">
        <f>((H_DUTY*6.6)+(M_DUTY*4.4)+(L_DUTY*2.2))/2+(LIVE_IN*0.0098)</f>
        <v>3.3</v>
      </c>
      <c r="G41" s="93">
        <f>IF(AND(WIDTH08="y",WIDTH13="y"),"  ERR",IF(AND(WIDTH08="n",WIDTH13="n"),"  ERR",D41+F41))</f>
        <v>14.49258</v>
      </c>
      <c r="H41" s="81"/>
      <c r="I41" s="94">
        <f>(((ROUNDUP(H_RAIL/3,0)*STAND)+((LIFT_NUM*_LED24)/2)+((LIFT_NUM*_LED24)/2)+((IF(WIDTH13="y",2.5,1.5)*DECKS)*(STEELB24/2))+((IF(WIDTH13="y",2.5,1.5)*DECKS)*(STEELB24/2))+(LIFT_NUM*IF(WIDTH13="y",TRAN13/2,TRAN08/2))+IF(MESHG&gt;0,MESHG*MESHG24,STEELB24*DECKS)+((ROUNDDOWN(H_RAIL/2.5,0)*(BRACE36/2)))+IF(CHAIN="y",H_RAIL*2.4*CHAINM,0)+IF(SHADE="y",H_RAIL*2.4*SHADEC,0)+DEAD_OUT)*KN_CONV)+(EXTRA_LEDGERS*_LED24*KN_CONV)</f>
        <v>13.236859999999998</v>
      </c>
      <c r="J41" s="98">
        <f>((H_DUTY*6.6)+(M_DUTY*4.4)+(L_DUTY*2.2))/2+(LIVE_OUT*0.0098)</f>
        <v>3.3</v>
      </c>
      <c r="K41" s="99">
        <f>IF(AND(WIDTH08="y",WIDTH13="y"),"  ERR",IF(AND(WIDTH08="n",WIDTH13="n"),"  ERR",I41+J41))</f>
        <v>16.536859999999997</v>
      </c>
      <c r="L41" s="7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ht="13.5" customHeight="1">
      <c r="A42" s="2"/>
      <c r="B42" s="2"/>
      <c r="C42" s="2"/>
      <c r="D42" s="81"/>
      <c r="E42" s="81"/>
      <c r="F42" s="81"/>
      <c r="G42" s="85"/>
      <c r="H42" s="81"/>
      <c r="I42" s="81"/>
      <c r="J42" s="81"/>
      <c r="K42" s="85"/>
      <c r="L42" s="7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ht="15.75">
      <c r="A43" s="2"/>
      <c r="B43" s="2"/>
      <c r="C43" s="2"/>
      <c r="D43" s="94">
        <f>((ROUNDUP(H_RAIL/3,0)*STAND)+((LIFT_NUM*_LED24)/2)+((LIFT_NUM*_LED18)/2)+(((IF(WIDTH13="y",2.5,1.5)*DECKS)+(_HOP1)+(_HOP2*2)+(_HOP3*3))*(STEELB24/2))+(((IF(WIDTH13="y",2.5,1.5)*DECKS)+(_HOP1)+(_HOP2*2)+(_HOP3*3))*(STEELB18/2))+(LIFT_NUM*IF(WIDTH13="y",TRAN13/2,TRAN08/2))+(_HOP1*1.5)+(_HOP2*6)+(_HOP3*11)+DEAD_IN)*0.0098</f>
        <v>10.151820000000001</v>
      </c>
      <c r="E43" s="92"/>
      <c r="F43" s="92">
        <f>((H_DUTY*6.6)+(M_DUTY*4.4)+(L_DUTY*2.2))/2+(LIVE_IN*0.0098)</f>
        <v>3.3</v>
      </c>
      <c r="G43" s="93">
        <f>IF(AND(WIDTH08="y",WIDTH13="y"),"  ERR",IF(AND(WIDTH08="n",WIDTH13="n"),"  ERR",D43+F43))</f>
        <v>13.451820000000001</v>
      </c>
      <c r="H43" s="81"/>
      <c r="I43" s="94">
        <f>(((ROUNDUP(H_RAIL/3,0)*STAND)+((LIFT_NUM*_LED24)/2)+((LIFT_NUM*_LED18)/2)+((IF(WIDTH13="y",2.5,1.5)*DECKS)*(STEELB24/2))+((IF(WIDTH13="y",2.5,1.5)*DECKS)*(STEELB18/2))+(LIFT_NUM*IF(WIDTH13="y",TRAN13/2,TRAN08/2))+IF(MESHG&gt;0,(MESHG*MESHG24)/2+(MESHG*STEELB18/2),(STEELB24/2)+(STEELB18/2)*DECKS)+((ROUNDDOWN(H_RAIL/2.5,0)*(BRACE36/2)))+IF(CHAIN="y",H_RAIL*2.2*CHAINM,0)+IF(SHADE="y",H_RAIL*2.2*SHADEC,0)+DEAD_OUT)*KN_CONV)+(((_LED18+_LED24)/2)*EXTRA_LEDGERS*KN_CONV)</f>
        <v>11.24844</v>
      </c>
      <c r="J43" s="92">
        <f>((H_DUTY*6.6)+(M_DUTY*4.4)+(L_DUTY*2.2))/2+(LIVE_OUT*0.0098)</f>
        <v>3.3</v>
      </c>
      <c r="K43" s="93">
        <f>IF(AND(WIDTH08="y",WIDTH13="y"),"  ERR",IF(AND(WIDTH08="n",WIDTH13="n"),"  ERR",I43+J43))</f>
        <v>14.548439999999999</v>
      </c>
      <c r="L43" s="7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ht="13.5" customHeight="1">
      <c r="A44" s="2"/>
      <c r="B44" s="2"/>
      <c r="C44" s="2"/>
      <c r="D44" s="81"/>
      <c r="E44" s="81"/>
      <c r="F44" s="81"/>
      <c r="G44" s="85"/>
      <c r="H44" s="81"/>
      <c r="I44" s="81"/>
      <c r="J44" s="81"/>
      <c r="K44" s="85"/>
      <c r="L44" s="7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ht="15.75">
      <c r="A45" s="2"/>
      <c r="B45" s="2"/>
      <c r="C45" s="2"/>
      <c r="D45" s="94">
        <f>((ROUNDUP(H_RAIL/3,0)*STAND)+((LIFT_NUM*_LED24)/2)+((LIFT_NUM*_LED13)/2)+((IF(WIDTH13="y",2.5,1.5)*DECKS)+(_HOP1)+(_HOP2*2)+(_HOP3*3)*(STEELB13/2))+(((IF(WIDTH13="y",2.5,1.5)*DECKS)+(_HOP1)+(_HOP2*2)+(_HOP3*3))*(STEELB18/2))+(LIFT_NUM*IF(WIDTH13="y",TRAN13/2,TRAN08/2))+(_HOP1*1.5)+(_HOP2*6)+(_HOP3*11)+DEAD_IN)*0.0098</f>
        <v>6.6796800000000003</v>
      </c>
      <c r="E45" s="92"/>
      <c r="F45" s="92">
        <f>((H_DUTY*6.6)+(M_DUTY*4.4)+(L_DUTY*2.2))/2+(LIVE_IN*0.0098)</f>
        <v>3.3</v>
      </c>
      <c r="G45" s="93">
        <f>IF(AND(WIDTH08="y",WIDTH13="y"),"  ERR",IF(AND(WIDTH08="n",WIDTH13="n"),"  ERR",D45+F45))</f>
        <v>9.9796800000000001</v>
      </c>
      <c r="H45" s="81"/>
      <c r="I45" s="94">
        <f>(((ROUNDUP(H_RAIL/3,0)*STAND)+((LIFT_NUM*_LED24)/2)+((LIFT_NUM*_LED13)/2)+((IF(WIDTH13="y",2.5,1.5)*DECKS)*(STEELB24/2))+((IF(WIDTH13="y",2.5,1.5)*DECKS)*(STEELB13/2))+(LIFT_NUM*IF(WIDTH13="y",TRAN13/2,TRAN08/2))+IF(MESHG&gt;0,(MESHG*MESHG24)/2+(MESHG*STEELB13/2),(STEELB24/2)+(STEELB13/2)*DECKS)+((ROUNDDOWN(H_RAIL/2.5,0)*(BRACE36/2)))+IF(CHAIN="y",H_RAIL*1.8*CHAINM,0)+IF(SHADE="y",H_RAIL*1.8*SHADEC,0)+DEAD_OUT)*KN_CONV)+(((_LED24+_LED13)/2)*EXTRA_LEDGERS*KN_CONV)</f>
        <v>9.9244599999999981</v>
      </c>
      <c r="J45" s="92">
        <f>((H_DUTY*6.6)+(M_DUTY*4.4)+(L_DUTY*2.2))/2+(LIVE_OUT*0.0098)</f>
        <v>3.3</v>
      </c>
      <c r="K45" s="93">
        <f>IF(AND(WIDTH08="y",WIDTH13="y"),"  ERR",IF(AND(WIDTH08="n",WIDTH13="n"),"  ERR",I45+J45))</f>
        <v>13.224459999999997</v>
      </c>
      <c r="L45" s="7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ht="14.25" customHeight="1">
      <c r="A46" s="2"/>
      <c r="B46" s="2"/>
      <c r="C46" s="2"/>
      <c r="D46" s="81"/>
      <c r="E46" s="81"/>
      <c r="F46" s="81"/>
      <c r="G46" s="85"/>
      <c r="H46" s="81"/>
      <c r="I46" s="81"/>
      <c r="J46" s="81"/>
      <c r="K46" s="85"/>
      <c r="L46" s="7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ht="15.75">
      <c r="A47" s="2"/>
      <c r="B47" s="2"/>
      <c r="C47" s="2"/>
      <c r="D47" s="94">
        <f>((ROUNDUP(H_RAIL/3,0)*STAND)+((LIFT_NUM*_LED24)/2)+(((IF(WIDTH13="y",2.5,1.5)*DECKS)+(_HOP1)+(_HOP2*2)+(_HOP3*3))*(STEELB24/2))+(LIFT_NUM*IF(WIDTH13="y",TRAN13/2,TRAN08/2))+(_HOP1*1.5)+(_HOP2*6)+(_HOP3*11)+DEAD_IN)*0.0098</f>
        <v>6.7796400000000006</v>
      </c>
      <c r="E47" s="92"/>
      <c r="F47" s="92">
        <f>((H_DUTY*6.6)+(M_DUTY*4.4)+(L_DUTY*2.2))/4+(LIVE_IN*0.0098)</f>
        <v>1.65</v>
      </c>
      <c r="G47" s="93">
        <f>IF(AND(WIDTH08="y",WIDTH13="y"),"  ERR",IF(AND(WIDTH08="n",WIDTH13="n"),"  ERR",D47+F47))</f>
        <v>8.4296400000000009</v>
      </c>
      <c r="H47" s="81"/>
      <c r="I47" s="94">
        <f>(((ROUNDUP(H_RAIL/3,0)*STAND)+((LIFT_NUM*_LED24)/2)+((IF(WIDTH13="y",2.5,1.5)*DECKS)*(STEELB24/2))+(LIFT_NUM*IF(WIDTH13="y",TRAN13/2,TRAN08/2))+IF(MESHG&gt;0,(MESHG*(MESHG24+MESHG13))/2,STEELB24/2*DECKS)+((ROUNDDOWN(H_RAIL/2.5,0)*(BRACE21/2)))+IF(CHAIN="y",H_RAIL*3*CHAINM,0)+IF(SHADE="y",H_RAIL*3*SHADEC,0)+DEAD_OUT)*KN_CONV)+(((_LED24+TRAN13)/2)*EXTRA_LEDGERS*KN_CONV)</f>
        <v>9.5353999999999992</v>
      </c>
      <c r="J47" s="92">
        <f>((H_DUTY*6.6)+(M_DUTY*4.4)+(L_DUTY*2.2))/4+(LIVE_OUT*0.0098)</f>
        <v>1.65</v>
      </c>
      <c r="K47" s="93">
        <f>IF(AND(WIDTH08="y",WIDTH13="y"),"  ERR",IF(AND(WIDTH08="n",WIDTH13="n"),"  ERR",I47+J47))</f>
        <v>11.1854</v>
      </c>
      <c r="L47" s="7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ht="12.75" customHeight="1">
      <c r="A48" s="2"/>
      <c r="B48" s="2"/>
      <c r="C48" s="2"/>
      <c r="D48" s="81"/>
      <c r="E48" s="81"/>
      <c r="F48" s="81"/>
      <c r="G48" s="85"/>
      <c r="H48" s="81"/>
      <c r="I48" s="81"/>
      <c r="J48" s="81"/>
      <c r="K48" s="85"/>
      <c r="L48" s="7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ht="15.75">
      <c r="A49" s="2"/>
      <c r="B49" s="2"/>
      <c r="C49" s="2"/>
      <c r="D49" s="94">
        <f>((ROUNDUP(H_RAIL/3,0)*STAND)+((LIFT_NUM*_LED18)/2)+(((IF(WIDTH13="y",2.5,1.5)*DECKS)+(_HOP1)+(_HOP2*2)+(_HOP3*3))*(STEELB18/2))+(LIFT_NUM*IF(WIDTH13="y",TRAN13/2,TRAN08/2))+(_HOP1*1.5)+(_HOP2*6)+(_HOP3*11)+DEAD_IN)*0.0098</f>
        <v>5.73888</v>
      </c>
      <c r="E49" s="92"/>
      <c r="F49" s="92">
        <f>((H_DUTY*6.6)+(M_DUTY*4.4)+(L_DUTY*2.2))/4+(LIVE_IN*0.0098)</f>
        <v>1.65</v>
      </c>
      <c r="G49" s="93">
        <f>IF(AND(WIDTH08="y",WIDTH13="y"),"  ERR",IF(AND(WIDTH08="n",WIDTH13="n"),"  ERR",D49+F49))</f>
        <v>7.3888800000000003</v>
      </c>
      <c r="H49" s="81"/>
      <c r="I49" s="94">
        <f>(((ROUNDUP(H_RAIL/3,0)*STAND)+((LIFT_NUM*_LED18)/2)+((IF(WIDTH13="y",2.5,1.5)*DECKS)*(STEELB18/2))+(LIFT_NUM*IF(WIDTH13="y",TRAN13/2,TRAN08/2))+IF(MESHG&gt;0,(MESHG*(MESHG18+MESHG13))/2,STEELB18/2*DECKS)+((ROUNDDOWN(H_RAIL/2.5,0)*(BRACE21/2)))+IF(CHAIN="y",H_RAIL*2.8*CHAINM,0)+IF(SHADE="y",H_RAIL*2.8*SHADEC,0)+DEAD_OUT)*KN_CONV)+(((_LED18+TRAN13)/2)*EXTRA_LEDGERS*KN_CONV)</f>
        <v>8.2966800000000003</v>
      </c>
      <c r="J49" s="92">
        <f>((H_DUTY*6.6)+(M_DUTY*4.4)+(L_DUTY*2.2))/4+(LIVE_OUT*0.0098)</f>
        <v>1.65</v>
      </c>
      <c r="K49" s="93">
        <f>IF(AND(WIDTH08="y",WIDTH13="y"),"  ERR",IF(AND(WIDTH08="n",WIDTH13="n"),"  ERR",I49+J49))</f>
        <v>9.9466800000000006</v>
      </c>
      <c r="L49" s="7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ht="13.5" customHeight="1">
      <c r="A50" s="2"/>
      <c r="B50" s="2"/>
      <c r="C50" s="2"/>
      <c r="D50" s="81"/>
      <c r="E50" s="81"/>
      <c r="F50" s="81"/>
      <c r="G50" s="85"/>
      <c r="H50" s="81"/>
      <c r="I50" s="81"/>
      <c r="J50" s="81"/>
      <c r="K50" s="85"/>
      <c r="L50" s="7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ht="15.75">
      <c r="A51" s="2"/>
      <c r="B51" s="2"/>
      <c r="C51" s="2"/>
      <c r="D51" s="94">
        <f>((ROUNDUP(H_RAIL/3,0)*STAND)+((LIFT_NUM*_LED13)/2)+(((IF(WIDTH13="y",2.5,1.5)*DECKS)+(_HOP1)+(_HOP2*2)+(_HOP3*3))*(STEELB13/2))+(LIFT_NUM*IF(WIDTH13="y",TRAN13/2,TRAN08/2))+(_HOP1*1.5)+(_HOP2*6)+(_HOP3*11)+DEAD_IN)*0.0098</f>
        <v>4.7363399999999993</v>
      </c>
      <c r="E51" s="92"/>
      <c r="F51" s="92">
        <f>((H_DUTY*6.6)+(M_DUTY*4.4)+(L_DUTY*2.2))/4+(LIVE_IN*0.0098)</f>
        <v>1.65</v>
      </c>
      <c r="G51" s="93">
        <f>IF(AND(WIDTH08="y",WIDTH13="y"),"  ERR",IF(AND(WIDTH08="n",WIDTH13="n"),"  ERR",D51+F51))</f>
        <v>6.3863399999999988</v>
      </c>
      <c r="H51" s="81"/>
      <c r="I51" s="94">
        <f>(((ROUNDUP(H_RAIL/3,0)*STAND)+((LIFT_NUM*_LED13)/2)+((IF(WIDTH13="y",2.5,1.5)*DECKS)*(STEELB13/2))+(LIFT_NUM*IF(WIDTH13="y",TRAN13/2,TRAN08/2))+IF(MESHG&gt;0,(MESHG*(MESHG13*2))/2,STEELB13/2*DECKS)+((ROUNDDOWN(H_RAIL/2.5,0)*(BRACE21/2)))+IF(CHAIN="y",H_RAIL*2.4*CHAINM,0)+IF(SHADE="y",H_RAIL*2.4*SHADEC,0)+DEAD_OUT)*KN_CONV)+(((_LED13+TRAN13)/2)*EXTRA_LEDGERS*KN_CONV)</f>
        <v>6.9726999999999997</v>
      </c>
      <c r="J51" s="92">
        <f>((H_DUTY*6.6)+(M_DUTY*4.4)+(L_DUTY*2.2))/4+(LIVE_OUT*0.0098)</f>
        <v>1.65</v>
      </c>
      <c r="K51" s="93">
        <f>IF(AND(WIDTH08="y",WIDTH13="y"),"  ERR",IF(AND(WIDTH08="n",WIDTH13="n"),"  ERR",I51+J51))</f>
        <v>8.6227</v>
      </c>
      <c r="L51" s="7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pans="1:256">
      <c r="A52" s="2"/>
      <c r="B52" s="2"/>
      <c r="C52" s="2"/>
      <c r="D52" s="70"/>
      <c r="E52" s="70"/>
      <c r="F52" s="70"/>
      <c r="G52" s="70"/>
      <c r="H52" s="2"/>
      <c r="I52" s="79"/>
      <c r="J52" s="70"/>
      <c r="K52" s="7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pans="1:256">
      <c r="A53" s="2"/>
      <c r="B53" s="29"/>
      <c r="C53" s="2"/>
      <c r="D53" s="2"/>
      <c r="E53" s="2"/>
      <c r="F53" s="30"/>
      <c r="G53" s="2"/>
      <c r="H53" s="2"/>
      <c r="I53" s="78"/>
      <c r="J53" s="2"/>
      <c r="K53" s="7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pans="1:256">
      <c r="A54" s="2"/>
      <c r="B54" s="2"/>
      <c r="C54" s="2"/>
      <c r="D54" s="2"/>
      <c r="E54" s="2"/>
      <c r="F54" s="2"/>
      <c r="G54" s="2"/>
      <c r="H54" s="2"/>
      <c r="I54" s="78"/>
      <c r="J54" s="2"/>
      <c r="K54" s="7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pans="1:256">
      <c r="A55" s="2"/>
      <c r="B55" s="2"/>
      <c r="C55" s="2"/>
      <c r="D55" s="2"/>
      <c r="E55" s="2"/>
      <c r="F55" s="2"/>
      <c r="G55" s="2"/>
      <c r="H55" s="2"/>
      <c r="I55" s="78"/>
      <c r="J55" s="2"/>
      <c r="K55" s="7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>
      <c r="A56" s="2"/>
      <c r="B56" s="2"/>
      <c r="C56" s="2"/>
      <c r="D56" s="2"/>
      <c r="E56" s="2"/>
      <c r="F56" s="2"/>
      <c r="G56" s="2"/>
      <c r="H56" s="2"/>
      <c r="I56" s="78"/>
      <c r="J56" s="2"/>
      <c r="K56" s="7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pans="1:256">
      <c r="A57" s="2"/>
      <c r="B57" s="2"/>
      <c r="C57" s="2"/>
      <c r="D57" s="2"/>
      <c r="E57" s="2"/>
      <c r="F57" s="2"/>
      <c r="G57" s="2"/>
      <c r="H57" s="2"/>
      <c r="I57" s="78"/>
      <c r="J57" s="2"/>
      <c r="K57" s="7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pans="1:256">
      <c r="A58" s="2"/>
      <c r="B58" s="2"/>
      <c r="C58" s="2"/>
      <c r="D58" s="2"/>
      <c r="E58" s="2"/>
      <c r="F58" s="2"/>
      <c r="G58" s="2"/>
      <c r="H58" s="2"/>
      <c r="I58" s="78"/>
      <c r="J58" s="2"/>
      <c r="K58" s="7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>
      <c r="A59" s="2"/>
      <c r="B59" s="2"/>
      <c r="C59" s="2"/>
      <c r="D59" s="2"/>
      <c r="E59" s="2"/>
      <c r="F59" s="2"/>
      <c r="G59" s="2"/>
      <c r="H59" s="2"/>
      <c r="I59" s="78"/>
      <c r="J59" s="2"/>
      <c r="K59" s="7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pans="1:256">
      <c r="A60" s="2"/>
      <c r="B60" s="2"/>
      <c r="C60" s="2"/>
      <c r="D60" s="2"/>
      <c r="E60" s="2"/>
      <c r="F60" s="2"/>
      <c r="G60" s="2"/>
      <c r="H60" s="2"/>
      <c r="I60" s="78"/>
      <c r="J60" s="2"/>
      <c r="K60" s="7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pans="1:256">
      <c r="A61" s="2"/>
      <c r="B61" s="2"/>
      <c r="C61" s="2"/>
      <c r="D61" s="2"/>
      <c r="E61" s="2"/>
      <c r="F61" s="2"/>
      <c r="G61" s="2"/>
      <c r="H61" s="2"/>
      <c r="I61" s="78"/>
      <c r="J61" s="2"/>
      <c r="K61" s="7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pans="1:256">
      <c r="A62" s="2"/>
      <c r="B62" s="2"/>
      <c r="C62" s="2"/>
      <c r="D62" s="2"/>
      <c r="E62" s="2"/>
      <c r="F62" s="2"/>
      <c r="G62" s="2"/>
      <c r="H62" s="2"/>
      <c r="I62" s="78"/>
      <c r="J62" s="2"/>
      <c r="K62" s="7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pans="1:256">
      <c r="A63" s="2"/>
      <c r="B63" s="2"/>
      <c r="C63" s="2"/>
      <c r="D63" s="2"/>
      <c r="E63" s="2"/>
      <c r="F63" s="2"/>
      <c r="G63" s="2"/>
      <c r="H63" s="2"/>
      <c r="I63" s="78"/>
      <c r="J63" s="2"/>
      <c r="K63" s="7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pans="1:256">
      <c r="A64" s="2"/>
      <c r="B64" s="2"/>
      <c r="C64" s="2"/>
      <c r="D64" s="2"/>
      <c r="E64" s="2"/>
      <c r="F64" s="2"/>
      <c r="G64" s="2"/>
      <c r="H64" s="2"/>
      <c r="I64" s="78"/>
      <c r="J64" s="2"/>
      <c r="K64" s="7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pans="1:256">
      <c r="A65" s="2"/>
      <c r="B65" s="2"/>
      <c r="C65" s="2"/>
      <c r="D65" s="2"/>
      <c r="E65" s="2"/>
      <c r="F65" s="2"/>
      <c r="G65" s="2"/>
      <c r="H65" s="2"/>
      <c r="I65" s="78"/>
      <c r="J65" s="2"/>
      <c r="K65" s="7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pans="1:256">
      <c r="A66" s="2"/>
      <c r="B66" s="2"/>
      <c r="C66" s="2"/>
      <c r="D66" s="2"/>
      <c r="E66" s="2"/>
      <c r="F66" s="2"/>
      <c r="G66" s="2"/>
      <c r="H66" s="2"/>
      <c r="I66" s="78"/>
      <c r="J66" s="2"/>
      <c r="K66" s="7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pans="1:256">
      <c r="A67" s="2"/>
      <c r="B67" s="2"/>
      <c r="C67" s="2"/>
      <c r="D67" s="2"/>
      <c r="E67" s="2"/>
      <c r="F67" s="2"/>
      <c r="G67" s="2"/>
      <c r="H67" s="2"/>
      <c r="I67" s="78"/>
      <c r="J67" s="2"/>
      <c r="K67" s="7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pans="1:256">
      <c r="A68" s="2"/>
      <c r="B68" s="2"/>
      <c r="C68" s="2"/>
      <c r="D68" s="2"/>
      <c r="E68" s="2"/>
      <c r="F68" s="2"/>
      <c r="G68" s="2"/>
      <c r="H68" s="2"/>
      <c r="I68" s="78"/>
      <c r="J68" s="2"/>
      <c r="K68" s="7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pans="1:256">
      <c r="A69" s="2"/>
      <c r="B69" s="2"/>
      <c r="C69" s="2"/>
      <c r="D69" s="2"/>
      <c r="E69" s="2"/>
      <c r="F69" s="2"/>
      <c r="G69" s="2"/>
      <c r="H69" s="2"/>
      <c r="I69" s="78"/>
      <c r="J69" s="2"/>
      <c r="K69" s="7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pans="1:256">
      <c r="A70" s="2"/>
      <c r="B70" s="2"/>
      <c r="C70" s="2"/>
      <c r="D70" s="2"/>
      <c r="E70" s="2"/>
      <c r="F70" s="2"/>
      <c r="G70" s="2"/>
      <c r="H70" s="2"/>
      <c r="I70" s="78"/>
      <c r="J70" s="2"/>
      <c r="K70" s="7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</row>
    <row r="71" spans="1:256">
      <c r="A71" s="2"/>
      <c r="B71" s="2"/>
      <c r="C71" s="2"/>
      <c r="D71" s="2"/>
      <c r="E71" s="2"/>
      <c r="F71" s="2"/>
      <c r="G71" s="2"/>
      <c r="H71" s="2"/>
      <c r="I71" s="78"/>
      <c r="J71" s="2"/>
      <c r="K71" s="7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</row>
    <row r="72" spans="1:256">
      <c r="A72" s="2"/>
      <c r="B72" s="2"/>
      <c r="C72" s="2"/>
      <c r="D72" s="2"/>
      <c r="E72" s="2"/>
      <c r="F72" s="2"/>
      <c r="G72" s="2"/>
      <c r="H72" s="2"/>
      <c r="I72" s="78"/>
      <c r="J72" s="2"/>
      <c r="K72" s="7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</row>
    <row r="73" spans="1:256">
      <c r="A73" s="2"/>
      <c r="B73" s="2"/>
      <c r="C73" s="2"/>
      <c r="D73" s="2"/>
      <c r="E73" s="2"/>
      <c r="F73" s="2"/>
      <c r="G73" s="2"/>
      <c r="H73" s="2"/>
      <c r="I73" s="78"/>
      <c r="J73" s="2"/>
      <c r="K73" s="7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pans="1:256">
      <c r="A74" s="2"/>
      <c r="B74" s="2"/>
      <c r="C74" s="2"/>
      <c r="D74" s="2"/>
      <c r="E74" s="2"/>
      <c r="F74" s="2"/>
      <c r="G74" s="2"/>
      <c r="H74" s="2"/>
      <c r="I74" s="78"/>
      <c r="J74" s="2"/>
      <c r="K74" s="7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</row>
    <row r="75" spans="1:256">
      <c r="A75" s="2"/>
      <c r="B75" s="2"/>
      <c r="C75" s="2"/>
      <c r="D75" s="2"/>
      <c r="E75" s="2"/>
      <c r="F75" s="2"/>
      <c r="G75" s="2"/>
      <c r="H75" s="2"/>
      <c r="I75" s="78"/>
      <c r="J75" s="2"/>
      <c r="K75" s="7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</row>
    <row r="76" spans="1:256">
      <c r="A76" s="2"/>
      <c r="B76" s="2"/>
      <c r="C76" s="2"/>
      <c r="D76" s="2"/>
      <c r="E76" s="2"/>
      <c r="F76" s="2"/>
      <c r="G76" s="2"/>
      <c r="H76" s="2"/>
      <c r="I76" s="78"/>
      <c r="J76" s="2"/>
      <c r="K76" s="7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</row>
    <row r="77" spans="1:256">
      <c r="A77" s="2"/>
      <c r="B77" s="2"/>
      <c r="C77" s="2"/>
      <c r="D77" s="2"/>
      <c r="E77" s="2"/>
      <c r="F77" s="2"/>
      <c r="G77" s="2"/>
      <c r="H77" s="2"/>
      <c r="I77" s="78"/>
      <c r="J77" s="2"/>
      <c r="K77" s="7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</row>
    <row r="78" spans="1:256">
      <c r="A78" s="2"/>
      <c r="B78" s="2"/>
      <c r="C78" s="2"/>
      <c r="D78" s="2"/>
      <c r="E78" s="2"/>
      <c r="F78" s="2"/>
      <c r="G78" s="2"/>
      <c r="H78" s="2"/>
      <c r="I78" s="78"/>
      <c r="J78" s="2"/>
      <c r="K78" s="7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</row>
    <row r="79" spans="1:256">
      <c r="A79" s="2"/>
      <c r="B79" s="2"/>
      <c r="C79" s="2"/>
      <c r="D79" s="2"/>
      <c r="E79" s="2"/>
      <c r="F79" s="2"/>
      <c r="G79" s="2"/>
      <c r="H79" s="2"/>
      <c r="I79" s="78"/>
      <c r="J79" s="2"/>
      <c r="K79" s="7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</row>
    <row r="80" spans="1:256">
      <c r="A80" s="2"/>
      <c r="B80" s="2"/>
      <c r="C80" s="2"/>
      <c r="D80" s="2"/>
      <c r="E80" s="2"/>
      <c r="F80" s="2"/>
      <c r="G80" s="2"/>
      <c r="H80" s="2"/>
      <c r="I80" s="78"/>
      <c r="J80" s="2"/>
      <c r="K80" s="7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</row>
    <row r="81" spans="1:256">
      <c r="A81" s="2"/>
      <c r="B81" s="2"/>
      <c r="C81" s="2"/>
      <c r="D81" s="2"/>
      <c r="E81" s="2"/>
      <c r="F81" s="2"/>
      <c r="G81" s="2"/>
      <c r="H81" s="2"/>
      <c r="I81" s="78"/>
      <c r="J81" s="2"/>
      <c r="K81" s="7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</row>
    <row r="82" spans="1:256">
      <c r="A82" s="2"/>
      <c r="B82" s="2"/>
      <c r="C82" s="2"/>
      <c r="D82" s="2"/>
      <c r="E82" s="2"/>
      <c r="F82" s="2"/>
      <c r="G82" s="2"/>
      <c r="H82" s="2"/>
      <c r="I82" s="78"/>
      <c r="J82" s="2"/>
      <c r="K82" s="7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</row>
    <row r="83" spans="1:256">
      <c r="A83" s="2"/>
      <c r="B83" s="2"/>
      <c r="C83" s="2"/>
      <c r="D83" s="2"/>
      <c r="E83" s="2"/>
      <c r="F83" s="2"/>
      <c r="G83" s="2"/>
      <c r="H83" s="2"/>
      <c r="I83" s="78"/>
      <c r="J83" s="2"/>
      <c r="K83" s="7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</row>
    <row r="84" spans="1:256">
      <c r="A84" s="2"/>
      <c r="B84" s="2"/>
      <c r="C84" s="2"/>
      <c r="D84" s="2"/>
      <c r="E84" s="2"/>
      <c r="F84" s="2"/>
      <c r="G84" s="2"/>
      <c r="H84" s="2"/>
      <c r="I84" s="78"/>
      <c r="J84" s="2"/>
      <c r="K84" s="7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pans="1:256">
      <c r="A85" s="2"/>
      <c r="B85" s="2"/>
      <c r="C85" s="2"/>
      <c r="D85" s="2"/>
      <c r="E85" s="2"/>
      <c r="F85" s="2"/>
      <c r="G85" s="2"/>
      <c r="H85" s="2"/>
      <c r="I85" s="78"/>
      <c r="J85" s="2"/>
      <c r="K85" s="7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pans="1:256">
      <c r="A86" s="2"/>
      <c r="B86" s="2"/>
      <c r="C86" s="2"/>
      <c r="D86" s="2"/>
      <c r="E86" s="2"/>
      <c r="F86" s="2"/>
      <c r="G86" s="2"/>
      <c r="H86" s="2"/>
      <c r="I86" s="78"/>
      <c r="J86" s="2"/>
      <c r="K86" s="7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pans="1:256">
      <c r="A87" s="2"/>
      <c r="B87" s="2"/>
      <c r="C87" s="2"/>
      <c r="D87" s="2"/>
      <c r="E87" s="2"/>
      <c r="F87" s="2"/>
      <c r="G87" s="2"/>
      <c r="H87" s="2"/>
      <c r="I87" s="78"/>
      <c r="J87" s="2"/>
      <c r="K87" s="7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</row>
    <row r="88" spans="1:256">
      <c r="A88" s="2"/>
      <c r="B88" s="2"/>
      <c r="C88" s="2"/>
      <c r="D88" s="2"/>
      <c r="E88" s="2"/>
      <c r="F88" s="2"/>
      <c r="G88" s="2"/>
      <c r="H88" s="2"/>
      <c r="I88" s="78"/>
      <c r="J88" s="2"/>
      <c r="K88" s="7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</row>
    <row r="89" spans="1:256">
      <c r="A89" s="2"/>
      <c r="B89" s="2"/>
      <c r="C89" s="2"/>
      <c r="D89" s="2"/>
      <c r="E89" s="2"/>
      <c r="F89" s="2"/>
      <c r="G89" s="2"/>
      <c r="H89" s="2"/>
      <c r="I89" s="78"/>
      <c r="J89" s="2"/>
      <c r="K89" s="7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</row>
    <row r="90" spans="1:256">
      <c r="A90" s="2"/>
      <c r="B90" s="2"/>
      <c r="C90" s="2"/>
      <c r="D90" s="2"/>
      <c r="E90" s="2"/>
      <c r="F90" s="2"/>
      <c r="G90" s="2"/>
      <c r="H90" s="2"/>
      <c r="I90" s="78"/>
      <c r="J90" s="2"/>
      <c r="K90" s="7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</row>
    <row r="91" spans="1:256">
      <c r="A91" s="2"/>
      <c r="B91" s="2"/>
      <c r="C91" s="2"/>
      <c r="D91" s="2"/>
      <c r="E91" s="2"/>
      <c r="F91" s="2"/>
      <c r="G91" s="2"/>
      <c r="H91" s="2"/>
      <c r="I91" s="78"/>
      <c r="J91" s="2"/>
      <c r="K91" s="7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pans="1:256">
      <c r="A92" s="2"/>
      <c r="B92" s="2"/>
      <c r="C92" s="2"/>
      <c r="D92" s="2"/>
      <c r="E92" s="2"/>
      <c r="F92" s="2"/>
      <c r="G92" s="2"/>
      <c r="H92" s="2"/>
      <c r="I92" s="78"/>
      <c r="J92" s="2"/>
      <c r="K92" s="7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</row>
    <row r="93" spans="1:256">
      <c r="A93" s="2"/>
      <c r="B93" s="2"/>
      <c r="C93" s="2"/>
      <c r="D93" s="2"/>
      <c r="E93" s="2"/>
      <c r="F93" s="2"/>
      <c r="G93" s="2"/>
      <c r="H93" s="2"/>
      <c r="I93" s="78"/>
      <c r="J93" s="2"/>
      <c r="K93" s="7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</row>
    <row r="94" spans="1:256">
      <c r="A94" s="2"/>
      <c r="B94" s="2"/>
      <c r="C94" s="2"/>
      <c r="D94" s="2"/>
      <c r="E94" s="2"/>
      <c r="F94" s="2"/>
      <c r="G94" s="2"/>
      <c r="H94" s="2"/>
      <c r="I94" s="78"/>
      <c r="J94" s="2"/>
      <c r="K94" s="7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</row>
    <row r="95" spans="1:256">
      <c r="A95" s="2"/>
      <c r="B95" s="2"/>
      <c r="C95" s="2"/>
      <c r="D95" s="2"/>
      <c r="E95" s="2"/>
      <c r="F95" s="2"/>
      <c r="G95" s="2"/>
      <c r="H95" s="2"/>
      <c r="I95" s="78"/>
      <c r="J95" s="2"/>
      <c r="K95" s="7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</row>
    <row r="96" spans="1:256">
      <c r="A96" s="2"/>
      <c r="B96" s="2"/>
      <c r="C96" s="2"/>
      <c r="D96" s="2"/>
      <c r="E96" s="2"/>
      <c r="F96" s="2"/>
      <c r="G96" s="2"/>
      <c r="H96" s="2"/>
      <c r="I96" s="78"/>
      <c r="J96" s="2"/>
      <c r="K96" s="7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</row>
    <row r="97" spans="1:256">
      <c r="A97" s="2"/>
      <c r="B97" s="2"/>
      <c r="C97" s="2"/>
      <c r="D97" s="2"/>
      <c r="E97" s="2"/>
      <c r="F97" s="2"/>
      <c r="G97" s="2"/>
      <c r="H97" s="2"/>
      <c r="I97" s="78"/>
      <c r="J97" s="2"/>
      <c r="K97" s="7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</row>
    <row r="98" spans="1:256">
      <c r="A98" s="2"/>
      <c r="B98" s="2"/>
      <c r="C98" s="2"/>
      <c r="D98" s="2"/>
      <c r="E98" s="2"/>
      <c r="F98" s="2"/>
      <c r="G98" s="2"/>
      <c r="H98" s="2"/>
      <c r="I98" s="78"/>
      <c r="J98" s="2"/>
      <c r="K98" s="7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</row>
    <row r="99" spans="1:256">
      <c r="A99" s="2"/>
      <c r="B99" s="2"/>
      <c r="C99" s="2"/>
      <c r="D99" s="2"/>
      <c r="E99" s="2"/>
      <c r="F99" s="2"/>
      <c r="G99" s="2"/>
      <c r="H99" s="2"/>
      <c r="I99" s="78"/>
      <c r="J99" s="2"/>
      <c r="K99" s="7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</row>
    <row r="100" spans="1:256">
      <c r="A100" s="2"/>
      <c r="B100" s="2"/>
      <c r="C100" s="2"/>
      <c r="D100" s="2"/>
      <c r="E100" s="2"/>
      <c r="F100" s="2"/>
      <c r="G100" s="2"/>
      <c r="H100" s="2"/>
      <c r="I100" s="78"/>
      <c r="J100" s="2"/>
      <c r="K100" s="7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</row>
    <row r="101" spans="1:256">
      <c r="A101" s="2"/>
      <c r="B101" s="2"/>
      <c r="C101" s="2"/>
      <c r="D101" s="2"/>
      <c r="E101" s="2"/>
      <c r="F101" s="2"/>
      <c r="G101" s="2"/>
      <c r="H101" s="2"/>
      <c r="I101" s="78"/>
      <c r="J101" s="2"/>
      <c r="K101" s="7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</row>
    <row r="102" spans="1:256">
      <c r="A102" s="2"/>
      <c r="B102" s="2"/>
      <c r="C102" s="2"/>
      <c r="D102" s="2"/>
      <c r="E102" s="2"/>
      <c r="F102" s="2"/>
      <c r="G102" s="2"/>
      <c r="H102" s="2"/>
      <c r="I102" s="78"/>
      <c r="J102" s="2"/>
      <c r="K102" s="7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</row>
    <row r="103" spans="1:256">
      <c r="A103" s="2"/>
      <c r="B103" s="2"/>
      <c r="C103" s="2"/>
      <c r="D103" s="2"/>
      <c r="E103" s="2"/>
      <c r="F103" s="2"/>
      <c r="G103" s="2"/>
      <c r="H103" s="2"/>
      <c r="I103" s="78"/>
      <c r="J103" s="2"/>
      <c r="K103" s="7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</row>
  </sheetData>
  <mergeCells count="9">
    <mergeCell ref="A33:B33"/>
    <mergeCell ref="B1:F1"/>
    <mergeCell ref="A10:B10"/>
    <mergeCell ref="A25:B25"/>
    <mergeCell ref="A29:B29"/>
    <mergeCell ref="D3:J3"/>
    <mergeCell ref="D4:J4"/>
    <mergeCell ref="D5:J5"/>
    <mergeCell ref="D6:J6"/>
  </mergeCells>
  <printOptions horizontalCentered="1"/>
  <pageMargins left="0.5" right="0.5" top="0.28000000000000003" bottom="0.50694444444444442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IU82"/>
  <sheetViews>
    <sheetView showOutlineSymbols="0" zoomScale="87" zoomScaleNormal="87" workbookViewId="0">
      <pane ySplit="1" topLeftCell="A2" activePane="bottomLeft" state="frozen"/>
      <selection pane="bottomLeft" activeCell="D3" sqref="D3:I3"/>
    </sheetView>
  </sheetViews>
  <sheetFormatPr defaultColWidth="9.6640625" defaultRowHeight="15"/>
  <cols>
    <col min="1" max="1" width="3.6640625" style="31" customWidth="1"/>
    <col min="2" max="2" width="23.6640625" style="31" customWidth="1"/>
    <col min="3" max="3" width="1.6640625" style="31" customWidth="1"/>
    <col min="4" max="10" width="6.6640625" style="31" customWidth="1"/>
    <col min="11" max="12" width="0" style="31" hidden="1" customWidth="1"/>
    <col min="13" max="16384" width="9.6640625" style="31"/>
  </cols>
  <sheetData>
    <row r="1" spans="1:255" ht="30.75" customHeight="1">
      <c r="A1" s="137" t="s">
        <v>107</v>
      </c>
      <c r="B1" s="137"/>
      <c r="C1" s="137"/>
      <c r="D1" s="137"/>
      <c r="E1" s="137"/>
      <c r="F1" s="33"/>
      <c r="G1" s="33"/>
      <c r="H1" s="33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</row>
    <row r="2" spans="1:255" ht="14.2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</row>
    <row r="3" spans="1:255" ht="15.75">
      <c r="A3" s="33"/>
      <c r="B3" s="35" t="s">
        <v>1</v>
      </c>
      <c r="C3" s="35"/>
      <c r="D3" s="138"/>
      <c r="E3" s="139"/>
      <c r="F3" s="139"/>
      <c r="G3" s="139"/>
      <c r="H3" s="139"/>
      <c r="I3" s="140"/>
      <c r="J3" s="38"/>
      <c r="K3" s="33"/>
      <c r="L3" s="33"/>
      <c r="M3" s="113"/>
      <c r="N3" s="111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</row>
    <row r="4" spans="1:255" ht="15.75">
      <c r="A4" s="33"/>
      <c r="B4" s="35" t="s">
        <v>2</v>
      </c>
      <c r="C4" s="35"/>
      <c r="D4" s="138"/>
      <c r="E4" s="139"/>
      <c r="F4" s="139"/>
      <c r="G4" s="139"/>
      <c r="H4" s="139"/>
      <c r="I4" s="140"/>
      <c r="J4" s="38"/>
      <c r="K4" s="33"/>
      <c r="L4" s="33"/>
      <c r="M4" s="113"/>
      <c r="N4" s="11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</row>
    <row r="5" spans="1:255" ht="15.75">
      <c r="A5" s="33"/>
      <c r="B5" s="35" t="s">
        <v>3</v>
      </c>
      <c r="C5" s="35"/>
      <c r="D5" s="138"/>
      <c r="E5" s="139"/>
      <c r="F5" s="139"/>
      <c r="G5" s="139"/>
      <c r="H5" s="139"/>
      <c r="I5" s="140"/>
      <c r="J5" s="38"/>
      <c r="K5" s="33"/>
      <c r="L5" s="33"/>
      <c r="M5" s="11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</row>
    <row r="6" spans="1:255" ht="15.75">
      <c r="A6" s="33"/>
      <c r="B6" s="35" t="s">
        <v>4</v>
      </c>
      <c r="C6" s="35"/>
      <c r="D6" s="138"/>
      <c r="E6" s="139"/>
      <c r="F6" s="139"/>
      <c r="G6" s="139"/>
      <c r="H6" s="139"/>
      <c r="I6" s="140"/>
      <c r="J6" s="38"/>
      <c r="K6" s="33"/>
      <c r="L6" s="33"/>
      <c r="M6" s="3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</row>
    <row r="7" spans="1:255" ht="15.75">
      <c r="A7" s="33"/>
      <c r="B7" s="104">
        <f ca="1">NOW()</f>
        <v>41617.474483564816</v>
      </c>
      <c r="C7" s="33"/>
      <c r="D7" s="37"/>
      <c r="E7" s="37"/>
      <c r="F7" s="37"/>
      <c r="G7" s="37"/>
      <c r="H7" s="37"/>
      <c r="I7" s="37"/>
      <c r="J7" s="33"/>
      <c r="K7" s="33"/>
      <c r="L7" s="33"/>
      <c r="M7" s="33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</row>
    <row r="8" spans="1:255" ht="15.75">
      <c r="A8" s="33"/>
      <c r="B8" s="105">
        <f ca="1">NOW()</f>
        <v>41617.474483564816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</row>
    <row r="9" spans="1:255" ht="15.75">
      <c r="A9" s="33"/>
      <c r="B9" s="39"/>
      <c r="C9" s="39"/>
      <c r="D9" s="39"/>
      <c r="E9" s="33"/>
      <c r="F9" s="33"/>
      <c r="G9" s="33"/>
      <c r="H9" s="33"/>
      <c r="I9" s="33"/>
      <c r="J9" s="33"/>
      <c r="K9" s="33" t="s">
        <v>110</v>
      </c>
      <c r="L9" s="33">
        <f>IF(MOD(HR_HGHT,6)&lt;4,ROUNDDOWN(HR_HGHT/6,0),ROUNDUP(HR_HGHT/6,0))</f>
        <v>1</v>
      </c>
      <c r="M9" s="33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</row>
    <row r="10" spans="1:255" ht="18">
      <c r="A10" s="40" t="s">
        <v>5</v>
      </c>
      <c r="B10" s="33"/>
      <c r="C10" s="40"/>
      <c r="D10" s="40"/>
      <c r="E10" s="33"/>
      <c r="F10" s="33"/>
      <c r="G10" s="33"/>
      <c r="H10" s="33"/>
      <c r="I10" s="33"/>
      <c r="J10" s="33"/>
      <c r="K10" s="33" t="s">
        <v>111</v>
      </c>
      <c r="L10" s="33">
        <f>KF_TWP+2</f>
        <v>8</v>
      </c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</row>
    <row r="11" spans="1:255" ht="15.75">
      <c r="A11" s="33"/>
      <c r="B11" s="41" t="s">
        <v>6</v>
      </c>
      <c r="C11" s="42" t="s">
        <v>28</v>
      </c>
      <c r="D11" s="120">
        <v>6</v>
      </c>
      <c r="E11" s="38" t="s">
        <v>51</v>
      </c>
      <c r="F11" s="33"/>
      <c r="G11" s="33"/>
      <c r="H11" s="33"/>
      <c r="I11" s="33"/>
      <c r="J11" s="33"/>
      <c r="K11" s="33" t="s">
        <v>112</v>
      </c>
      <c r="L11" s="33">
        <v>500</v>
      </c>
      <c r="M11" s="33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</row>
    <row r="12" spans="1:255" ht="15.75">
      <c r="A12" s="33"/>
      <c r="B12" s="43" t="s">
        <v>12</v>
      </c>
      <c r="C12" s="42" t="s">
        <v>28</v>
      </c>
      <c r="D12" s="120">
        <v>0</v>
      </c>
      <c r="E12" s="38" t="s">
        <v>55</v>
      </c>
      <c r="F12" s="33"/>
      <c r="G12" s="33"/>
      <c r="H12" s="33"/>
      <c r="I12" s="33"/>
      <c r="J12" s="33"/>
      <c r="K12" s="33" t="s">
        <v>113</v>
      </c>
      <c r="L12" s="33">
        <v>17</v>
      </c>
      <c r="M12" s="33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</row>
    <row r="13" spans="1:255" ht="15.75">
      <c r="A13" s="33"/>
      <c r="B13" s="43" t="s">
        <v>13</v>
      </c>
      <c r="C13" s="42" t="s">
        <v>28</v>
      </c>
      <c r="D13" s="120">
        <v>0</v>
      </c>
      <c r="E13" s="38" t="s">
        <v>55</v>
      </c>
      <c r="F13" s="33"/>
      <c r="G13" s="33"/>
      <c r="H13" s="33"/>
      <c r="I13" s="33"/>
      <c r="J13" s="33"/>
      <c r="K13" s="33" t="s">
        <v>114</v>
      </c>
      <c r="L13" s="33">
        <v>34</v>
      </c>
      <c r="M13" s="33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</row>
    <row r="14" spans="1:255" ht="15.75">
      <c r="A14" s="33"/>
      <c r="B14" s="43" t="s">
        <v>14</v>
      </c>
      <c r="C14" s="42" t="s">
        <v>28</v>
      </c>
      <c r="D14" s="120">
        <v>0</v>
      </c>
      <c r="E14" s="38" t="s">
        <v>55</v>
      </c>
      <c r="F14" s="33"/>
      <c r="G14" s="33"/>
      <c r="H14" s="33"/>
      <c r="I14" s="33"/>
      <c r="J14" s="33"/>
      <c r="K14" s="33" t="s">
        <v>115</v>
      </c>
      <c r="L14" s="33">
        <v>50</v>
      </c>
      <c r="M14" s="33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</row>
    <row r="15" spans="1:255" ht="15.75">
      <c r="A15" s="33"/>
      <c r="B15" s="41" t="s">
        <v>18</v>
      </c>
      <c r="C15" s="42" t="s">
        <v>28</v>
      </c>
      <c r="D15" s="120" t="s">
        <v>30</v>
      </c>
      <c r="E15" s="38" t="s">
        <v>52</v>
      </c>
      <c r="F15" s="33"/>
      <c r="G15" s="33"/>
      <c r="H15" s="33"/>
      <c r="I15" s="33"/>
      <c r="J15" s="33"/>
      <c r="K15" s="33"/>
      <c r="L15" s="33"/>
      <c r="M15" s="33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</row>
    <row r="16" spans="1:255" ht="15.75">
      <c r="A16" s="33"/>
      <c r="B16" s="36" t="s">
        <v>19</v>
      </c>
      <c r="C16" s="36"/>
      <c r="D16" s="44"/>
      <c r="E16" s="33"/>
      <c r="F16" s="33"/>
      <c r="G16" s="33"/>
      <c r="H16" s="33"/>
      <c r="I16" s="33"/>
      <c r="J16" s="33"/>
      <c r="K16" s="33" t="s">
        <v>116</v>
      </c>
      <c r="L16" s="33">
        <f>NUM_UNITS*_1_6M_UNIT</f>
        <v>500</v>
      </c>
      <c r="M16" s="33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</row>
    <row r="17" spans="1:255" ht="15.75">
      <c r="A17" s="33"/>
      <c r="B17" s="41" t="s">
        <v>20</v>
      </c>
      <c r="C17" s="42" t="s">
        <v>28</v>
      </c>
      <c r="D17" s="120">
        <v>0</v>
      </c>
      <c r="E17" s="38" t="s">
        <v>56</v>
      </c>
      <c r="F17" s="33"/>
      <c r="G17" s="33"/>
      <c r="H17" s="33"/>
      <c r="I17" s="33"/>
      <c r="J17" s="33"/>
      <c r="K17" s="33" t="s">
        <v>117</v>
      </c>
      <c r="L17" s="33">
        <f>WT_UNITS*0.4</f>
        <v>200</v>
      </c>
      <c r="M17" s="33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</row>
    <row r="18" spans="1:255" ht="15.75">
      <c r="A18" s="33"/>
      <c r="B18" s="41" t="s">
        <v>21</v>
      </c>
      <c r="C18" s="42" t="s">
        <v>28</v>
      </c>
      <c r="D18" s="120">
        <v>0</v>
      </c>
      <c r="E18" s="38" t="s">
        <v>56</v>
      </c>
      <c r="F18" s="33"/>
      <c r="G18" s="33"/>
      <c r="H18" s="33"/>
      <c r="I18" s="33"/>
      <c r="J18" s="33"/>
      <c r="K18" s="33" t="s">
        <v>118</v>
      </c>
      <c r="L18" s="33">
        <f>WT_UNITS*0.6</f>
        <v>300</v>
      </c>
      <c r="M18" s="33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</row>
    <row r="19" spans="1:255" ht="18">
      <c r="A19" s="40" t="s">
        <v>22</v>
      </c>
      <c r="B19" s="37"/>
      <c r="C19" s="45"/>
      <c r="D19" s="44"/>
      <c r="E19" s="33"/>
      <c r="F19" s="33"/>
      <c r="G19" s="33"/>
      <c r="H19" s="33"/>
      <c r="I19" s="33"/>
      <c r="J19" s="33"/>
      <c r="K19" s="33"/>
      <c r="L19" s="33"/>
      <c r="M19" s="46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</row>
    <row r="20" spans="1:255" ht="15.75">
      <c r="A20" s="33"/>
      <c r="B20" s="41" t="s">
        <v>23</v>
      </c>
      <c r="C20" s="42" t="s">
        <v>28</v>
      </c>
      <c r="D20" s="120">
        <v>2</v>
      </c>
      <c r="E20" s="38" t="s">
        <v>108</v>
      </c>
      <c r="F20" s="33"/>
      <c r="G20" s="33"/>
      <c r="H20" s="33"/>
      <c r="I20" s="33"/>
      <c r="J20" s="33"/>
      <c r="K20" s="33"/>
      <c r="L20" s="33"/>
      <c r="M20" s="33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</row>
    <row r="21" spans="1:255" ht="15.75">
      <c r="A21" s="33"/>
      <c r="B21" s="41" t="s">
        <v>24</v>
      </c>
      <c r="C21" s="42" t="s">
        <v>28</v>
      </c>
      <c r="D21" s="120">
        <v>0</v>
      </c>
      <c r="E21" s="38" t="s">
        <v>108</v>
      </c>
      <c r="F21" s="33"/>
      <c r="G21" s="33"/>
      <c r="H21" s="33"/>
      <c r="I21" s="33"/>
      <c r="J21" s="33"/>
      <c r="K21" s="33"/>
      <c r="L21" s="33"/>
      <c r="M21" s="33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</row>
    <row r="22" spans="1:255" ht="15.75">
      <c r="A22" s="33"/>
      <c r="B22" s="41" t="s">
        <v>25</v>
      </c>
      <c r="C22" s="42" t="s">
        <v>28</v>
      </c>
      <c r="D22" s="120">
        <v>0</v>
      </c>
      <c r="E22" s="38" t="s">
        <v>108</v>
      </c>
      <c r="F22" s="33"/>
      <c r="G22" s="33"/>
      <c r="H22" s="33"/>
      <c r="I22" s="33"/>
      <c r="J22" s="33"/>
      <c r="K22" s="33"/>
      <c r="L22" s="33"/>
      <c r="M22" s="33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</row>
    <row r="23" spans="1:255" ht="15.75">
      <c r="A23" s="33"/>
      <c r="B23" s="36" t="s">
        <v>26</v>
      </c>
      <c r="C23" s="36"/>
      <c r="D23" s="44"/>
      <c r="E23" s="33"/>
      <c r="F23" s="33"/>
      <c r="G23" s="33"/>
      <c r="H23" s="33"/>
      <c r="I23" s="33"/>
      <c r="J23" s="33"/>
      <c r="K23" s="33"/>
      <c r="L23" s="33"/>
      <c r="M23" s="33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</row>
    <row r="24" spans="1:255" ht="15.75">
      <c r="A24" s="33"/>
      <c r="B24" s="41" t="s">
        <v>20</v>
      </c>
      <c r="C24" s="42" t="s">
        <v>28</v>
      </c>
      <c r="D24" s="120">
        <v>0</v>
      </c>
      <c r="E24" s="38" t="s">
        <v>109</v>
      </c>
      <c r="F24" s="33"/>
      <c r="G24" s="33"/>
      <c r="H24" s="33"/>
      <c r="I24" s="33"/>
      <c r="J24" s="33"/>
      <c r="K24" s="33"/>
      <c r="L24" s="33"/>
      <c r="M24" s="33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</row>
    <row r="25" spans="1:255" ht="15.75">
      <c r="A25" s="33"/>
      <c r="B25" s="41" t="s">
        <v>21</v>
      </c>
      <c r="C25" s="42" t="s">
        <v>28</v>
      </c>
      <c r="D25" s="120">
        <v>0</v>
      </c>
      <c r="E25" s="38" t="s">
        <v>109</v>
      </c>
      <c r="F25" s="33"/>
      <c r="G25" s="33"/>
      <c r="H25" s="33"/>
      <c r="I25" s="33"/>
      <c r="J25" s="33"/>
      <c r="K25" s="33"/>
      <c r="L25" s="33"/>
      <c r="M25" s="33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</row>
    <row r="26" spans="1:255">
      <c r="A26" s="33"/>
      <c r="B26" s="37"/>
      <c r="C26" s="37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</row>
    <row r="27" spans="1:25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</row>
    <row r="28" spans="1:255" ht="15.75">
      <c r="A28" s="33"/>
      <c r="B28" s="34" t="s">
        <v>27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</row>
    <row r="29" spans="1:255" ht="15.75">
      <c r="A29" s="33"/>
      <c r="B29" s="33"/>
      <c r="C29" s="34"/>
      <c r="D29" s="33"/>
      <c r="E29" s="47" t="s">
        <v>57</v>
      </c>
      <c r="F29" s="33"/>
      <c r="G29" s="33"/>
      <c r="H29" s="33"/>
      <c r="I29" s="47" t="s">
        <v>57</v>
      </c>
      <c r="J29" s="33"/>
      <c r="K29" s="33"/>
      <c r="L29" s="33"/>
      <c r="M29" s="33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</row>
    <row r="30" spans="1:255" ht="16.5" thickBot="1">
      <c r="A30" s="33"/>
      <c r="B30" s="46"/>
      <c r="C30" s="33"/>
      <c r="D30" s="136" t="s">
        <v>20</v>
      </c>
      <c r="E30" s="136"/>
      <c r="F30" s="136"/>
      <c r="G30" s="48"/>
      <c r="H30" s="136" t="s">
        <v>21</v>
      </c>
      <c r="I30" s="136"/>
      <c r="J30" s="136"/>
      <c r="K30" s="33"/>
      <c r="L30" s="33"/>
      <c r="M30" s="33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</row>
    <row r="31" spans="1:255" ht="15.75">
      <c r="A31" s="33"/>
      <c r="B31" s="33"/>
      <c r="C31" s="33"/>
      <c r="D31" s="114" t="s">
        <v>31</v>
      </c>
      <c r="E31" s="115" t="s">
        <v>58</v>
      </c>
      <c r="F31" s="116" t="s">
        <v>59</v>
      </c>
      <c r="G31" s="113"/>
      <c r="H31" s="114" t="s">
        <v>31</v>
      </c>
      <c r="I31" s="115" t="s">
        <v>58</v>
      </c>
      <c r="J31" s="116" t="s">
        <v>59</v>
      </c>
      <c r="K31" s="112"/>
      <c r="L31" s="33"/>
      <c r="M31" s="33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</row>
    <row r="32" spans="1:255" ht="16.5" thickBot="1">
      <c r="A32" s="33"/>
      <c r="B32" s="33"/>
      <c r="C32" s="33"/>
      <c r="D32" s="117">
        <f>(WT_UNITS_IN+(HOP1_WT*KF_HOP1)+(HOP2_WT*KF_HOP2)+(HOP3_WT*KF_HOP3)+KF_DEAD_IN)*0.0098</f>
        <v>1.96</v>
      </c>
      <c r="E32" s="118">
        <f>((KF_HDUTY*6.6)+(KF_MDUTY*4.4)+(KF_LDUTY*2.2))/2+(KF_LIVE_IN*0.0098)</f>
        <v>6.6</v>
      </c>
      <c r="F32" s="119">
        <f>D32+E32</f>
        <v>8.5599999999999987</v>
      </c>
      <c r="G32" s="112"/>
      <c r="H32" s="117">
        <f>(WT_UNITS_OUT+IF(SHADECLOTH="y",HR_HGHT*2.3*SHADEC,0)+KF_DEAD_OUT)*0.0098</f>
        <v>2.94</v>
      </c>
      <c r="I32" s="118">
        <f>((KF_HDUTY*6.6)+(KF_MDUTY*4.4)+(KF_LDUTY*2.2))/2+(KF_LIVE_OUT*0.0098)</f>
        <v>6.6</v>
      </c>
      <c r="J32" s="119">
        <f>H32+I32</f>
        <v>9.5399999999999991</v>
      </c>
      <c r="K32" s="112"/>
      <c r="L32" s="33"/>
      <c r="M32" s="33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</row>
    <row r="33" spans="1:255">
      <c r="A33" s="33"/>
      <c r="B33" s="33"/>
      <c r="C33" s="33"/>
      <c r="D33" s="112"/>
      <c r="E33" s="112"/>
      <c r="F33" s="112"/>
      <c r="G33" s="33"/>
      <c r="H33" s="112"/>
      <c r="I33" s="112"/>
      <c r="J33" s="112"/>
      <c r="K33" s="33"/>
      <c r="L33" s="33"/>
      <c r="M33" s="33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</row>
    <row r="34" spans="1:255">
      <c r="A34" s="33"/>
      <c r="B34" s="33"/>
      <c r="C34" s="33"/>
      <c r="D34" s="33"/>
      <c r="E34" s="33"/>
      <c r="F34" s="33"/>
      <c r="G34" s="33"/>
      <c r="H34" s="33"/>
      <c r="I34" s="46"/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</row>
    <row r="35" spans="1:25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</row>
    <row r="36" spans="1:25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</row>
    <row r="37" spans="1:25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</row>
    <row r="38" spans="1:25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</row>
    <row r="39" spans="1:25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</row>
    <row r="40" spans="1:25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</row>
    <row r="41" spans="1:25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</row>
    <row r="42" spans="1:25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</row>
    <row r="43" spans="1:25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</row>
    <row r="44" spans="1:25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</row>
    <row r="45" spans="1:25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</row>
    <row r="46" spans="1:25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</row>
    <row r="47" spans="1:25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</row>
    <row r="48" spans="1:25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2"/>
      <c r="IQ48" s="32"/>
      <c r="IR48" s="32"/>
      <c r="IS48" s="32"/>
      <c r="IT48" s="32"/>
      <c r="IU48" s="32"/>
    </row>
    <row r="49" spans="1:25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</row>
    <row r="50" spans="1:25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</row>
    <row r="51" spans="1:25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</row>
    <row r="52" spans="1:25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</row>
    <row r="53" spans="1:25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2"/>
      <c r="IQ53" s="32"/>
      <c r="IR53" s="32"/>
      <c r="IS53" s="32"/>
      <c r="IT53" s="32"/>
      <c r="IU53" s="32"/>
    </row>
    <row r="54" spans="1:25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</row>
    <row r="55" spans="1:2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</row>
    <row r="56" spans="1:25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</row>
    <row r="57" spans="1:25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</row>
    <row r="58" spans="1:25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</row>
    <row r="59" spans="1:25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</row>
    <row r="60" spans="1:25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</row>
    <row r="61" spans="1:25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</row>
    <row r="62" spans="1:25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</row>
    <row r="63" spans="1:25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</row>
    <row r="64" spans="1:25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</row>
    <row r="65" spans="1:25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</row>
    <row r="66" spans="1:25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2"/>
      <c r="IQ66" s="32"/>
      <c r="IR66" s="32"/>
      <c r="IS66" s="32"/>
      <c r="IT66" s="32"/>
      <c r="IU66" s="32"/>
    </row>
    <row r="67" spans="1:25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</row>
    <row r="68" spans="1:25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32"/>
      <c r="IU68" s="32"/>
    </row>
    <row r="69" spans="1:25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2"/>
      <c r="IQ69" s="32"/>
      <c r="IR69" s="32"/>
      <c r="IS69" s="32"/>
      <c r="IT69" s="32"/>
      <c r="IU69" s="32"/>
    </row>
    <row r="70" spans="1:25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2"/>
      <c r="IQ70" s="32"/>
      <c r="IR70" s="32"/>
      <c r="IS70" s="32"/>
      <c r="IT70" s="32"/>
      <c r="IU70" s="32"/>
    </row>
    <row r="71" spans="1:25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2"/>
      <c r="IQ71" s="32"/>
      <c r="IR71" s="32"/>
      <c r="IS71" s="32"/>
      <c r="IT71" s="32"/>
      <c r="IU71" s="32"/>
    </row>
    <row r="72" spans="1:25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2"/>
      <c r="IQ72" s="32"/>
      <c r="IR72" s="32"/>
      <c r="IS72" s="32"/>
      <c r="IT72" s="32"/>
      <c r="IU72" s="32"/>
    </row>
    <row r="73" spans="1:25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2"/>
      <c r="IQ73" s="32"/>
      <c r="IR73" s="32"/>
      <c r="IS73" s="32"/>
      <c r="IT73" s="32"/>
      <c r="IU73" s="32"/>
    </row>
    <row r="74" spans="1:25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2"/>
      <c r="IQ74" s="32"/>
      <c r="IR74" s="32"/>
      <c r="IS74" s="32"/>
      <c r="IT74" s="32"/>
      <c r="IU74" s="32"/>
    </row>
    <row r="75" spans="1:25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2"/>
      <c r="IQ75" s="32"/>
      <c r="IR75" s="32"/>
      <c r="IS75" s="32"/>
      <c r="IT75" s="32"/>
      <c r="IU75" s="32"/>
    </row>
    <row r="76" spans="1:25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2"/>
      <c r="IQ76" s="32"/>
      <c r="IR76" s="32"/>
      <c r="IS76" s="32"/>
      <c r="IT76" s="32"/>
      <c r="IU76" s="32"/>
    </row>
    <row r="77" spans="1:25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32"/>
      <c r="HM77" s="32"/>
      <c r="HN77" s="32"/>
      <c r="HO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  <c r="IB77" s="32"/>
      <c r="IC77" s="32"/>
      <c r="ID77" s="32"/>
      <c r="IE77" s="32"/>
      <c r="IF77" s="32"/>
      <c r="IG77" s="32"/>
      <c r="IH77" s="32"/>
      <c r="II77" s="32"/>
      <c r="IJ77" s="32"/>
      <c r="IK77" s="32"/>
      <c r="IL77" s="32"/>
      <c r="IM77" s="32"/>
      <c r="IN77" s="32"/>
      <c r="IO77" s="32"/>
      <c r="IP77" s="32"/>
      <c r="IQ77" s="32"/>
      <c r="IR77" s="32"/>
      <c r="IS77" s="32"/>
      <c r="IT77" s="32"/>
      <c r="IU77" s="32"/>
    </row>
    <row r="78" spans="1:25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N78" s="32"/>
      <c r="GO78" s="32"/>
      <c r="GP78" s="32"/>
      <c r="GQ78" s="32"/>
      <c r="GR78" s="32"/>
      <c r="GS78" s="32"/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32"/>
      <c r="HM78" s="32"/>
      <c r="HN78" s="32"/>
      <c r="HO78" s="32"/>
      <c r="HP78" s="32"/>
      <c r="HQ78" s="32"/>
      <c r="HR78" s="32"/>
      <c r="HS78" s="32"/>
      <c r="HT78" s="32"/>
      <c r="HU78" s="32"/>
      <c r="HV78" s="32"/>
      <c r="HW78" s="32"/>
      <c r="HX78" s="32"/>
      <c r="HY78" s="32"/>
      <c r="HZ78" s="32"/>
      <c r="IA78" s="32"/>
      <c r="IB78" s="32"/>
      <c r="IC78" s="32"/>
      <c r="ID78" s="32"/>
      <c r="IE78" s="32"/>
      <c r="IF78" s="32"/>
      <c r="IG78" s="32"/>
      <c r="IH78" s="32"/>
      <c r="II78" s="32"/>
      <c r="IJ78" s="32"/>
      <c r="IK78" s="32"/>
      <c r="IL78" s="32"/>
      <c r="IM78" s="32"/>
      <c r="IN78" s="32"/>
      <c r="IO78" s="32"/>
      <c r="IP78" s="32"/>
      <c r="IQ78" s="32"/>
      <c r="IR78" s="32"/>
      <c r="IS78" s="32"/>
      <c r="IT78" s="32"/>
      <c r="IU78" s="32"/>
    </row>
    <row r="79" spans="1:25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32"/>
      <c r="GK79" s="32"/>
      <c r="GL79" s="32"/>
      <c r="GM79" s="32"/>
      <c r="GN79" s="32"/>
      <c r="GO79" s="32"/>
      <c r="GP79" s="32"/>
      <c r="GQ79" s="32"/>
      <c r="GR79" s="32"/>
      <c r="GS79" s="32"/>
      <c r="GT79" s="32"/>
      <c r="GU79" s="32"/>
      <c r="GV79" s="32"/>
      <c r="GW79" s="32"/>
      <c r="GX79" s="32"/>
      <c r="GY79" s="32"/>
      <c r="GZ79" s="3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32"/>
      <c r="HM79" s="32"/>
      <c r="HN79" s="32"/>
      <c r="HO79" s="32"/>
      <c r="HP79" s="32"/>
      <c r="HQ79" s="32"/>
      <c r="HR79" s="32"/>
      <c r="HS79" s="32"/>
      <c r="HT79" s="32"/>
      <c r="HU79" s="32"/>
      <c r="HV79" s="32"/>
      <c r="HW79" s="32"/>
      <c r="HX79" s="32"/>
      <c r="HY79" s="32"/>
      <c r="HZ79" s="32"/>
      <c r="IA79" s="32"/>
      <c r="IB79" s="32"/>
      <c r="IC79" s="32"/>
      <c r="ID79" s="32"/>
      <c r="IE79" s="32"/>
      <c r="IF79" s="32"/>
      <c r="IG79" s="32"/>
      <c r="IH79" s="32"/>
      <c r="II79" s="32"/>
      <c r="IJ79" s="32"/>
      <c r="IK79" s="32"/>
      <c r="IL79" s="32"/>
      <c r="IM79" s="32"/>
      <c r="IN79" s="32"/>
      <c r="IO79" s="32"/>
      <c r="IP79" s="32"/>
      <c r="IQ79" s="32"/>
      <c r="IR79" s="32"/>
      <c r="IS79" s="32"/>
      <c r="IT79" s="32"/>
      <c r="IU79" s="32"/>
    </row>
    <row r="80" spans="1:25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32"/>
      <c r="GK80" s="32"/>
      <c r="GL80" s="32"/>
      <c r="GM80" s="32"/>
      <c r="GN80" s="32"/>
      <c r="GO80" s="32"/>
      <c r="GP80" s="32"/>
      <c r="GQ80" s="32"/>
      <c r="GR80" s="32"/>
      <c r="GS80" s="32"/>
      <c r="GT80" s="32"/>
      <c r="GU80" s="32"/>
      <c r="GV80" s="32"/>
      <c r="GW80" s="32"/>
      <c r="GX80" s="32"/>
      <c r="GY80" s="32"/>
      <c r="GZ80" s="3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32"/>
      <c r="HM80" s="32"/>
      <c r="HN80" s="32"/>
      <c r="HO80" s="32"/>
      <c r="HP80" s="32"/>
      <c r="HQ80" s="32"/>
      <c r="HR80" s="32"/>
      <c r="HS80" s="32"/>
      <c r="HT80" s="32"/>
      <c r="HU80" s="32"/>
      <c r="HV80" s="32"/>
      <c r="HW80" s="32"/>
      <c r="HX80" s="32"/>
      <c r="HY80" s="32"/>
      <c r="HZ80" s="32"/>
      <c r="IA80" s="32"/>
      <c r="IB80" s="32"/>
      <c r="IC80" s="32"/>
      <c r="ID80" s="32"/>
      <c r="IE80" s="32"/>
      <c r="IF80" s="32"/>
      <c r="IG80" s="32"/>
      <c r="IH80" s="32"/>
      <c r="II80" s="32"/>
      <c r="IJ80" s="32"/>
      <c r="IK80" s="32"/>
      <c r="IL80" s="32"/>
      <c r="IM80" s="32"/>
      <c r="IN80" s="32"/>
      <c r="IO80" s="32"/>
      <c r="IP80" s="32"/>
      <c r="IQ80" s="32"/>
      <c r="IR80" s="32"/>
      <c r="IS80" s="32"/>
      <c r="IT80" s="32"/>
      <c r="IU80" s="32"/>
    </row>
    <row r="81" spans="1:25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32"/>
      <c r="GK81" s="32"/>
      <c r="GL81" s="32"/>
      <c r="GM81" s="32"/>
      <c r="GN81" s="32"/>
      <c r="GO81" s="32"/>
      <c r="GP81" s="32"/>
      <c r="GQ81" s="32"/>
      <c r="GR81" s="32"/>
      <c r="GS81" s="32"/>
      <c r="GT81" s="32"/>
      <c r="GU81" s="32"/>
      <c r="GV81" s="32"/>
      <c r="GW81" s="32"/>
      <c r="GX81" s="32"/>
      <c r="GY81" s="32"/>
      <c r="GZ81" s="3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32"/>
      <c r="HM81" s="32"/>
      <c r="HN81" s="32"/>
      <c r="HO81" s="32"/>
      <c r="HP81" s="32"/>
      <c r="HQ81" s="32"/>
      <c r="HR81" s="32"/>
      <c r="HS81" s="32"/>
      <c r="HT81" s="32"/>
      <c r="HU81" s="32"/>
      <c r="HV81" s="32"/>
      <c r="HW81" s="32"/>
      <c r="HX81" s="32"/>
      <c r="HY81" s="32"/>
      <c r="HZ81" s="32"/>
      <c r="IA81" s="32"/>
      <c r="IB81" s="32"/>
      <c r="IC81" s="32"/>
      <c r="ID81" s="32"/>
      <c r="IE81" s="32"/>
      <c r="IF81" s="32"/>
      <c r="IG81" s="32"/>
      <c r="IH81" s="32"/>
      <c r="II81" s="32"/>
      <c r="IJ81" s="32"/>
      <c r="IK81" s="32"/>
      <c r="IL81" s="32"/>
      <c r="IM81" s="32"/>
      <c r="IN81" s="32"/>
      <c r="IO81" s="32"/>
      <c r="IP81" s="32"/>
      <c r="IQ81" s="32"/>
      <c r="IR81" s="32"/>
      <c r="IS81" s="32"/>
      <c r="IT81" s="32"/>
      <c r="IU81" s="32"/>
    </row>
    <row r="82" spans="1:25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32"/>
      <c r="GK82" s="32"/>
      <c r="GL82" s="32"/>
      <c r="GM82" s="32"/>
      <c r="GN82" s="32"/>
      <c r="GO82" s="32"/>
      <c r="GP82" s="32"/>
      <c r="GQ82" s="32"/>
      <c r="GR82" s="32"/>
      <c r="GS82" s="32"/>
      <c r="GT82" s="32"/>
      <c r="GU82" s="32"/>
      <c r="GV82" s="32"/>
      <c r="GW82" s="32"/>
      <c r="GX82" s="32"/>
      <c r="GY82" s="32"/>
      <c r="GZ82" s="3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32"/>
      <c r="HM82" s="32"/>
      <c r="HN82" s="32"/>
      <c r="HO82" s="32"/>
      <c r="HP82" s="32"/>
      <c r="HQ82" s="32"/>
      <c r="HR82" s="32"/>
      <c r="HS82" s="32"/>
      <c r="HT82" s="32"/>
      <c r="HU82" s="32"/>
      <c r="HV82" s="32"/>
      <c r="HW82" s="32"/>
      <c r="HX82" s="32"/>
      <c r="HY82" s="32"/>
      <c r="HZ82" s="32"/>
      <c r="IA82" s="32"/>
      <c r="IB82" s="32"/>
      <c r="IC82" s="32"/>
      <c r="ID82" s="32"/>
      <c r="IE82" s="32"/>
      <c r="IF82" s="32"/>
      <c r="IG82" s="32"/>
      <c r="IH82" s="32"/>
      <c r="II82" s="32"/>
      <c r="IJ82" s="32"/>
      <c r="IK82" s="32"/>
      <c r="IL82" s="32"/>
      <c r="IM82" s="32"/>
      <c r="IN82" s="32"/>
      <c r="IO82" s="32"/>
      <c r="IP82" s="32"/>
      <c r="IQ82" s="32"/>
      <c r="IR82" s="32"/>
      <c r="IS82" s="32"/>
      <c r="IT82" s="32"/>
      <c r="IU82" s="32"/>
    </row>
  </sheetData>
  <sheetProtection sheet="1" objects="1" scenarios="1"/>
  <mergeCells count="7">
    <mergeCell ref="D30:F30"/>
    <mergeCell ref="H30:J30"/>
    <mergeCell ref="A1:E1"/>
    <mergeCell ref="D3:I3"/>
    <mergeCell ref="D4:I4"/>
    <mergeCell ref="D5:I5"/>
    <mergeCell ref="D6:I6"/>
  </mergeCells>
  <printOptions horizontalCentered="1"/>
  <pageMargins left="0.51181102362204722" right="0.51181102362204722" top="0.51181102362204722" bottom="0.51181102362204722" header="0" footer="0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49"/>
  <sheetViews>
    <sheetView showOutlineSymbols="0" zoomScale="87" zoomScaleNormal="87" workbookViewId="0">
      <selection activeCell="A15" sqref="A15"/>
    </sheetView>
  </sheetViews>
  <sheetFormatPr defaultColWidth="9.6640625" defaultRowHeight="15"/>
  <cols>
    <col min="1" max="1" width="5.6640625" style="49" customWidth="1"/>
    <col min="2" max="5" width="9.6640625" style="49" customWidth="1"/>
    <col min="6" max="6" width="12.6640625" style="49" customWidth="1"/>
    <col min="7" max="16384" width="9.6640625" style="49"/>
  </cols>
  <sheetData>
    <row r="1" spans="1:12" ht="15.75">
      <c r="A1" s="50" t="s">
        <v>119</v>
      </c>
    </row>
    <row r="2" spans="1:12">
      <c r="J2" s="51" t="s">
        <v>173</v>
      </c>
    </row>
    <row r="3" spans="1:12" ht="15.75">
      <c r="B3" s="52" t="s">
        <v>1</v>
      </c>
      <c r="C3" s="28" t="str">
        <f ca="1">IF(CELL("type",SYSTEM!D3:D3)="b","",SYSTEM!D3)</f>
        <v/>
      </c>
      <c r="D3" s="53"/>
      <c r="E3" s="53"/>
      <c r="F3" s="54"/>
      <c r="J3" s="55">
        <v>0</v>
      </c>
      <c r="K3" s="55" t="s">
        <v>174</v>
      </c>
      <c r="L3" s="54"/>
    </row>
    <row r="4" spans="1:12" ht="15.75">
      <c r="B4" s="52" t="s">
        <v>2</v>
      </c>
      <c r="C4" s="28" t="str">
        <f ca="1">IF(CELL("type",SYSTEM!D4:D4)="b","",SYSTEM!D4)</f>
        <v/>
      </c>
      <c r="D4" s="53"/>
      <c r="E4" s="53"/>
      <c r="F4" s="54"/>
      <c r="J4" s="55">
        <v>27</v>
      </c>
      <c r="K4" s="55" t="s">
        <v>175</v>
      </c>
      <c r="L4" s="54"/>
    </row>
    <row r="5" spans="1:12" ht="15.75">
      <c r="B5" s="52" t="s">
        <v>3</v>
      </c>
      <c r="C5" s="28" t="str">
        <f ca="1">IF(CELL("type",SYSTEM!D5:D5)="b","",SYSTEM!D5)</f>
        <v/>
      </c>
      <c r="D5" s="53"/>
      <c r="E5" s="53"/>
      <c r="F5" s="54"/>
      <c r="J5" s="55">
        <v>42</v>
      </c>
      <c r="K5" s="55" t="s">
        <v>176</v>
      </c>
      <c r="L5" s="54"/>
    </row>
    <row r="6" spans="1:12" ht="15.75">
      <c r="B6" s="52" t="s">
        <v>4</v>
      </c>
      <c r="C6" s="28" t="str">
        <f ca="1">IF(CELL("type",SYSTEM!D6:D6)="b","",SYSTEM!D6)</f>
        <v/>
      </c>
      <c r="D6" s="53"/>
      <c r="E6" s="53"/>
      <c r="F6" s="54"/>
      <c r="J6" s="56"/>
      <c r="K6" s="56"/>
    </row>
    <row r="7" spans="1:12">
      <c r="B7">
        <f ca="1">NOW()</f>
        <v>41617.474483564816</v>
      </c>
      <c r="C7" s="56"/>
      <c r="D7" s="56"/>
      <c r="E7" s="56"/>
    </row>
    <row r="8" spans="1:12">
      <c r="B8">
        <f ca="1">NOW()</f>
        <v>41617.474483564816</v>
      </c>
      <c r="C8"/>
      <c r="K8" s="55" t="s">
        <v>177</v>
      </c>
      <c r="L8" s="54"/>
    </row>
    <row r="9" spans="1:12">
      <c r="K9" s="56"/>
    </row>
    <row r="16" spans="1:12" ht="15.75">
      <c r="B16" s="57" t="s">
        <v>121</v>
      </c>
      <c r="C16" s="58">
        <f>SUM(((C22*C18)+((C22+C23)*C19)-((((((C21+C22+C23)/2)-(C22+C23))*(C21+C22+C23))/1000)*VLOOKUP(IXX,TABLE1,3)*0.0098))/C21)</f>
        <v>10.812762799999998</v>
      </c>
      <c r="D16" s="59" t="s">
        <v>135</v>
      </c>
    </row>
    <row r="17" spans="1:8" ht="15.75">
      <c r="B17" s="57" t="s">
        <v>122</v>
      </c>
      <c r="C17" s="58">
        <f>SUM((((C21+C22)*C18)+((C21+C22+C23)*C19)+((((((C21+C22+C23)/2))*((C21+C22+C23))/1000)*VLOOKUP(IXX,TABLE1,3)*0.0098)))/C21)</f>
        <v>43.106010799999993</v>
      </c>
      <c r="D17" s="59" t="s">
        <v>135</v>
      </c>
      <c r="E17" s="60" t="s">
        <v>138</v>
      </c>
      <c r="F17" s="61" t="s">
        <v>139</v>
      </c>
      <c r="G17" s="61" t="s">
        <v>158</v>
      </c>
      <c r="H17" s="26"/>
    </row>
    <row r="18" spans="1:8" ht="15.75">
      <c r="B18" s="57" t="s">
        <v>123</v>
      </c>
      <c r="C18" s="27">
        <f>SYSTEM!G41</f>
        <v>14.49258</v>
      </c>
      <c r="D18" s="59" t="s">
        <v>135</v>
      </c>
      <c r="E18" s="62">
        <v>25.75</v>
      </c>
      <c r="F18" s="16" t="s">
        <v>140</v>
      </c>
      <c r="G18" s="16">
        <v>12.7</v>
      </c>
      <c r="H18" s="26"/>
    </row>
    <row r="19" spans="1:8" ht="15.75">
      <c r="B19" s="57" t="s">
        <v>124</v>
      </c>
      <c r="C19" s="27">
        <f>SYSTEM!K41</f>
        <v>16.536859999999997</v>
      </c>
      <c r="D19" s="59" t="s">
        <v>135</v>
      </c>
      <c r="E19" s="62">
        <v>28.6</v>
      </c>
      <c r="F19" s="16" t="s">
        <v>141</v>
      </c>
      <c r="G19" s="16">
        <v>45</v>
      </c>
      <c r="H19" s="26"/>
    </row>
    <row r="20" spans="1:8" ht="15.75">
      <c r="B20" s="57" t="s">
        <v>125</v>
      </c>
      <c r="C20" s="16">
        <v>44.4</v>
      </c>
      <c r="D20" s="59" t="s">
        <v>136</v>
      </c>
      <c r="E20" s="62">
        <v>44.4</v>
      </c>
      <c r="F20" s="16" t="s">
        <v>142</v>
      </c>
      <c r="G20" s="16">
        <v>31</v>
      </c>
      <c r="H20" s="26"/>
    </row>
    <row r="21" spans="1:8" ht="15.75">
      <c r="B21" s="57" t="s">
        <v>126</v>
      </c>
      <c r="C21" s="16">
        <v>2800</v>
      </c>
      <c r="D21" s="59" t="s">
        <v>137</v>
      </c>
      <c r="E21" s="62">
        <v>85.2</v>
      </c>
      <c r="F21" s="16" t="s">
        <v>143</v>
      </c>
      <c r="G21" s="16">
        <v>40</v>
      </c>
      <c r="H21" s="26"/>
    </row>
    <row r="22" spans="1:8" ht="15.75">
      <c r="B22" s="57" t="s">
        <v>127</v>
      </c>
      <c r="C22" s="16">
        <v>600</v>
      </c>
      <c r="D22" s="59" t="s">
        <v>137</v>
      </c>
      <c r="E22" s="62">
        <v>105</v>
      </c>
      <c r="F22" s="16" t="s">
        <v>144</v>
      </c>
      <c r="G22" s="16">
        <v>13.6</v>
      </c>
      <c r="H22" s="26"/>
    </row>
    <row r="23" spans="1:8" ht="15.75">
      <c r="B23" s="57" t="s">
        <v>128</v>
      </c>
      <c r="C23" s="16">
        <v>760</v>
      </c>
      <c r="D23" s="59" t="s">
        <v>137</v>
      </c>
      <c r="E23" s="62">
        <v>186</v>
      </c>
      <c r="F23" s="16" t="s">
        <v>145</v>
      </c>
      <c r="G23" s="16">
        <v>54</v>
      </c>
      <c r="H23" s="26"/>
    </row>
    <row r="24" spans="1:8" ht="15.75">
      <c r="B24" s="57" t="s">
        <v>129</v>
      </c>
      <c r="C24" s="16">
        <f>ROUND(((C22*C18)+((C22+C23)*C19))*((C21*C21)/(15.625*200*IXX*1000000)),1)</f>
        <v>1.8</v>
      </c>
      <c r="D24" s="59" t="s">
        <v>137</v>
      </c>
      <c r="E24" s="62">
        <v>294</v>
      </c>
      <c r="F24" s="16" t="s">
        <v>146</v>
      </c>
      <c r="G24" s="16">
        <v>67</v>
      </c>
      <c r="H24" s="26"/>
    </row>
    <row r="25" spans="1:8" ht="15.75">
      <c r="B25" s="57" t="s">
        <v>130</v>
      </c>
      <c r="C25" s="16">
        <f>ROUND((((C22*C18*C21*C22)/(12*200*IXX*1000000))*(4+(3*C22/C21)))+((((C22+C23)*C19*C21*(C22+C23))/(12*200*IXX*1000000))*(4+(3*(C22+C23)/C21))),1)</f>
        <v>5</v>
      </c>
      <c r="D25" s="59" t="s">
        <v>137</v>
      </c>
      <c r="E25" s="63"/>
      <c r="F25" s="63"/>
      <c r="G25" s="63"/>
    </row>
    <row r="26" spans="1:8" ht="15.75">
      <c r="B26" s="64"/>
      <c r="C26" s="56"/>
    </row>
    <row r="27" spans="1:8" ht="15.75">
      <c r="A27" s="50" t="s">
        <v>120</v>
      </c>
      <c r="B27" s="65"/>
      <c r="C27"/>
    </row>
    <row r="28" spans="1:8" ht="15.75">
      <c r="B28" s="65"/>
      <c r="C28"/>
    </row>
    <row r="29" spans="1:8" ht="15.75">
      <c r="B29" s="16" t="s">
        <v>131</v>
      </c>
      <c r="C29" s="17"/>
      <c r="D29" s="21" t="str">
        <f>IF(C25&gt;=10,"choose  greater IXX value",VLOOKUP(IXX,TABLE1,2))</f>
        <v>250UB31</v>
      </c>
      <c r="E29" s="17"/>
      <c r="F29" s="17"/>
      <c r="G29" s="54"/>
    </row>
    <row r="30" spans="1:8" ht="15.75">
      <c r="B30" s="16" t="s">
        <v>132</v>
      </c>
      <c r="C30" s="17"/>
      <c r="D30" s="21"/>
      <c r="E30" s="64" t="e">
        <f>VLOOKUP(K8,TABLE2,2)</f>
        <v>#N/A</v>
      </c>
      <c r="F30" s="17"/>
      <c r="G30" s="54"/>
    </row>
    <row r="31" spans="1:8" ht="15.75">
      <c r="B31" s="16" t="s">
        <v>133</v>
      </c>
      <c r="C31" s="17"/>
      <c r="D31" s="21"/>
      <c r="E31" s="64" t="s">
        <v>178</v>
      </c>
      <c r="F31" s="17"/>
      <c r="G31" s="54"/>
    </row>
    <row r="32" spans="1:8" ht="15.75">
      <c r="B32" s="16" t="s">
        <v>134</v>
      </c>
      <c r="C32" s="17"/>
      <c r="D32" s="21"/>
      <c r="E32" s="64" t="s">
        <v>179</v>
      </c>
      <c r="F32" s="17"/>
      <c r="G32" s="54"/>
    </row>
    <row r="33" spans="2:8">
      <c r="B33" s="56"/>
      <c r="C33" s="56"/>
      <c r="D33" s="56"/>
      <c r="E33" s="56"/>
      <c r="F33" s="56"/>
    </row>
    <row r="35" spans="2:8" ht="15.75">
      <c r="F35" s="66" t="s">
        <v>147</v>
      </c>
      <c r="G35" s="16">
        <v>2400</v>
      </c>
      <c r="H35" s="59" t="s">
        <v>159</v>
      </c>
    </row>
    <row r="36" spans="2:8" ht="15.75">
      <c r="F36" s="66" t="s">
        <v>148</v>
      </c>
      <c r="G36" s="16">
        <v>2400</v>
      </c>
      <c r="H36" s="59" t="s">
        <v>160</v>
      </c>
    </row>
    <row r="37" spans="2:8" ht="15.75">
      <c r="F37" s="66" t="s">
        <v>149</v>
      </c>
      <c r="G37" s="16">
        <v>1270</v>
      </c>
      <c r="H37" s="59" t="s">
        <v>161</v>
      </c>
    </row>
    <row r="38" spans="2:8" ht="15.75">
      <c r="F38" s="66" t="s">
        <v>150</v>
      </c>
      <c r="G38" s="16">
        <v>600</v>
      </c>
      <c r="H38" s="59" t="s">
        <v>162</v>
      </c>
    </row>
    <row r="39" spans="2:8" ht="15.75">
      <c r="F39" s="66" t="s">
        <v>151</v>
      </c>
      <c r="G39" s="16">
        <v>2800</v>
      </c>
      <c r="H39" s="59" t="s">
        <v>163</v>
      </c>
    </row>
    <row r="40" spans="2:8" ht="15.75">
      <c r="F40" s="66" t="s">
        <v>121</v>
      </c>
      <c r="G40" s="16">
        <v>9.7100000000000009</v>
      </c>
      <c r="H40" s="59" t="s">
        <v>164</v>
      </c>
    </row>
    <row r="41" spans="2:8" ht="15.75">
      <c r="F41" s="66" t="s">
        <v>123</v>
      </c>
      <c r="G41" s="16">
        <v>9.19</v>
      </c>
      <c r="H41" s="59" t="s">
        <v>165</v>
      </c>
    </row>
    <row r="42" spans="2:8" ht="15.75">
      <c r="F42" s="66" t="s">
        <v>124</v>
      </c>
      <c r="G42" s="16">
        <v>15.94</v>
      </c>
      <c r="H42" s="59" t="s">
        <v>166</v>
      </c>
    </row>
    <row r="43" spans="2:8" ht="15.75">
      <c r="F43" s="66" t="s">
        <v>152</v>
      </c>
      <c r="G43" s="16">
        <v>16.2</v>
      </c>
      <c r="H43" s="59" t="s">
        <v>167</v>
      </c>
    </row>
    <row r="44" spans="2:8" ht="15.75">
      <c r="F44" s="66" t="s">
        <v>153</v>
      </c>
      <c r="G44" s="16">
        <f>SUM(((DIM_A+DIM_B)*LOAD_P1)/DIM_B)+LOAD_P3</f>
        <v>35.36</v>
      </c>
      <c r="H44" s="59" t="s">
        <v>168</v>
      </c>
    </row>
    <row r="45" spans="2:8" ht="15.75">
      <c r="F45" s="66" t="s">
        <v>154</v>
      </c>
      <c r="G45" s="16">
        <f>SUM(((DIM_A+DIM_B)*LOAD_P2)/DIM_B)+LOAD_P4</f>
        <v>34.58</v>
      </c>
      <c r="H45" s="59" t="s">
        <v>169</v>
      </c>
    </row>
    <row r="46" spans="2:8" ht="15.75">
      <c r="F46" s="66" t="s">
        <v>155</v>
      </c>
      <c r="G46" s="16"/>
      <c r="H46" s="59" t="s">
        <v>170</v>
      </c>
    </row>
    <row r="47" spans="2:8" ht="15.75">
      <c r="F47" s="66" t="s">
        <v>156</v>
      </c>
      <c r="G47" s="16"/>
      <c r="H47" s="59" t="s">
        <v>171</v>
      </c>
    </row>
    <row r="48" spans="2:8" ht="15.75">
      <c r="F48" s="66" t="s">
        <v>157</v>
      </c>
      <c r="G48" s="16"/>
      <c r="H48" s="59" t="s">
        <v>172</v>
      </c>
    </row>
    <row r="49" spans="6:7">
      <c r="F49" s="56"/>
      <c r="G49" s="56"/>
    </row>
  </sheetData>
  <printOptions horizontalCentered="1"/>
  <pageMargins left="0.5" right="0.5" top="0.5" bottom="0.50694444444444442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88</vt:i4>
      </vt:variant>
    </vt:vector>
  </HeadingPairs>
  <TitlesOfParts>
    <vt:vector size="91" baseType="lpstr">
      <vt:lpstr>SYSTEM</vt:lpstr>
      <vt:lpstr>KWIKFOLD</vt:lpstr>
      <vt:lpstr>NEEDLES</vt:lpstr>
      <vt:lpstr>_1_6M_UNIT</vt:lpstr>
      <vt:lpstr>_HOP1</vt:lpstr>
      <vt:lpstr>_HOP2</vt:lpstr>
      <vt:lpstr>_HOP3</vt:lpstr>
      <vt:lpstr>_LED13</vt:lpstr>
      <vt:lpstr>_LED18</vt:lpstr>
      <vt:lpstr>_LED24</vt:lpstr>
      <vt:lpstr>BRACE21</vt:lpstr>
      <vt:lpstr>BRACE36</vt:lpstr>
      <vt:lpstr>CHAIN</vt:lpstr>
      <vt:lpstr>CHAINM</vt:lpstr>
      <vt:lpstr>DEAD_IN</vt:lpstr>
      <vt:lpstr>DEAD_OUT</vt:lpstr>
      <vt:lpstr>DECKS</vt:lpstr>
      <vt:lpstr>DIM_A</vt:lpstr>
      <vt:lpstr>DIM_B</vt:lpstr>
      <vt:lpstr>DIM_C</vt:lpstr>
      <vt:lpstr>DIM_D</vt:lpstr>
      <vt:lpstr>DIM_E</vt:lpstr>
      <vt:lpstr>EXTRA_LEDGERS</vt:lpstr>
      <vt:lpstr>ExtraLifts</vt:lpstr>
      <vt:lpstr>H_DUTY</vt:lpstr>
      <vt:lpstr>H_RAIL</vt:lpstr>
      <vt:lpstr>HOP1_WT</vt:lpstr>
      <vt:lpstr>HOP2_WT</vt:lpstr>
      <vt:lpstr>HOP3_WT</vt:lpstr>
      <vt:lpstr>HR_HGHT</vt:lpstr>
      <vt:lpstr>HRAIL_1M</vt:lpstr>
      <vt:lpstr>IXX</vt:lpstr>
      <vt:lpstr>JACK</vt:lpstr>
      <vt:lpstr>KF_DEAD_IN</vt:lpstr>
      <vt:lpstr>KF_DEAD_OUT</vt:lpstr>
      <vt:lpstr>KF_HDUTY</vt:lpstr>
      <vt:lpstr>KF_HOP1</vt:lpstr>
      <vt:lpstr>KF_HOP2</vt:lpstr>
      <vt:lpstr>KF_HOP3</vt:lpstr>
      <vt:lpstr>KF_LDUTY</vt:lpstr>
      <vt:lpstr>KF_LIVE_IN</vt:lpstr>
      <vt:lpstr>KF_LIVE_OUT</vt:lpstr>
      <vt:lpstr>KF_MDUTY</vt:lpstr>
      <vt:lpstr>KF_TWP</vt:lpstr>
      <vt:lpstr>KN_CONV</vt:lpstr>
      <vt:lpstr>L_DUTY</vt:lpstr>
      <vt:lpstr>LIFT</vt:lpstr>
      <vt:lpstr>LIFT_NUM</vt:lpstr>
      <vt:lpstr>LIVE_IN</vt:lpstr>
      <vt:lpstr>LIVE_OUT</vt:lpstr>
      <vt:lpstr>LOAD_P1</vt:lpstr>
      <vt:lpstr>LOAD_P2</vt:lpstr>
      <vt:lpstr>LOAD_P3</vt:lpstr>
      <vt:lpstr>LOAD_P3N</vt:lpstr>
      <vt:lpstr>LOAD_P4</vt:lpstr>
      <vt:lpstr>LOAD_P4N</vt:lpstr>
      <vt:lpstr>LOAD_P5</vt:lpstr>
      <vt:lpstr>LOAD_P6</vt:lpstr>
      <vt:lpstr>LOAD_P7</vt:lpstr>
      <vt:lpstr>M_DUTY</vt:lpstr>
      <vt:lpstr>MESHG</vt:lpstr>
      <vt:lpstr>MESHG13</vt:lpstr>
      <vt:lpstr>MESHG18</vt:lpstr>
      <vt:lpstr>MESHG24</vt:lpstr>
      <vt:lpstr>MID_RAIL</vt:lpstr>
      <vt:lpstr>Midrail</vt:lpstr>
      <vt:lpstr>NUM_UNITS</vt:lpstr>
      <vt:lpstr>Print_Area</vt:lpstr>
      <vt:lpstr>PrintEnd</vt:lpstr>
      <vt:lpstr>PrintKFEnd</vt:lpstr>
      <vt:lpstr>PrintKFStart</vt:lpstr>
      <vt:lpstr>PrintStart</vt:lpstr>
      <vt:lpstr>SHADE</vt:lpstr>
      <vt:lpstr>SHADEC</vt:lpstr>
      <vt:lpstr>SHADECLOTH</vt:lpstr>
      <vt:lpstr>STAND</vt:lpstr>
      <vt:lpstr>Start</vt:lpstr>
      <vt:lpstr>StartKF</vt:lpstr>
      <vt:lpstr>STEELB13</vt:lpstr>
      <vt:lpstr>STEELB18</vt:lpstr>
      <vt:lpstr>STEELB24</vt:lpstr>
      <vt:lpstr>TABLE1</vt:lpstr>
      <vt:lpstr>TABLE2</vt:lpstr>
      <vt:lpstr>TRAN08</vt:lpstr>
      <vt:lpstr>TRAN13</vt:lpstr>
      <vt:lpstr>TWP</vt:lpstr>
      <vt:lpstr>WIDTH08</vt:lpstr>
      <vt:lpstr>WIDTH13</vt:lpstr>
      <vt:lpstr>WT_UNITS</vt:lpstr>
      <vt:lpstr>WT_UNITS_IN</vt:lpstr>
      <vt:lpstr>WT_UNITS_OUT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Pade/Waco</dc:creator>
  <cp:keywords/>
  <dc:description>Calculation of design loads for System and Kwikfold scaffold systems.</dc:description>
  <cp:lastModifiedBy>mjn20</cp:lastModifiedBy>
  <cp:lastPrinted>2002-07-29T22:42:18Z</cp:lastPrinted>
  <dcterms:created xsi:type="dcterms:W3CDTF">2002-02-25T05:48:52Z</dcterms:created>
  <dcterms:modified xsi:type="dcterms:W3CDTF">2013-12-09T01:23:15Z</dcterms:modified>
</cp:coreProperties>
</file>