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3D135CA-FF6D-4D34-AEBA-1E897C75BC68}" xr6:coauthVersionLast="41" xr6:coauthVersionMax="41" xr10:uidLastSave="{00000000-0000-0000-0000-000000000000}"/>
  <bookViews>
    <workbookView xWindow="-113" yWindow="-113" windowWidth="24267" windowHeight="13148" firstSheet="6" activeTab="8" xr2:uid="{00000000-000D-0000-FFFF-FFFF00000000}"/>
  </bookViews>
  <sheets>
    <sheet name="1.31" sheetId="311" r:id="rId1"/>
    <sheet name="2.28" sheetId="337" r:id="rId2"/>
    <sheet name="3.31" sheetId="370" r:id="rId3"/>
    <sheet name="4.30" sheetId="408" r:id="rId4"/>
    <sheet name="5.31" sheetId="443" r:id="rId5"/>
    <sheet name="6.30" sheetId="476" r:id="rId6"/>
    <sheet name="7.31" sheetId="511" r:id="rId7"/>
    <sheet name="8.31" sheetId="542" r:id="rId8"/>
    <sheet name="9.30" sheetId="569" r:id="rId9"/>
    <sheet name="10.1" sheetId="570" r:id="rId10"/>
    <sheet name="10.2" sheetId="571" r:id="rId11"/>
    <sheet name="10.3" sheetId="572" r:id="rId12"/>
    <sheet name="10.4" sheetId="573" r:id="rId13"/>
    <sheet name="10.5" sheetId="574" r:id="rId14"/>
    <sheet name="10.6" sheetId="575" r:id="rId15"/>
    <sheet name="10.7" sheetId="576" r:id="rId16"/>
    <sheet name="10.8" sheetId="577" r:id="rId17"/>
    <sheet name="10.9" sheetId="578" r:id="rId18"/>
    <sheet name="10.10" sheetId="579" r:id="rId19"/>
    <sheet name="10.11" sheetId="580" r:id="rId20"/>
    <sheet name="10.12" sheetId="581" r:id="rId21"/>
    <sheet name="10.13" sheetId="582" r:id="rId22"/>
    <sheet name="10.14" sheetId="583" r:id="rId23"/>
    <sheet name="10.15" sheetId="584" r:id="rId24"/>
    <sheet name="10월 계획(0930)" sheetId="564" r:id="rId25"/>
    <sheet name="Sheet1" sheetId="448" r:id="rId26"/>
    <sheet name="써팬진동" sheetId="454" r:id="rId27"/>
  </sheets>
  <definedNames>
    <definedName name="_xlnm.Print_Area" localSheetId="0">'1.31'!$AL$20:$AV$52</definedName>
    <definedName name="_xlnm.Print_Area" localSheetId="9">'10.1'!$A$1:$I$56</definedName>
    <definedName name="_xlnm.Print_Area" localSheetId="18">'10.10'!$A$1:$I$56</definedName>
    <definedName name="_xlnm.Print_Area" localSheetId="19">'10.11'!$A$1:$I$56</definedName>
    <definedName name="_xlnm.Print_Area" localSheetId="20">'10.12'!$A$1:$I$56</definedName>
    <definedName name="_xlnm.Print_Area" localSheetId="21">'10.13'!$A$1:$I$56</definedName>
    <definedName name="_xlnm.Print_Area" localSheetId="22">'10.14'!$A$1:$I$56</definedName>
    <definedName name="_xlnm.Print_Area" localSheetId="23">'10.15'!$A$1:$I$56</definedName>
    <definedName name="_xlnm.Print_Area" localSheetId="10">'10.2'!$A$1:$I$56</definedName>
    <definedName name="_xlnm.Print_Area" localSheetId="11">'10.3'!$A$1:$I$56</definedName>
    <definedName name="_xlnm.Print_Area" localSheetId="12">'10.4'!$A$1:$I$56</definedName>
    <definedName name="_xlnm.Print_Area" localSheetId="13">'10.5'!$A$1:$I$56</definedName>
    <definedName name="_xlnm.Print_Area" localSheetId="14">'10.6'!$A$1:$I$56</definedName>
    <definedName name="_xlnm.Print_Area" localSheetId="15">'10.7'!$A$1:$I$56</definedName>
    <definedName name="_xlnm.Print_Area" localSheetId="16">'10.8'!$A$1:$I$56</definedName>
    <definedName name="_xlnm.Print_Area" localSheetId="17">'10.9'!$A$1:$I$56</definedName>
    <definedName name="_xlnm.Print_Area" localSheetId="24">'10월 계획(0930)'!$B$1:$AI$44</definedName>
    <definedName name="_xlnm.Print_Area" localSheetId="1">'2.28'!$A$1:$I$52</definedName>
    <definedName name="_xlnm.Print_Area" localSheetId="2">'3.31'!$A$1:$I$53</definedName>
    <definedName name="_xlnm.Print_Area" localSheetId="3">'4.30'!$A$1:$I$52</definedName>
    <definedName name="_xlnm.Print_Area" localSheetId="4">'5.31'!$A$1:$I$53</definedName>
    <definedName name="_xlnm.Print_Area" localSheetId="5">'6.30'!$A$1:$I$53</definedName>
    <definedName name="_xlnm.Print_Area" localSheetId="6">'7.31'!$A$1:$I$54</definedName>
    <definedName name="_xlnm.Print_Area" localSheetId="7">'8.31'!$A$1:$I$55</definedName>
    <definedName name="_xlnm.Print_Area" localSheetId="8">'9.30'!$A$1:$I$56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584" l="1"/>
  <c r="D37" i="584"/>
  <c r="D36" i="584"/>
  <c r="E34" i="584"/>
  <c r="O70" i="584"/>
  <c r="N70" i="584"/>
  <c r="M70" i="584"/>
  <c r="R69" i="584"/>
  <c r="R67" i="584"/>
  <c r="Q67" i="584"/>
  <c r="P67" i="584"/>
  <c r="Q66" i="584"/>
  <c r="P66" i="584"/>
  <c r="R66" i="584" s="1"/>
  <c r="P65" i="584"/>
  <c r="R65" i="584" s="1"/>
  <c r="P64" i="584"/>
  <c r="R64" i="584" s="1"/>
  <c r="R63" i="584"/>
  <c r="Q63" i="584"/>
  <c r="P63" i="584"/>
  <c r="Q62" i="584"/>
  <c r="P62" i="584"/>
  <c r="R62" i="584" s="1"/>
  <c r="P61" i="584"/>
  <c r="R61" i="584" s="1"/>
  <c r="P60" i="584"/>
  <c r="R60" i="584" s="1"/>
  <c r="R59" i="584"/>
  <c r="Q59" i="584"/>
  <c r="P59" i="584"/>
  <c r="Q58" i="584"/>
  <c r="P58" i="584"/>
  <c r="R58" i="584" s="1"/>
  <c r="P57" i="584"/>
  <c r="R57" i="584" s="1"/>
  <c r="R56" i="584"/>
  <c r="P56" i="584"/>
  <c r="Q56" i="584" s="1"/>
  <c r="G56" i="584"/>
  <c r="F56" i="584"/>
  <c r="E56" i="584"/>
  <c r="D56" i="584"/>
  <c r="C56" i="584"/>
  <c r="B56" i="584"/>
  <c r="Q55" i="584"/>
  <c r="P55" i="584"/>
  <c r="R55" i="584" s="1"/>
  <c r="H55" i="584"/>
  <c r="Q54" i="584"/>
  <c r="P54" i="584"/>
  <c r="R54" i="584" s="1"/>
  <c r="H54" i="584"/>
  <c r="Q53" i="584"/>
  <c r="P53" i="584"/>
  <c r="R53" i="584" s="1"/>
  <c r="P52" i="584"/>
  <c r="R52" i="584" s="1"/>
  <c r="R51" i="584"/>
  <c r="P51" i="584"/>
  <c r="Q51" i="584" s="1"/>
  <c r="R50" i="584"/>
  <c r="Q50" i="584"/>
  <c r="P50" i="584"/>
  <c r="Q49" i="584"/>
  <c r="P49" i="584"/>
  <c r="R49" i="584" s="1"/>
  <c r="B49" i="584"/>
  <c r="R48" i="584"/>
  <c r="P48" i="584"/>
  <c r="Q48" i="584" s="1"/>
  <c r="F48" i="584"/>
  <c r="G48" i="584" s="1"/>
  <c r="E48" i="584"/>
  <c r="C48" i="584"/>
  <c r="R47" i="584"/>
  <c r="Q47" i="584"/>
  <c r="P47" i="584"/>
  <c r="F47" i="584"/>
  <c r="G47" i="584" s="1"/>
  <c r="E47" i="584"/>
  <c r="C47" i="584"/>
  <c r="J47" i="584" s="1"/>
  <c r="R46" i="584"/>
  <c r="Q46" i="584"/>
  <c r="P46" i="584"/>
  <c r="F46" i="584"/>
  <c r="G46" i="584" s="1"/>
  <c r="E46" i="584"/>
  <c r="E49" i="584" s="1"/>
  <c r="C46" i="584"/>
  <c r="R45" i="584"/>
  <c r="Q45" i="584"/>
  <c r="P45" i="584"/>
  <c r="F45" i="584"/>
  <c r="G45" i="584" s="1"/>
  <c r="R44" i="584"/>
  <c r="P44" i="584"/>
  <c r="Q44" i="584" s="1"/>
  <c r="F44" i="584"/>
  <c r="G44" i="584" s="1"/>
  <c r="R43" i="584"/>
  <c r="Q43" i="584"/>
  <c r="P43" i="584"/>
  <c r="F43" i="584"/>
  <c r="G43" i="584" s="1"/>
  <c r="J43" i="584" s="1"/>
  <c r="P42" i="584"/>
  <c r="R42" i="584" s="1"/>
  <c r="F42" i="584"/>
  <c r="G42" i="584" s="1"/>
  <c r="R41" i="584"/>
  <c r="Q41" i="584"/>
  <c r="P41" i="584"/>
  <c r="P40" i="584"/>
  <c r="R40" i="584" s="1"/>
  <c r="P39" i="584"/>
  <c r="R39" i="584" s="1"/>
  <c r="R38" i="584"/>
  <c r="P38" i="584"/>
  <c r="Q38" i="584" s="1"/>
  <c r="R37" i="584"/>
  <c r="Q37" i="584"/>
  <c r="P37" i="584"/>
  <c r="P70" i="584" s="1"/>
  <c r="Q70" i="584" s="1"/>
  <c r="G37" i="584"/>
  <c r="G36" i="584"/>
  <c r="H35" i="584"/>
  <c r="I35" i="584" s="1"/>
  <c r="C34" i="584"/>
  <c r="G33" i="584"/>
  <c r="E33" i="584"/>
  <c r="J33" i="584" s="1"/>
  <c r="C33" i="584"/>
  <c r="B33" i="584"/>
  <c r="H30" i="584"/>
  <c r="I30" i="584" s="1"/>
  <c r="H27" i="584"/>
  <c r="I27" i="584" s="1"/>
  <c r="H25" i="584"/>
  <c r="I25" i="584" s="1"/>
  <c r="E16" i="584"/>
  <c r="E17" i="584" s="1"/>
  <c r="B16" i="584"/>
  <c r="C16" i="584" s="1"/>
  <c r="G15" i="584"/>
  <c r="G18" i="584" s="1"/>
  <c r="C15" i="584"/>
  <c r="C18" i="584" s="1"/>
  <c r="L11" i="584"/>
  <c r="K11" i="584"/>
  <c r="N10" i="584"/>
  <c r="N9" i="584"/>
  <c r="N11" i="584" s="1"/>
  <c r="M11" i="584" s="1"/>
  <c r="K8" i="584"/>
  <c r="C8" i="584"/>
  <c r="C9" i="584" s="1"/>
  <c r="E9" i="584" s="1"/>
  <c r="B8" i="584"/>
  <c r="B9" i="584" s="1"/>
  <c r="K7" i="584"/>
  <c r="J7" i="584"/>
  <c r="E7" i="584"/>
  <c r="H56" i="584" l="1"/>
  <c r="H34" i="584"/>
  <c r="I34" i="584" s="1"/>
  <c r="I33" i="584"/>
  <c r="G17" i="584"/>
  <c r="R70" i="584"/>
  <c r="G49" i="584"/>
  <c r="J42" i="584"/>
  <c r="J46" i="584"/>
  <c r="G16" i="584"/>
  <c r="F49" i="584"/>
  <c r="B17" i="584"/>
  <c r="C17" i="584" s="1"/>
  <c r="H33" i="584"/>
  <c r="Q40" i="584"/>
  <c r="J44" i="584"/>
  <c r="Q52" i="584"/>
  <c r="Q57" i="584"/>
  <c r="Q61" i="584"/>
  <c r="Q65" i="584"/>
  <c r="H11" i="584"/>
  <c r="I11" i="584" s="1"/>
  <c r="E8" i="584"/>
  <c r="Q39" i="584"/>
  <c r="Q42" i="584"/>
  <c r="C49" i="584"/>
  <c r="Q60" i="584"/>
  <c r="Q64" i="584"/>
  <c r="D56" i="583"/>
  <c r="C48" i="583"/>
  <c r="F48" i="583" s="1"/>
  <c r="G48" i="583" s="1"/>
  <c r="D37" i="583"/>
  <c r="D36" i="583"/>
  <c r="G34" i="583"/>
  <c r="E16" i="583"/>
  <c r="B16" i="583"/>
  <c r="C8" i="583"/>
  <c r="B8" i="583"/>
  <c r="E34" i="583"/>
  <c r="O70" i="583"/>
  <c r="N70" i="583"/>
  <c r="M70" i="583"/>
  <c r="R69" i="583"/>
  <c r="R67" i="583"/>
  <c r="P67" i="583"/>
  <c r="Q67" i="583" s="1"/>
  <c r="R66" i="583"/>
  <c r="Q66" i="583"/>
  <c r="P66" i="583"/>
  <c r="P65" i="583"/>
  <c r="R65" i="583" s="1"/>
  <c r="P64" i="583"/>
  <c r="R64" i="583" s="1"/>
  <c r="R63" i="583"/>
  <c r="P63" i="583"/>
  <c r="Q63" i="583" s="1"/>
  <c r="R62" i="583"/>
  <c r="Q62" i="583"/>
  <c r="P62" i="583"/>
  <c r="P61" i="583"/>
  <c r="R61" i="583" s="1"/>
  <c r="P60" i="583"/>
  <c r="R60" i="583" s="1"/>
  <c r="R59" i="583"/>
  <c r="P59" i="583"/>
  <c r="Q59" i="583" s="1"/>
  <c r="R58" i="583"/>
  <c r="Q58" i="583"/>
  <c r="P58" i="583"/>
  <c r="P57" i="583"/>
  <c r="R57" i="583" s="1"/>
  <c r="P56" i="583"/>
  <c r="R56" i="583" s="1"/>
  <c r="G56" i="583"/>
  <c r="F56" i="583"/>
  <c r="E56" i="583"/>
  <c r="C56" i="583"/>
  <c r="B56" i="583"/>
  <c r="R55" i="583"/>
  <c r="Q55" i="583"/>
  <c r="P55" i="583"/>
  <c r="H55" i="583"/>
  <c r="R54" i="583"/>
  <c r="Q54" i="583"/>
  <c r="P54" i="583"/>
  <c r="H54" i="583"/>
  <c r="R53" i="583"/>
  <c r="Q53" i="583"/>
  <c r="P53" i="583"/>
  <c r="P52" i="583"/>
  <c r="R52" i="583" s="1"/>
  <c r="P51" i="583"/>
  <c r="R51" i="583" s="1"/>
  <c r="P50" i="583"/>
  <c r="Q50" i="583" s="1"/>
  <c r="R49" i="583"/>
  <c r="Q49" i="583"/>
  <c r="P49" i="583"/>
  <c r="B49" i="583"/>
  <c r="R48" i="583"/>
  <c r="P48" i="583"/>
  <c r="Q48" i="583" s="1"/>
  <c r="E48" i="583"/>
  <c r="R47" i="583"/>
  <c r="Q47" i="583"/>
  <c r="P47" i="583"/>
  <c r="F47" i="583"/>
  <c r="G47" i="583" s="1"/>
  <c r="E47" i="583"/>
  <c r="C47" i="583"/>
  <c r="R46" i="583"/>
  <c r="Q46" i="583"/>
  <c r="P46" i="583"/>
  <c r="F46" i="583"/>
  <c r="G46" i="583" s="1"/>
  <c r="E46" i="583"/>
  <c r="E49" i="583" s="1"/>
  <c r="C46" i="583"/>
  <c r="J46" i="583" s="1"/>
  <c r="R45" i="583"/>
  <c r="Q45" i="583"/>
  <c r="P45" i="583"/>
  <c r="G45" i="583"/>
  <c r="F45" i="583"/>
  <c r="R44" i="583"/>
  <c r="P44" i="583"/>
  <c r="Q44" i="583" s="1"/>
  <c r="C44" i="583"/>
  <c r="F44" i="583" s="1"/>
  <c r="G44" i="583" s="1"/>
  <c r="R43" i="583"/>
  <c r="Q43" i="583"/>
  <c r="P43" i="583"/>
  <c r="F43" i="583"/>
  <c r="Q42" i="583"/>
  <c r="P42" i="583"/>
  <c r="R42" i="583" s="1"/>
  <c r="F42" i="583"/>
  <c r="G42" i="583" s="1"/>
  <c r="R41" i="583"/>
  <c r="Q41" i="583"/>
  <c r="P41" i="583"/>
  <c r="P40" i="583"/>
  <c r="R40" i="583" s="1"/>
  <c r="Q39" i="583"/>
  <c r="P39" i="583"/>
  <c r="R39" i="583" s="1"/>
  <c r="R38" i="583"/>
  <c r="P38" i="583"/>
  <c r="Q38" i="583" s="1"/>
  <c r="R37" i="583"/>
  <c r="Q37" i="583"/>
  <c r="P37" i="583"/>
  <c r="G37" i="583"/>
  <c r="G36" i="583"/>
  <c r="H35" i="583"/>
  <c r="I35" i="583" s="1"/>
  <c r="C34" i="583"/>
  <c r="H34" i="583" s="1"/>
  <c r="I34" i="583" s="1"/>
  <c r="G33" i="583"/>
  <c r="E33" i="583"/>
  <c r="J33" i="583" s="1"/>
  <c r="C33" i="583"/>
  <c r="B33" i="583"/>
  <c r="H30" i="583"/>
  <c r="I30" i="583" s="1"/>
  <c r="H27" i="583"/>
  <c r="I27" i="583" s="1"/>
  <c r="H25" i="583"/>
  <c r="C16" i="583"/>
  <c r="G15" i="583"/>
  <c r="G18" i="583" s="1"/>
  <c r="C15" i="583"/>
  <c r="C18" i="583" s="1"/>
  <c r="L11" i="583"/>
  <c r="K11" i="583"/>
  <c r="N10" i="583"/>
  <c r="N9" i="583"/>
  <c r="N11" i="583" s="1"/>
  <c r="M11" i="583" s="1"/>
  <c r="K8" i="583"/>
  <c r="E8" i="583"/>
  <c r="B9" i="583"/>
  <c r="K7" i="583"/>
  <c r="J7" i="583"/>
  <c r="E7" i="583"/>
  <c r="J49" i="584" l="1"/>
  <c r="H56" i="583"/>
  <c r="F49" i="583"/>
  <c r="P70" i="583"/>
  <c r="Q70" i="583" s="1"/>
  <c r="R50" i="583"/>
  <c r="R70" i="583" s="1"/>
  <c r="G16" i="583"/>
  <c r="H33" i="583"/>
  <c r="G49" i="583"/>
  <c r="J42" i="583"/>
  <c r="J47" i="583"/>
  <c r="E17" i="583"/>
  <c r="I25" i="583"/>
  <c r="I33" i="583" s="1"/>
  <c r="Q40" i="583"/>
  <c r="G43" i="583"/>
  <c r="J43" i="583" s="1"/>
  <c r="J44" i="583"/>
  <c r="Q52" i="583"/>
  <c r="Q57" i="583"/>
  <c r="Q61" i="583"/>
  <c r="Q65" i="583"/>
  <c r="C49" i="583"/>
  <c r="J49" i="583" s="1"/>
  <c r="Q51" i="583"/>
  <c r="Q56" i="583"/>
  <c r="Q60" i="583"/>
  <c r="Q64" i="583"/>
  <c r="C9" i="583"/>
  <c r="E9" i="583" s="1"/>
  <c r="H11" i="583"/>
  <c r="I11" i="583" s="1"/>
  <c r="B17" i="583"/>
  <c r="E48" i="582"/>
  <c r="C17" i="583" l="1"/>
  <c r="G17" i="583"/>
  <c r="C8" i="582"/>
  <c r="C48" i="582"/>
  <c r="E16" i="582"/>
  <c r="B16" i="582"/>
  <c r="C16" i="582" s="1"/>
  <c r="B8" i="582"/>
  <c r="O70" i="582"/>
  <c r="N70" i="582"/>
  <c r="M70" i="582"/>
  <c r="R69" i="582"/>
  <c r="P67" i="582"/>
  <c r="Q67" i="582" s="1"/>
  <c r="P66" i="582"/>
  <c r="R66" i="582" s="1"/>
  <c r="R65" i="582"/>
  <c r="P65" i="582"/>
  <c r="Q65" i="582" s="1"/>
  <c r="R64" i="582"/>
  <c r="Q64" i="582"/>
  <c r="P64" i="582"/>
  <c r="Q63" i="582"/>
  <c r="P63" i="582"/>
  <c r="R63" i="582" s="1"/>
  <c r="P62" i="582"/>
  <c r="R62" i="582" s="1"/>
  <c r="R61" i="582"/>
  <c r="P61" i="582"/>
  <c r="Q61" i="582" s="1"/>
  <c r="R60" i="582"/>
  <c r="Q60" i="582"/>
  <c r="P60" i="582"/>
  <c r="Q59" i="582"/>
  <c r="P59" i="582"/>
  <c r="R59" i="582" s="1"/>
  <c r="P58" i="582"/>
  <c r="R58" i="582" s="1"/>
  <c r="R57" i="582"/>
  <c r="P57" i="582"/>
  <c r="Q57" i="582" s="1"/>
  <c r="R56" i="582"/>
  <c r="Q56" i="582"/>
  <c r="P56" i="582"/>
  <c r="G56" i="582"/>
  <c r="F56" i="582"/>
  <c r="E56" i="582"/>
  <c r="D56" i="582"/>
  <c r="C56" i="582"/>
  <c r="B56" i="582"/>
  <c r="P55" i="582"/>
  <c r="R55" i="582" s="1"/>
  <c r="H55" i="582"/>
  <c r="P54" i="582"/>
  <c r="R54" i="582" s="1"/>
  <c r="H54" i="582"/>
  <c r="P53" i="582"/>
  <c r="R53" i="582" s="1"/>
  <c r="R52" i="582"/>
  <c r="P52" i="582"/>
  <c r="Q52" i="582" s="1"/>
  <c r="R51" i="582"/>
  <c r="Q51" i="582"/>
  <c r="P51" i="582"/>
  <c r="Q50" i="582"/>
  <c r="P50" i="582"/>
  <c r="R50" i="582" s="1"/>
  <c r="P49" i="582"/>
  <c r="R49" i="582" s="1"/>
  <c r="B49" i="582"/>
  <c r="P48" i="582"/>
  <c r="R48" i="582" s="1"/>
  <c r="F48" i="582"/>
  <c r="P47" i="582"/>
  <c r="R47" i="582" s="1"/>
  <c r="E47" i="582"/>
  <c r="C47" i="582"/>
  <c r="P46" i="582"/>
  <c r="R46" i="582" s="1"/>
  <c r="E46" i="582"/>
  <c r="E49" i="582" s="1"/>
  <c r="C46" i="582"/>
  <c r="P45" i="582"/>
  <c r="R45" i="582" s="1"/>
  <c r="G45" i="582"/>
  <c r="F45" i="582"/>
  <c r="P44" i="582"/>
  <c r="Q44" i="582" s="1"/>
  <c r="C44" i="582"/>
  <c r="C49" i="582" s="1"/>
  <c r="P43" i="582"/>
  <c r="R43" i="582" s="1"/>
  <c r="F43" i="582"/>
  <c r="G43" i="582" s="1"/>
  <c r="J43" i="582" s="1"/>
  <c r="R42" i="582"/>
  <c r="Q42" i="582"/>
  <c r="P42" i="582"/>
  <c r="F42" i="582"/>
  <c r="G42" i="582" s="1"/>
  <c r="P41" i="582"/>
  <c r="R41" i="582" s="1"/>
  <c r="R40" i="582"/>
  <c r="P40" i="582"/>
  <c r="Q40" i="582" s="1"/>
  <c r="R39" i="582"/>
  <c r="Q39" i="582"/>
  <c r="P39" i="582"/>
  <c r="P38" i="582"/>
  <c r="R38" i="582" s="1"/>
  <c r="P37" i="582"/>
  <c r="G37" i="582"/>
  <c r="D37" i="582"/>
  <c r="D36" i="582"/>
  <c r="G36" i="582" s="1"/>
  <c r="H35" i="582"/>
  <c r="I35" i="582" s="1"/>
  <c r="H34" i="582"/>
  <c r="G34" i="582"/>
  <c r="C34" i="582"/>
  <c r="G33" i="582"/>
  <c r="E33" i="582"/>
  <c r="J33" i="582" s="1"/>
  <c r="C33" i="582"/>
  <c r="B33" i="582"/>
  <c r="H30" i="582"/>
  <c r="I30" i="582" s="1"/>
  <c r="H27" i="582"/>
  <c r="I27" i="582" s="1"/>
  <c r="H25" i="582"/>
  <c r="E17" i="582"/>
  <c r="G15" i="582"/>
  <c r="G18" i="582" s="1"/>
  <c r="C15" i="582"/>
  <c r="C18" i="582" s="1"/>
  <c r="L11" i="582"/>
  <c r="K11" i="582"/>
  <c r="N10" i="582"/>
  <c r="N11" i="582" s="1"/>
  <c r="M11" i="582" s="1"/>
  <c r="N9" i="582"/>
  <c r="K8" i="582"/>
  <c r="C9" i="582"/>
  <c r="B9" i="582"/>
  <c r="K7" i="582"/>
  <c r="J7" i="582"/>
  <c r="E7" i="582"/>
  <c r="E48" i="581"/>
  <c r="C48" i="581"/>
  <c r="D37" i="581"/>
  <c r="D36" i="581"/>
  <c r="G34" i="581"/>
  <c r="E16" i="581"/>
  <c r="B16" i="581"/>
  <c r="C16" i="581" s="1"/>
  <c r="C8" i="581"/>
  <c r="H11" i="581" s="1"/>
  <c r="I11" i="581" s="1"/>
  <c r="B8" i="581"/>
  <c r="E34" i="581"/>
  <c r="O70" i="581"/>
  <c r="N70" i="581"/>
  <c r="M70" i="581"/>
  <c r="R69" i="581"/>
  <c r="R67" i="581"/>
  <c r="P67" i="581"/>
  <c r="Q67" i="581" s="1"/>
  <c r="R66" i="581"/>
  <c r="Q66" i="581"/>
  <c r="P66" i="581"/>
  <c r="P65" i="581"/>
  <c r="R65" i="581" s="1"/>
  <c r="P64" i="581"/>
  <c r="R64" i="581" s="1"/>
  <c r="R63" i="581"/>
  <c r="P63" i="581"/>
  <c r="Q63" i="581" s="1"/>
  <c r="R62" i="581"/>
  <c r="Q62" i="581"/>
  <c r="P62" i="581"/>
  <c r="P61" i="581"/>
  <c r="Q61" i="581" s="1"/>
  <c r="P60" i="581"/>
  <c r="R60" i="581" s="1"/>
  <c r="R59" i="581"/>
  <c r="P59" i="581"/>
  <c r="Q59" i="581" s="1"/>
  <c r="R58" i="581"/>
  <c r="Q58" i="581"/>
  <c r="P58" i="581"/>
  <c r="P57" i="581"/>
  <c r="Q57" i="581" s="1"/>
  <c r="P56" i="581"/>
  <c r="R56" i="581" s="1"/>
  <c r="G56" i="581"/>
  <c r="F56" i="581"/>
  <c r="E56" i="581"/>
  <c r="D56" i="581"/>
  <c r="H56" i="581" s="1"/>
  <c r="C56" i="581"/>
  <c r="B56" i="581"/>
  <c r="R55" i="581"/>
  <c r="Q55" i="581"/>
  <c r="P55" i="581"/>
  <c r="H55" i="581"/>
  <c r="R54" i="581"/>
  <c r="Q54" i="581"/>
  <c r="P54" i="581"/>
  <c r="H54" i="581"/>
  <c r="R53" i="581"/>
  <c r="Q53" i="581"/>
  <c r="P53" i="581"/>
  <c r="P52" i="581"/>
  <c r="Q52" i="581" s="1"/>
  <c r="P51" i="581"/>
  <c r="R51" i="581" s="1"/>
  <c r="R50" i="581"/>
  <c r="P50" i="581"/>
  <c r="Q50" i="581" s="1"/>
  <c r="R49" i="581"/>
  <c r="Q49" i="581"/>
  <c r="P49" i="581"/>
  <c r="B49" i="581"/>
  <c r="P48" i="581"/>
  <c r="Q48" i="581" s="1"/>
  <c r="R47" i="581"/>
  <c r="Q47" i="581"/>
  <c r="P47" i="581"/>
  <c r="F47" i="581"/>
  <c r="G47" i="581" s="1"/>
  <c r="E47" i="581"/>
  <c r="C47" i="581"/>
  <c r="R46" i="581"/>
  <c r="Q46" i="581"/>
  <c r="P46" i="581"/>
  <c r="F46" i="581"/>
  <c r="G46" i="581" s="1"/>
  <c r="E46" i="581"/>
  <c r="C46" i="581"/>
  <c r="J46" i="581" s="1"/>
  <c r="R45" i="581"/>
  <c r="Q45" i="581"/>
  <c r="P45" i="581"/>
  <c r="F45" i="581"/>
  <c r="G45" i="581" s="1"/>
  <c r="R44" i="581"/>
  <c r="P44" i="581"/>
  <c r="Q44" i="581" s="1"/>
  <c r="C44" i="581"/>
  <c r="F44" i="581" s="1"/>
  <c r="G44" i="581" s="1"/>
  <c r="J44" i="581" s="1"/>
  <c r="R43" i="581"/>
  <c r="Q43" i="581"/>
  <c r="P43" i="581"/>
  <c r="F43" i="581"/>
  <c r="G43" i="581" s="1"/>
  <c r="J43" i="581" s="1"/>
  <c r="P42" i="581"/>
  <c r="R42" i="581" s="1"/>
  <c r="F42" i="581"/>
  <c r="G42" i="581" s="1"/>
  <c r="R41" i="581"/>
  <c r="Q41" i="581"/>
  <c r="P41" i="581"/>
  <c r="P40" i="581"/>
  <c r="Q40" i="581" s="1"/>
  <c r="P39" i="581"/>
  <c r="R39" i="581" s="1"/>
  <c r="R38" i="581"/>
  <c r="P38" i="581"/>
  <c r="Q38" i="581" s="1"/>
  <c r="R37" i="581"/>
  <c r="Q37" i="581"/>
  <c r="P37" i="581"/>
  <c r="G37" i="581"/>
  <c r="G36" i="581"/>
  <c r="H35" i="581"/>
  <c r="I35" i="581" s="1"/>
  <c r="C34" i="581"/>
  <c r="G33" i="581"/>
  <c r="E33" i="581"/>
  <c r="J33" i="581" s="1"/>
  <c r="C33" i="581"/>
  <c r="B33" i="581"/>
  <c r="H30" i="581"/>
  <c r="I30" i="581" s="1"/>
  <c r="H27" i="581"/>
  <c r="H25" i="581"/>
  <c r="I25" i="581" s="1"/>
  <c r="L17" i="581"/>
  <c r="G15" i="581"/>
  <c r="G18" i="581" s="1"/>
  <c r="C15" i="581"/>
  <c r="C18" i="581" s="1"/>
  <c r="K14" i="581"/>
  <c r="N11" i="581"/>
  <c r="M11" i="581" s="1"/>
  <c r="L11" i="581"/>
  <c r="K11" i="581"/>
  <c r="N10" i="581"/>
  <c r="N9" i="581"/>
  <c r="K8" i="581"/>
  <c r="E8" i="581"/>
  <c r="B9" i="581"/>
  <c r="K7" i="581"/>
  <c r="J7" i="581"/>
  <c r="E7" i="581"/>
  <c r="D37" i="580"/>
  <c r="D36" i="580"/>
  <c r="E48" i="580"/>
  <c r="F48" i="580" s="1"/>
  <c r="G48" i="580" s="1"/>
  <c r="C48" i="580"/>
  <c r="Q48" i="580"/>
  <c r="Q49" i="580"/>
  <c r="Q50" i="580"/>
  <c r="Q51" i="580"/>
  <c r="Q52" i="580"/>
  <c r="Q53" i="580"/>
  <c r="Q54" i="580"/>
  <c r="Q47" i="580"/>
  <c r="G34" i="580"/>
  <c r="E16" i="580"/>
  <c r="B16" i="580"/>
  <c r="C8" i="580"/>
  <c r="B8" i="580"/>
  <c r="E8" i="580" s="1"/>
  <c r="E34" i="580"/>
  <c r="O70" i="580"/>
  <c r="N70" i="580"/>
  <c r="M70" i="580"/>
  <c r="R69" i="580"/>
  <c r="R67" i="580"/>
  <c r="P67" i="580"/>
  <c r="Q67" i="580" s="1"/>
  <c r="R66" i="580"/>
  <c r="Q66" i="580"/>
  <c r="P66" i="580"/>
  <c r="P65" i="580"/>
  <c r="R65" i="580" s="1"/>
  <c r="P64" i="580"/>
  <c r="R64" i="580" s="1"/>
  <c r="R63" i="580"/>
  <c r="P63" i="580"/>
  <c r="Q63" i="580" s="1"/>
  <c r="R62" i="580"/>
  <c r="Q62" i="580"/>
  <c r="P62" i="580"/>
  <c r="P61" i="580"/>
  <c r="Q61" i="580" s="1"/>
  <c r="P60" i="580"/>
  <c r="R60" i="580" s="1"/>
  <c r="R59" i="580"/>
  <c r="P59" i="580"/>
  <c r="Q59" i="580" s="1"/>
  <c r="R58" i="580"/>
  <c r="Q58" i="580"/>
  <c r="P58" i="580"/>
  <c r="P57" i="580"/>
  <c r="Q57" i="580" s="1"/>
  <c r="P56" i="580"/>
  <c r="R56" i="580" s="1"/>
  <c r="G56" i="580"/>
  <c r="F56" i="580"/>
  <c r="E56" i="580"/>
  <c r="D56" i="580"/>
  <c r="C56" i="580"/>
  <c r="B56" i="580"/>
  <c r="H56" i="580" s="1"/>
  <c r="R55" i="580"/>
  <c r="Q55" i="580"/>
  <c r="P55" i="580"/>
  <c r="H55" i="580"/>
  <c r="R54" i="580"/>
  <c r="P54" i="580"/>
  <c r="H54" i="580"/>
  <c r="R53" i="580"/>
  <c r="P53" i="580"/>
  <c r="P52" i="580"/>
  <c r="P51" i="580"/>
  <c r="R51" i="580" s="1"/>
  <c r="R50" i="580"/>
  <c r="P50" i="580"/>
  <c r="R49" i="580"/>
  <c r="P49" i="580"/>
  <c r="B49" i="580"/>
  <c r="R48" i="580"/>
  <c r="P48" i="580"/>
  <c r="P47" i="580"/>
  <c r="R47" i="580" s="1"/>
  <c r="F47" i="580"/>
  <c r="G47" i="580" s="1"/>
  <c r="E47" i="580"/>
  <c r="C47" i="580"/>
  <c r="R46" i="580"/>
  <c r="Q46" i="580"/>
  <c r="P46" i="580"/>
  <c r="F46" i="580"/>
  <c r="G46" i="580" s="1"/>
  <c r="E46" i="580"/>
  <c r="C46" i="580"/>
  <c r="J46" i="580" s="1"/>
  <c r="R45" i="580"/>
  <c r="Q45" i="580"/>
  <c r="P45" i="580"/>
  <c r="F45" i="580"/>
  <c r="G45" i="580" s="1"/>
  <c r="R44" i="580"/>
  <c r="P44" i="580"/>
  <c r="Q44" i="580" s="1"/>
  <c r="C44" i="580"/>
  <c r="F44" i="580" s="1"/>
  <c r="G44" i="580" s="1"/>
  <c r="J44" i="580" s="1"/>
  <c r="R43" i="580"/>
  <c r="Q43" i="580"/>
  <c r="P43" i="580"/>
  <c r="F43" i="580"/>
  <c r="G43" i="580" s="1"/>
  <c r="J43" i="580" s="1"/>
  <c r="P42" i="580"/>
  <c r="R42" i="580" s="1"/>
  <c r="F42" i="580"/>
  <c r="G42" i="580" s="1"/>
  <c r="R41" i="580"/>
  <c r="Q41" i="580"/>
  <c r="P41" i="580"/>
  <c r="P40" i="580"/>
  <c r="Q40" i="580" s="1"/>
  <c r="P39" i="580"/>
  <c r="R39" i="580" s="1"/>
  <c r="R38" i="580"/>
  <c r="P38" i="580"/>
  <c r="Q38" i="580" s="1"/>
  <c r="R37" i="580"/>
  <c r="Q37" i="580"/>
  <c r="P37" i="580"/>
  <c r="P70" i="580" s="1"/>
  <c r="Q70" i="580" s="1"/>
  <c r="G37" i="580"/>
  <c r="G36" i="580"/>
  <c r="H35" i="580"/>
  <c r="I35" i="580" s="1"/>
  <c r="C34" i="580"/>
  <c r="G33" i="580"/>
  <c r="E33" i="580"/>
  <c r="J33" i="580" s="1"/>
  <c r="C33" i="580"/>
  <c r="B33" i="580"/>
  <c r="H30" i="580"/>
  <c r="I30" i="580" s="1"/>
  <c r="H27" i="580"/>
  <c r="I27" i="580" s="1"/>
  <c r="H25" i="580"/>
  <c r="I25" i="580" s="1"/>
  <c r="L17" i="580"/>
  <c r="G16" i="580"/>
  <c r="C16" i="580"/>
  <c r="G15" i="580"/>
  <c r="G18" i="580" s="1"/>
  <c r="C15" i="580"/>
  <c r="C18" i="580" s="1"/>
  <c r="K14" i="580"/>
  <c r="N11" i="580"/>
  <c r="M11" i="580" s="1"/>
  <c r="L11" i="580"/>
  <c r="K11" i="580"/>
  <c r="N10" i="580"/>
  <c r="N9" i="580"/>
  <c r="K8" i="580"/>
  <c r="H11" i="580"/>
  <c r="I11" i="580" s="1"/>
  <c r="B9" i="580"/>
  <c r="K7" i="580"/>
  <c r="J7" i="580"/>
  <c r="E7" i="580"/>
  <c r="H56" i="582" l="1"/>
  <c r="P70" i="582"/>
  <c r="Q70" i="582" s="1"/>
  <c r="H33" i="582"/>
  <c r="I34" i="582"/>
  <c r="E9" i="582"/>
  <c r="G48" i="582"/>
  <c r="G17" i="582"/>
  <c r="J42" i="582"/>
  <c r="H11" i="582"/>
  <c r="I11" i="582" s="1"/>
  <c r="G16" i="582"/>
  <c r="Q38" i="582"/>
  <c r="F44" i="582"/>
  <c r="G44" i="582" s="1"/>
  <c r="Q48" i="582"/>
  <c r="E8" i="582"/>
  <c r="B17" i="582"/>
  <c r="C17" i="582" s="1"/>
  <c r="I25" i="582"/>
  <c r="I33" i="582" s="1"/>
  <c r="Q37" i="582"/>
  <c r="Q41" i="582"/>
  <c r="Q43" i="582"/>
  <c r="R44" i="582"/>
  <c r="Q45" i="582"/>
  <c r="F46" i="582"/>
  <c r="Q46" i="582"/>
  <c r="F47" i="582"/>
  <c r="G47" i="582" s="1"/>
  <c r="Q47" i="582"/>
  <c r="F49" i="582"/>
  <c r="Q49" i="582"/>
  <c r="Q53" i="582"/>
  <c r="Q54" i="582"/>
  <c r="Q55" i="582"/>
  <c r="Q58" i="582"/>
  <c r="Q62" i="582"/>
  <c r="Q66" i="582"/>
  <c r="R67" i="582"/>
  <c r="R37" i="582"/>
  <c r="R70" i="582" s="1"/>
  <c r="J44" i="582"/>
  <c r="G46" i="582"/>
  <c r="J46" i="582" s="1"/>
  <c r="E49" i="581"/>
  <c r="F48" i="581"/>
  <c r="G48" i="581" s="1"/>
  <c r="R48" i="581"/>
  <c r="G16" i="581"/>
  <c r="H34" i="581"/>
  <c r="I34" i="581" s="1"/>
  <c r="H33" i="581"/>
  <c r="G49" i="581"/>
  <c r="J42" i="581"/>
  <c r="J47" i="581"/>
  <c r="B17" i="581"/>
  <c r="F49" i="581"/>
  <c r="Q65" i="581"/>
  <c r="E17" i="581"/>
  <c r="I27" i="581"/>
  <c r="I33" i="581" s="1"/>
  <c r="Q39" i="581"/>
  <c r="R40" i="581"/>
  <c r="Q42" i="581"/>
  <c r="C49" i="581"/>
  <c r="Q51" i="581"/>
  <c r="R52" i="581"/>
  <c r="Q56" i="581"/>
  <c r="R57" i="581"/>
  <c r="Q60" i="581"/>
  <c r="R61" i="581"/>
  <c r="Q64" i="581"/>
  <c r="P70" i="581"/>
  <c r="Q70" i="581" s="1"/>
  <c r="C9" i="581"/>
  <c r="E9" i="581" s="1"/>
  <c r="E49" i="580"/>
  <c r="H34" i="580"/>
  <c r="I34" i="580" s="1"/>
  <c r="I33" i="580"/>
  <c r="J47" i="580"/>
  <c r="J42" i="580"/>
  <c r="G49" i="580"/>
  <c r="F49" i="580"/>
  <c r="Q65" i="580"/>
  <c r="B17" i="580"/>
  <c r="C17" i="580" s="1"/>
  <c r="H33" i="580"/>
  <c r="Q39" i="580"/>
  <c r="R40" i="580"/>
  <c r="R70" i="580" s="1"/>
  <c r="Q42" i="580"/>
  <c r="C49" i="580"/>
  <c r="J49" i="580" s="1"/>
  <c r="R52" i="580"/>
  <c r="Q56" i="580"/>
  <c r="R57" i="580"/>
  <c r="Q60" i="580"/>
  <c r="R61" i="580"/>
  <c r="Q64" i="580"/>
  <c r="E17" i="580"/>
  <c r="C9" i="580"/>
  <c r="E9" i="580" s="1"/>
  <c r="E47" i="579"/>
  <c r="F47" i="579" s="1"/>
  <c r="G47" i="579" s="1"/>
  <c r="E48" i="579"/>
  <c r="C8" i="579"/>
  <c r="C48" i="579"/>
  <c r="D37" i="579"/>
  <c r="G37" i="579" s="1"/>
  <c r="D36" i="579"/>
  <c r="G36" i="579" s="1"/>
  <c r="G34" i="579"/>
  <c r="E16" i="579"/>
  <c r="E17" i="579" s="1"/>
  <c r="B16" i="579"/>
  <c r="AJ5" i="564"/>
  <c r="B8" i="579"/>
  <c r="B9" i="579" s="1"/>
  <c r="E34" i="579"/>
  <c r="O70" i="579"/>
  <c r="N70" i="579"/>
  <c r="M70" i="579"/>
  <c r="R69" i="579"/>
  <c r="R67" i="579"/>
  <c r="P67" i="579"/>
  <c r="Q67" i="579" s="1"/>
  <c r="R66" i="579"/>
  <c r="Q66" i="579"/>
  <c r="P66" i="579"/>
  <c r="P65" i="579"/>
  <c r="R65" i="579" s="1"/>
  <c r="P64" i="579"/>
  <c r="R64" i="579" s="1"/>
  <c r="R63" i="579"/>
  <c r="P63" i="579"/>
  <c r="Q63" i="579" s="1"/>
  <c r="R62" i="579"/>
  <c r="Q62" i="579"/>
  <c r="P62" i="579"/>
  <c r="P61" i="579"/>
  <c r="R61" i="579" s="1"/>
  <c r="P60" i="579"/>
  <c r="R60" i="579" s="1"/>
  <c r="R59" i="579"/>
  <c r="P59" i="579"/>
  <c r="Q59" i="579" s="1"/>
  <c r="R58" i="579"/>
  <c r="Q58" i="579"/>
  <c r="P58" i="579"/>
  <c r="P57" i="579"/>
  <c r="Q57" i="579" s="1"/>
  <c r="P56" i="579"/>
  <c r="R56" i="579" s="1"/>
  <c r="G56" i="579"/>
  <c r="F56" i="579"/>
  <c r="E56" i="579"/>
  <c r="D56" i="579"/>
  <c r="C56" i="579"/>
  <c r="B56" i="579"/>
  <c r="R55" i="579"/>
  <c r="Q55" i="579"/>
  <c r="P55" i="579"/>
  <c r="H55" i="579"/>
  <c r="R54" i="579"/>
  <c r="Q54" i="579"/>
  <c r="P54" i="579"/>
  <c r="H54" i="579"/>
  <c r="R53" i="579"/>
  <c r="Q53" i="579"/>
  <c r="P53" i="579"/>
  <c r="P52" i="579"/>
  <c r="Q52" i="579" s="1"/>
  <c r="P51" i="579"/>
  <c r="R51" i="579" s="1"/>
  <c r="R50" i="579"/>
  <c r="P50" i="579"/>
  <c r="Q50" i="579" s="1"/>
  <c r="R49" i="579"/>
  <c r="Q49" i="579"/>
  <c r="P49" i="579"/>
  <c r="B49" i="579"/>
  <c r="R48" i="579"/>
  <c r="P48" i="579"/>
  <c r="Q48" i="579" s="1"/>
  <c r="R47" i="579"/>
  <c r="Q47" i="579"/>
  <c r="P47" i="579"/>
  <c r="C47" i="579"/>
  <c r="P46" i="579"/>
  <c r="R46" i="579" s="1"/>
  <c r="F46" i="579"/>
  <c r="G46" i="579" s="1"/>
  <c r="E46" i="579"/>
  <c r="C46" i="579"/>
  <c r="J46" i="579" s="1"/>
  <c r="R45" i="579"/>
  <c r="Q45" i="579"/>
  <c r="P45" i="579"/>
  <c r="F45" i="579"/>
  <c r="G45" i="579" s="1"/>
  <c r="R44" i="579"/>
  <c r="P44" i="579"/>
  <c r="Q44" i="579" s="1"/>
  <c r="C44" i="579"/>
  <c r="F44" i="579" s="1"/>
  <c r="G44" i="579" s="1"/>
  <c r="J44" i="579" s="1"/>
  <c r="R43" i="579"/>
  <c r="Q43" i="579"/>
  <c r="P43" i="579"/>
  <c r="F43" i="579"/>
  <c r="G43" i="579" s="1"/>
  <c r="J43" i="579" s="1"/>
  <c r="P42" i="579"/>
  <c r="R42" i="579" s="1"/>
  <c r="F42" i="579"/>
  <c r="G42" i="579" s="1"/>
  <c r="R41" i="579"/>
  <c r="Q41" i="579"/>
  <c r="P41" i="579"/>
  <c r="P40" i="579"/>
  <c r="Q40" i="579" s="1"/>
  <c r="P39" i="579"/>
  <c r="R39" i="579" s="1"/>
  <c r="R38" i="579"/>
  <c r="P38" i="579"/>
  <c r="Q38" i="579" s="1"/>
  <c r="R37" i="579"/>
  <c r="Q37" i="579"/>
  <c r="P37" i="579"/>
  <c r="H35" i="579"/>
  <c r="I35" i="579" s="1"/>
  <c r="C34" i="579"/>
  <c r="H34" i="579" s="1"/>
  <c r="G33" i="579"/>
  <c r="E33" i="579"/>
  <c r="J33" i="579" s="1"/>
  <c r="C33" i="579"/>
  <c r="B33" i="579"/>
  <c r="H30" i="579"/>
  <c r="I30" i="579" s="1"/>
  <c r="H27" i="579"/>
  <c r="I27" i="579" s="1"/>
  <c r="H25" i="579"/>
  <c r="L17" i="579"/>
  <c r="C16" i="579"/>
  <c r="G15" i="579"/>
  <c r="G18" i="579" s="1"/>
  <c r="C15" i="579"/>
  <c r="C18" i="579" s="1"/>
  <c r="K14" i="579"/>
  <c r="N11" i="579"/>
  <c r="M11" i="579"/>
  <c r="L11" i="579"/>
  <c r="K11" i="579"/>
  <c r="N10" i="579"/>
  <c r="N9" i="579"/>
  <c r="K8" i="579"/>
  <c r="H11" i="579"/>
  <c r="I11" i="579" s="1"/>
  <c r="K7" i="579"/>
  <c r="J7" i="579"/>
  <c r="E7" i="579"/>
  <c r="D37" i="578"/>
  <c r="G37" i="578" s="1"/>
  <c r="D36" i="578"/>
  <c r="C47" i="578"/>
  <c r="E47" i="578"/>
  <c r="E16" i="578"/>
  <c r="B16" i="578"/>
  <c r="C8" i="578"/>
  <c r="B8" i="578"/>
  <c r="B9" i="578" s="1"/>
  <c r="E34" i="578"/>
  <c r="O70" i="578"/>
  <c r="N70" i="578"/>
  <c r="M70" i="578"/>
  <c r="R69" i="578"/>
  <c r="R67" i="578"/>
  <c r="P67" i="578"/>
  <c r="Q67" i="578" s="1"/>
  <c r="R66" i="578"/>
  <c r="Q66" i="578"/>
  <c r="P66" i="578"/>
  <c r="P65" i="578"/>
  <c r="R65" i="578" s="1"/>
  <c r="P64" i="578"/>
  <c r="R64" i="578" s="1"/>
  <c r="R63" i="578"/>
  <c r="P63" i="578"/>
  <c r="Q63" i="578" s="1"/>
  <c r="R62" i="578"/>
  <c r="Q62" i="578"/>
  <c r="P62" i="578"/>
  <c r="P61" i="578"/>
  <c r="R61" i="578" s="1"/>
  <c r="P60" i="578"/>
  <c r="R60" i="578" s="1"/>
  <c r="R59" i="578"/>
  <c r="P59" i="578"/>
  <c r="Q59" i="578" s="1"/>
  <c r="R58" i="578"/>
  <c r="Q58" i="578"/>
  <c r="P58" i="578"/>
  <c r="P57" i="578"/>
  <c r="R57" i="578" s="1"/>
  <c r="P56" i="578"/>
  <c r="R56" i="578" s="1"/>
  <c r="G56" i="578"/>
  <c r="F56" i="578"/>
  <c r="E56" i="578"/>
  <c r="D56" i="578"/>
  <c r="H56" i="578" s="1"/>
  <c r="C56" i="578"/>
  <c r="B56" i="578"/>
  <c r="R55" i="578"/>
  <c r="Q55" i="578"/>
  <c r="P55" i="578"/>
  <c r="H55" i="578"/>
  <c r="R54" i="578"/>
  <c r="Q54" i="578"/>
  <c r="P54" i="578"/>
  <c r="H54" i="578"/>
  <c r="R53" i="578"/>
  <c r="Q53" i="578"/>
  <c r="P53" i="578"/>
  <c r="P52" i="578"/>
  <c r="R52" i="578" s="1"/>
  <c r="P51" i="578"/>
  <c r="R51" i="578" s="1"/>
  <c r="R50" i="578"/>
  <c r="P50" i="578"/>
  <c r="Q50" i="578" s="1"/>
  <c r="R49" i="578"/>
  <c r="Q49" i="578"/>
  <c r="P49" i="578"/>
  <c r="B49" i="578"/>
  <c r="R48" i="578"/>
  <c r="P48" i="578"/>
  <c r="Q48" i="578" s="1"/>
  <c r="F48" i="578"/>
  <c r="G48" i="578" s="1"/>
  <c r="E48" i="578"/>
  <c r="C48" i="578"/>
  <c r="R47" i="578"/>
  <c r="Q47" i="578"/>
  <c r="P47" i="578"/>
  <c r="F47" i="578"/>
  <c r="G47" i="578" s="1"/>
  <c r="J47" i="578" s="1"/>
  <c r="P46" i="578"/>
  <c r="R46" i="578" s="1"/>
  <c r="E46" i="578"/>
  <c r="C46" i="578"/>
  <c r="F46" i="578" s="1"/>
  <c r="P45" i="578"/>
  <c r="R45" i="578" s="1"/>
  <c r="G45" i="578"/>
  <c r="F45" i="578"/>
  <c r="P44" i="578"/>
  <c r="R44" i="578" s="1"/>
  <c r="C44" i="578"/>
  <c r="P43" i="578"/>
  <c r="R43" i="578" s="1"/>
  <c r="F43" i="578"/>
  <c r="G43" i="578" s="1"/>
  <c r="J43" i="578" s="1"/>
  <c r="R42" i="578"/>
  <c r="Q42" i="578"/>
  <c r="P42" i="578"/>
  <c r="F42" i="578"/>
  <c r="G42" i="578" s="1"/>
  <c r="P41" i="578"/>
  <c r="R41" i="578" s="1"/>
  <c r="R40" i="578"/>
  <c r="P40" i="578"/>
  <c r="Q40" i="578" s="1"/>
  <c r="R39" i="578"/>
  <c r="Q39" i="578"/>
  <c r="P39" i="578"/>
  <c r="P38" i="578"/>
  <c r="R38" i="578" s="1"/>
  <c r="P37" i="578"/>
  <c r="R37" i="578" s="1"/>
  <c r="G36" i="578"/>
  <c r="H35" i="578"/>
  <c r="I35" i="578" s="1"/>
  <c r="C34" i="578"/>
  <c r="H34" i="578" s="1"/>
  <c r="G33" i="578"/>
  <c r="E33" i="578"/>
  <c r="J33" i="578" s="1"/>
  <c r="C33" i="578"/>
  <c r="B33" i="578"/>
  <c r="H30" i="578"/>
  <c r="I30" i="578" s="1"/>
  <c r="H27" i="578"/>
  <c r="I27" i="578" s="1"/>
  <c r="H25" i="578"/>
  <c r="L17" i="578"/>
  <c r="E17" i="578"/>
  <c r="G15" i="578"/>
  <c r="G18" i="578" s="1"/>
  <c r="C15" i="578"/>
  <c r="C18" i="578" s="1"/>
  <c r="K14" i="578"/>
  <c r="L11" i="578"/>
  <c r="K11" i="578"/>
  <c r="N10" i="578"/>
  <c r="N9" i="578"/>
  <c r="N11" i="578" s="1"/>
  <c r="M11" i="578" s="1"/>
  <c r="K8" i="578"/>
  <c r="K7" i="578"/>
  <c r="J7" i="578"/>
  <c r="E7" i="578"/>
  <c r="G34" i="577"/>
  <c r="E34" i="577"/>
  <c r="O70" i="577"/>
  <c r="N70" i="577"/>
  <c r="M70" i="577"/>
  <c r="R69" i="577"/>
  <c r="R67" i="577"/>
  <c r="P67" i="577"/>
  <c r="Q67" i="577" s="1"/>
  <c r="R66" i="577"/>
  <c r="Q66" i="577"/>
  <c r="P66" i="577"/>
  <c r="P65" i="577"/>
  <c r="R65" i="577" s="1"/>
  <c r="P64" i="577"/>
  <c r="R64" i="577" s="1"/>
  <c r="R63" i="577"/>
  <c r="P63" i="577"/>
  <c r="Q63" i="577" s="1"/>
  <c r="R62" i="577"/>
  <c r="Q62" i="577"/>
  <c r="P62" i="577"/>
  <c r="P61" i="577"/>
  <c r="R61" i="577" s="1"/>
  <c r="P60" i="577"/>
  <c r="R60" i="577" s="1"/>
  <c r="R59" i="577"/>
  <c r="P59" i="577"/>
  <c r="Q59" i="577" s="1"/>
  <c r="R58" i="577"/>
  <c r="Q58" i="577"/>
  <c r="P58" i="577"/>
  <c r="P57" i="577"/>
  <c r="R57" i="577" s="1"/>
  <c r="P56" i="577"/>
  <c r="R56" i="577" s="1"/>
  <c r="G56" i="577"/>
  <c r="F56" i="577"/>
  <c r="E56" i="577"/>
  <c r="D56" i="577"/>
  <c r="H56" i="577" s="1"/>
  <c r="C56" i="577"/>
  <c r="B56" i="577"/>
  <c r="Q55" i="577"/>
  <c r="P55" i="577"/>
  <c r="R55" i="577" s="1"/>
  <c r="H55" i="577"/>
  <c r="Q54" i="577"/>
  <c r="P54" i="577"/>
  <c r="R54" i="577" s="1"/>
  <c r="H54" i="577"/>
  <c r="Q53" i="577"/>
  <c r="P53" i="577"/>
  <c r="R53" i="577" s="1"/>
  <c r="P52" i="577"/>
  <c r="R52" i="577" s="1"/>
  <c r="R51" i="577"/>
  <c r="Q51" i="577"/>
  <c r="P51" i="577"/>
  <c r="R50" i="577"/>
  <c r="P50" i="577"/>
  <c r="Q50" i="577" s="1"/>
  <c r="Q49" i="577"/>
  <c r="P49" i="577"/>
  <c r="R49" i="577" s="1"/>
  <c r="B49" i="577"/>
  <c r="R48" i="577"/>
  <c r="P48" i="577"/>
  <c r="Q48" i="577" s="1"/>
  <c r="F48" i="577"/>
  <c r="G48" i="577" s="1"/>
  <c r="E48" i="577"/>
  <c r="C48" i="577"/>
  <c r="R47" i="577"/>
  <c r="Q47" i="577"/>
  <c r="P47" i="577"/>
  <c r="F47" i="577"/>
  <c r="G47" i="577" s="1"/>
  <c r="J47" i="577" s="1"/>
  <c r="P46" i="577"/>
  <c r="R46" i="577" s="1"/>
  <c r="E46" i="577"/>
  <c r="E49" i="577" s="1"/>
  <c r="C46" i="577"/>
  <c r="F46" i="577" s="1"/>
  <c r="P45" i="577"/>
  <c r="R45" i="577" s="1"/>
  <c r="G45" i="577"/>
  <c r="F45" i="577"/>
  <c r="P44" i="577"/>
  <c r="R44" i="577" s="1"/>
  <c r="C44" i="577"/>
  <c r="P43" i="577"/>
  <c r="R43" i="577" s="1"/>
  <c r="F43" i="577"/>
  <c r="G43" i="577" s="1"/>
  <c r="J43" i="577" s="1"/>
  <c r="R42" i="577"/>
  <c r="Q42" i="577"/>
  <c r="P42" i="577"/>
  <c r="F42" i="577"/>
  <c r="P41" i="577"/>
  <c r="R41" i="577" s="1"/>
  <c r="R40" i="577"/>
  <c r="P40" i="577"/>
  <c r="Q40" i="577" s="1"/>
  <c r="R39" i="577"/>
  <c r="Q39" i="577"/>
  <c r="P39" i="577"/>
  <c r="P38" i="577"/>
  <c r="R38" i="577" s="1"/>
  <c r="P37" i="577"/>
  <c r="R37" i="577" s="1"/>
  <c r="G37" i="577"/>
  <c r="D37" i="577"/>
  <c r="D36" i="577"/>
  <c r="G36" i="577" s="1"/>
  <c r="H35" i="577"/>
  <c r="I35" i="577" s="1"/>
  <c r="C34" i="577"/>
  <c r="G33" i="577"/>
  <c r="E33" i="577"/>
  <c r="J33" i="577" s="1"/>
  <c r="C33" i="577"/>
  <c r="B33" i="577"/>
  <c r="H30" i="577"/>
  <c r="I30" i="577" s="1"/>
  <c r="H27" i="577"/>
  <c r="I27" i="577" s="1"/>
  <c r="H25" i="577"/>
  <c r="L17" i="577"/>
  <c r="E16" i="577"/>
  <c r="E17" i="577" s="1"/>
  <c r="G17" i="577" s="1"/>
  <c r="B16" i="577"/>
  <c r="C16" i="577" s="1"/>
  <c r="G15" i="577"/>
  <c r="G18" i="577" s="1"/>
  <c r="C15" i="577"/>
  <c r="C18" i="577" s="1"/>
  <c r="K14" i="577"/>
  <c r="L11" i="577"/>
  <c r="K11" i="577"/>
  <c r="N10" i="577"/>
  <c r="N9" i="577"/>
  <c r="N11" i="577" s="1"/>
  <c r="M11" i="577" s="1"/>
  <c r="K8" i="577"/>
  <c r="C8" i="577"/>
  <c r="C9" i="577" s="1"/>
  <c r="B8" i="577"/>
  <c r="B9" i="577" s="1"/>
  <c r="K7" i="577"/>
  <c r="J7" i="577"/>
  <c r="E7" i="577"/>
  <c r="G49" i="582" l="1"/>
  <c r="J49" i="582" s="1"/>
  <c r="J47" i="582"/>
  <c r="J49" i="581"/>
  <c r="R70" i="581"/>
  <c r="C17" i="581"/>
  <c r="G17" i="581"/>
  <c r="G17" i="580"/>
  <c r="F48" i="579"/>
  <c r="G48" i="579" s="1"/>
  <c r="G49" i="579" s="1"/>
  <c r="H56" i="579"/>
  <c r="E49" i="579"/>
  <c r="Q46" i="579"/>
  <c r="I34" i="579"/>
  <c r="H33" i="579"/>
  <c r="J42" i="579"/>
  <c r="J47" i="579"/>
  <c r="C9" i="579"/>
  <c r="E9" i="579" s="1"/>
  <c r="G16" i="579"/>
  <c r="E8" i="579"/>
  <c r="B17" i="579"/>
  <c r="C17" i="579" s="1"/>
  <c r="I25" i="579"/>
  <c r="I33" i="579" s="1"/>
  <c r="Q61" i="579"/>
  <c r="Q65" i="579"/>
  <c r="Q39" i="579"/>
  <c r="R40" i="579"/>
  <c r="R70" i="579" s="1"/>
  <c r="Q42" i="579"/>
  <c r="C49" i="579"/>
  <c r="Q51" i="579"/>
  <c r="R52" i="579"/>
  <c r="Q56" i="579"/>
  <c r="R57" i="579"/>
  <c r="Q60" i="579"/>
  <c r="Q64" i="579"/>
  <c r="P70" i="579"/>
  <c r="Q70" i="579" s="1"/>
  <c r="E49" i="578"/>
  <c r="C16" i="578"/>
  <c r="E8" i="578"/>
  <c r="H33" i="578"/>
  <c r="I34" i="578"/>
  <c r="R70" i="578"/>
  <c r="J42" i="578"/>
  <c r="F49" i="578"/>
  <c r="C9" i="578"/>
  <c r="E9" i="578" s="1"/>
  <c r="H11" i="578"/>
  <c r="I11" i="578" s="1"/>
  <c r="G16" i="578"/>
  <c r="Q38" i="578"/>
  <c r="F44" i="578"/>
  <c r="G44" i="578" s="1"/>
  <c r="J44" i="578" s="1"/>
  <c r="Q44" i="578"/>
  <c r="Q52" i="578"/>
  <c r="Q57" i="578"/>
  <c r="Q61" i="578"/>
  <c r="Q65" i="578"/>
  <c r="P70" i="578"/>
  <c r="Q70" i="578" s="1"/>
  <c r="B17" i="578"/>
  <c r="I25" i="578"/>
  <c r="I33" i="578" s="1"/>
  <c r="Q37" i="578"/>
  <c r="Q41" i="578"/>
  <c r="Q43" i="578"/>
  <c r="Q45" i="578"/>
  <c r="Q46" i="578"/>
  <c r="C49" i="578"/>
  <c r="Q51" i="578"/>
  <c r="Q56" i="578"/>
  <c r="Q60" i="578"/>
  <c r="Q64" i="578"/>
  <c r="G46" i="578"/>
  <c r="J46" i="578" s="1"/>
  <c r="H34" i="577"/>
  <c r="H33" i="577"/>
  <c r="I34" i="577"/>
  <c r="R70" i="577"/>
  <c r="E9" i="577"/>
  <c r="H11" i="577"/>
  <c r="I11" i="577" s="1"/>
  <c r="G16" i="577"/>
  <c r="Q38" i="577"/>
  <c r="G42" i="577"/>
  <c r="F44" i="577"/>
  <c r="G44" i="577" s="1"/>
  <c r="J44" i="577" s="1"/>
  <c r="Q44" i="577"/>
  <c r="Q52" i="577"/>
  <c r="Q57" i="577"/>
  <c r="Q61" i="577"/>
  <c r="Q65" i="577"/>
  <c r="P70" i="577"/>
  <c r="Q70" i="577" s="1"/>
  <c r="J46" i="577"/>
  <c r="E8" i="577"/>
  <c r="B17" i="577"/>
  <c r="C17" i="577" s="1"/>
  <c r="I25" i="577"/>
  <c r="I33" i="577" s="1"/>
  <c r="Q37" i="577"/>
  <c r="Q41" i="577"/>
  <c r="Q43" i="577"/>
  <c r="Q45" i="577"/>
  <c r="Q46" i="577"/>
  <c r="C49" i="577"/>
  <c r="Q56" i="577"/>
  <c r="Q60" i="577"/>
  <c r="Q64" i="577"/>
  <c r="G46" i="577"/>
  <c r="C48" i="576"/>
  <c r="D37" i="576"/>
  <c r="D36" i="576"/>
  <c r="G34" i="576"/>
  <c r="B16" i="576"/>
  <c r="E16" i="576"/>
  <c r="C8" i="576"/>
  <c r="B8" i="576"/>
  <c r="F49" i="579" l="1"/>
  <c r="J49" i="579"/>
  <c r="G17" i="579"/>
  <c r="C17" i="578"/>
  <c r="G49" i="578"/>
  <c r="J49" i="578" s="1"/>
  <c r="G17" i="578"/>
  <c r="F49" i="577"/>
  <c r="J42" i="577"/>
  <c r="G49" i="577"/>
  <c r="J49" i="577" s="1"/>
  <c r="E34" i="576"/>
  <c r="H34" i="576" s="1"/>
  <c r="O70" i="576"/>
  <c r="N70" i="576"/>
  <c r="M70" i="576"/>
  <c r="R69" i="576"/>
  <c r="R67" i="576"/>
  <c r="P67" i="576"/>
  <c r="Q67" i="576" s="1"/>
  <c r="R66" i="576"/>
  <c r="Q66" i="576"/>
  <c r="P66" i="576"/>
  <c r="P65" i="576"/>
  <c r="R65" i="576" s="1"/>
  <c r="P64" i="576"/>
  <c r="R64" i="576" s="1"/>
  <c r="R63" i="576"/>
  <c r="P63" i="576"/>
  <c r="Q63" i="576" s="1"/>
  <c r="R62" i="576"/>
  <c r="Q62" i="576"/>
  <c r="P62" i="576"/>
  <c r="P61" i="576"/>
  <c r="R61" i="576" s="1"/>
  <c r="P60" i="576"/>
  <c r="R60" i="576" s="1"/>
  <c r="R59" i="576"/>
  <c r="P59" i="576"/>
  <c r="Q59" i="576" s="1"/>
  <c r="R58" i="576"/>
  <c r="Q58" i="576"/>
  <c r="P58" i="576"/>
  <c r="P57" i="576"/>
  <c r="R57" i="576" s="1"/>
  <c r="P56" i="576"/>
  <c r="R56" i="576" s="1"/>
  <c r="G56" i="576"/>
  <c r="F56" i="576"/>
  <c r="E56" i="576"/>
  <c r="D56" i="576"/>
  <c r="C56" i="576"/>
  <c r="B56" i="576"/>
  <c r="R55" i="576"/>
  <c r="Q55" i="576"/>
  <c r="P55" i="576"/>
  <c r="H55" i="576"/>
  <c r="R54" i="576"/>
  <c r="Q54" i="576"/>
  <c r="P54" i="576"/>
  <c r="H54" i="576"/>
  <c r="R53" i="576"/>
  <c r="Q53" i="576"/>
  <c r="P53" i="576"/>
  <c r="P52" i="576"/>
  <c r="R52" i="576" s="1"/>
  <c r="P51" i="576"/>
  <c r="R51" i="576" s="1"/>
  <c r="R50" i="576"/>
  <c r="P50" i="576"/>
  <c r="Q50" i="576" s="1"/>
  <c r="R49" i="576"/>
  <c r="Q49" i="576"/>
  <c r="P49" i="576"/>
  <c r="B49" i="576"/>
  <c r="R48" i="576"/>
  <c r="P48" i="576"/>
  <c r="Q48" i="576" s="1"/>
  <c r="F48" i="576"/>
  <c r="G48" i="576" s="1"/>
  <c r="E48" i="576"/>
  <c r="R47" i="576"/>
  <c r="Q47" i="576"/>
  <c r="P47" i="576"/>
  <c r="F47" i="576"/>
  <c r="G47" i="576" s="1"/>
  <c r="J47" i="576" s="1"/>
  <c r="P46" i="576"/>
  <c r="R46" i="576" s="1"/>
  <c r="E46" i="576"/>
  <c r="E49" i="576" s="1"/>
  <c r="C46" i="576"/>
  <c r="F46" i="576" s="1"/>
  <c r="P45" i="576"/>
  <c r="R45" i="576" s="1"/>
  <c r="G45" i="576"/>
  <c r="F45" i="576"/>
  <c r="P44" i="576"/>
  <c r="R44" i="576" s="1"/>
  <c r="C44" i="576"/>
  <c r="P43" i="576"/>
  <c r="R43" i="576" s="1"/>
  <c r="F43" i="576"/>
  <c r="G43" i="576" s="1"/>
  <c r="J43" i="576" s="1"/>
  <c r="R42" i="576"/>
  <c r="Q42" i="576"/>
  <c r="P42" i="576"/>
  <c r="F42" i="576"/>
  <c r="G42" i="576" s="1"/>
  <c r="P41" i="576"/>
  <c r="R41" i="576" s="1"/>
  <c r="R40" i="576"/>
  <c r="P40" i="576"/>
  <c r="Q40" i="576" s="1"/>
  <c r="R39" i="576"/>
  <c r="Q39" i="576"/>
  <c r="P39" i="576"/>
  <c r="P38" i="576"/>
  <c r="R38" i="576" s="1"/>
  <c r="P37" i="576"/>
  <c r="R37" i="576" s="1"/>
  <c r="G37" i="576"/>
  <c r="G36" i="576"/>
  <c r="H35" i="576"/>
  <c r="I35" i="576" s="1"/>
  <c r="C34" i="576"/>
  <c r="G33" i="576"/>
  <c r="E33" i="576"/>
  <c r="J33" i="576" s="1"/>
  <c r="C33" i="576"/>
  <c r="B33" i="576"/>
  <c r="H30" i="576"/>
  <c r="I30" i="576" s="1"/>
  <c r="H27" i="576"/>
  <c r="I27" i="576" s="1"/>
  <c r="H25" i="576"/>
  <c r="I25" i="576" s="1"/>
  <c r="L17" i="576"/>
  <c r="G16" i="576"/>
  <c r="C16" i="576"/>
  <c r="B17" i="576"/>
  <c r="G15" i="576"/>
  <c r="G18" i="576" s="1"/>
  <c r="C15" i="576"/>
  <c r="C18" i="576" s="1"/>
  <c r="K14" i="576"/>
  <c r="L11" i="576"/>
  <c r="K11" i="576"/>
  <c r="N10" i="576"/>
  <c r="N9" i="576"/>
  <c r="N11" i="576" s="1"/>
  <c r="M11" i="576" s="1"/>
  <c r="K8" i="576"/>
  <c r="E8" i="576"/>
  <c r="B9" i="576"/>
  <c r="K7" i="576"/>
  <c r="J7" i="576"/>
  <c r="E7" i="576"/>
  <c r="H56" i="576" l="1"/>
  <c r="I34" i="576"/>
  <c r="I33" i="576"/>
  <c r="R70" i="576"/>
  <c r="J42" i="576"/>
  <c r="H33" i="576"/>
  <c r="J46" i="576"/>
  <c r="E17" i="576"/>
  <c r="G17" i="576" s="1"/>
  <c r="Q38" i="576"/>
  <c r="F44" i="576"/>
  <c r="G44" i="576" s="1"/>
  <c r="J44" i="576" s="1"/>
  <c r="Q44" i="576"/>
  <c r="Q52" i="576"/>
  <c r="Q57" i="576"/>
  <c r="Q61" i="576"/>
  <c r="Q65" i="576"/>
  <c r="P70" i="576"/>
  <c r="Q70" i="576" s="1"/>
  <c r="Q37" i="576"/>
  <c r="Q41" i="576"/>
  <c r="Q43" i="576"/>
  <c r="Q45" i="576"/>
  <c r="Q46" i="576"/>
  <c r="C49" i="576"/>
  <c r="Q51" i="576"/>
  <c r="Q56" i="576"/>
  <c r="Q60" i="576"/>
  <c r="Q64" i="576"/>
  <c r="C9" i="576"/>
  <c r="E9" i="576" s="1"/>
  <c r="H11" i="576"/>
  <c r="I11" i="576" s="1"/>
  <c r="G46" i="576"/>
  <c r="C48" i="575"/>
  <c r="F48" i="575" s="1"/>
  <c r="E16" i="575"/>
  <c r="B16" i="575"/>
  <c r="C8" i="575"/>
  <c r="B8" i="575"/>
  <c r="B9" i="575" s="1"/>
  <c r="O70" i="575"/>
  <c r="N70" i="575"/>
  <c r="M70" i="575"/>
  <c r="R69" i="575"/>
  <c r="P67" i="575"/>
  <c r="R67" i="575" s="1"/>
  <c r="P66" i="575"/>
  <c r="R66" i="575" s="1"/>
  <c r="R65" i="575"/>
  <c r="P65" i="575"/>
  <c r="Q65" i="575" s="1"/>
  <c r="R64" i="575"/>
  <c r="Q64" i="575"/>
  <c r="P64" i="575"/>
  <c r="P63" i="575"/>
  <c r="R63" i="575" s="1"/>
  <c r="P62" i="575"/>
  <c r="R62" i="575" s="1"/>
  <c r="R61" i="575"/>
  <c r="P61" i="575"/>
  <c r="Q61" i="575" s="1"/>
  <c r="R60" i="575"/>
  <c r="Q60" i="575"/>
  <c r="P60" i="575"/>
  <c r="P59" i="575"/>
  <c r="R59" i="575" s="1"/>
  <c r="P58" i="575"/>
  <c r="R58" i="575" s="1"/>
  <c r="R57" i="575"/>
  <c r="P57" i="575"/>
  <c r="Q57" i="575" s="1"/>
  <c r="R56" i="575"/>
  <c r="Q56" i="575"/>
  <c r="P56" i="575"/>
  <c r="G56" i="575"/>
  <c r="F56" i="575"/>
  <c r="E56" i="575"/>
  <c r="D56" i="575"/>
  <c r="C56" i="575"/>
  <c r="B56" i="575"/>
  <c r="H56" i="575" s="1"/>
  <c r="P55" i="575"/>
  <c r="R55" i="575" s="1"/>
  <c r="H55" i="575"/>
  <c r="P54" i="575"/>
  <c r="R54" i="575" s="1"/>
  <c r="H54" i="575"/>
  <c r="P53" i="575"/>
  <c r="R53" i="575" s="1"/>
  <c r="R52" i="575"/>
  <c r="P52" i="575"/>
  <c r="Q52" i="575" s="1"/>
  <c r="R51" i="575"/>
  <c r="Q51" i="575"/>
  <c r="P51" i="575"/>
  <c r="P50" i="575"/>
  <c r="R50" i="575" s="1"/>
  <c r="P49" i="575"/>
  <c r="R49" i="575" s="1"/>
  <c r="B49" i="575"/>
  <c r="P48" i="575"/>
  <c r="R48" i="575" s="1"/>
  <c r="E48" i="575"/>
  <c r="P47" i="575"/>
  <c r="R47" i="575" s="1"/>
  <c r="F47" i="575"/>
  <c r="G47" i="575" s="1"/>
  <c r="J47" i="575" s="1"/>
  <c r="R46" i="575"/>
  <c r="Q46" i="575"/>
  <c r="P46" i="575"/>
  <c r="F46" i="575"/>
  <c r="G46" i="575" s="1"/>
  <c r="E46" i="575"/>
  <c r="C46" i="575"/>
  <c r="J46" i="575" s="1"/>
  <c r="R45" i="575"/>
  <c r="Q45" i="575"/>
  <c r="P45" i="575"/>
  <c r="F45" i="575"/>
  <c r="G45" i="575" s="1"/>
  <c r="R44" i="575"/>
  <c r="P44" i="575"/>
  <c r="Q44" i="575" s="1"/>
  <c r="C44" i="575"/>
  <c r="F44" i="575" s="1"/>
  <c r="G44" i="575" s="1"/>
  <c r="J44" i="575" s="1"/>
  <c r="R43" i="575"/>
  <c r="Q43" i="575"/>
  <c r="P43" i="575"/>
  <c r="F43" i="575"/>
  <c r="G43" i="575" s="1"/>
  <c r="J43" i="575" s="1"/>
  <c r="P42" i="575"/>
  <c r="R42" i="575" s="1"/>
  <c r="F42" i="575"/>
  <c r="G42" i="575" s="1"/>
  <c r="R41" i="575"/>
  <c r="Q41" i="575"/>
  <c r="P41" i="575"/>
  <c r="P40" i="575"/>
  <c r="R40" i="575" s="1"/>
  <c r="P39" i="575"/>
  <c r="R39" i="575" s="1"/>
  <c r="R38" i="575"/>
  <c r="P38" i="575"/>
  <c r="Q38" i="575" s="1"/>
  <c r="R37" i="575"/>
  <c r="Q37" i="575"/>
  <c r="P37" i="575"/>
  <c r="P70" i="575" s="1"/>
  <c r="Q70" i="575" s="1"/>
  <c r="D37" i="575"/>
  <c r="G37" i="575" s="1"/>
  <c r="G36" i="575"/>
  <c r="D36" i="575"/>
  <c r="H35" i="575"/>
  <c r="I35" i="575" s="1"/>
  <c r="G34" i="575"/>
  <c r="C34" i="575"/>
  <c r="H34" i="575" s="1"/>
  <c r="I34" i="575" s="1"/>
  <c r="G33" i="575"/>
  <c r="E33" i="575"/>
  <c r="J33" i="575" s="1"/>
  <c r="C33" i="575"/>
  <c r="B33" i="575"/>
  <c r="H30" i="575"/>
  <c r="I30" i="575" s="1"/>
  <c r="H27" i="575"/>
  <c r="I27" i="575" s="1"/>
  <c r="H25" i="575"/>
  <c r="L17" i="575"/>
  <c r="E17" i="575"/>
  <c r="C16" i="575"/>
  <c r="G15" i="575"/>
  <c r="G18" i="575" s="1"/>
  <c r="C15" i="575"/>
  <c r="C18" i="575" s="1"/>
  <c r="K14" i="575"/>
  <c r="N11" i="575"/>
  <c r="M11" i="575"/>
  <c r="L11" i="575"/>
  <c r="K11" i="575"/>
  <c r="N10" i="575"/>
  <c r="N9" i="575"/>
  <c r="K8" i="575"/>
  <c r="E8" i="575"/>
  <c r="K7" i="575"/>
  <c r="J7" i="575"/>
  <c r="E7" i="575"/>
  <c r="C48" i="574"/>
  <c r="F48" i="574" s="1"/>
  <c r="G48" i="574" s="1"/>
  <c r="D37" i="574"/>
  <c r="D36" i="574"/>
  <c r="G36" i="574" s="1"/>
  <c r="D37" i="573"/>
  <c r="D36" i="573"/>
  <c r="G36" i="573" s="1"/>
  <c r="G34" i="574"/>
  <c r="B16" i="574"/>
  <c r="E16" i="574"/>
  <c r="C8" i="574"/>
  <c r="E8" i="574" s="1"/>
  <c r="B8" i="574"/>
  <c r="O70" i="574"/>
  <c r="N70" i="574"/>
  <c r="M70" i="574"/>
  <c r="R69" i="574"/>
  <c r="R67" i="574"/>
  <c r="P67" i="574"/>
  <c r="Q67" i="574" s="1"/>
  <c r="R66" i="574"/>
  <c r="Q66" i="574"/>
  <c r="P66" i="574"/>
  <c r="P65" i="574"/>
  <c r="R65" i="574" s="1"/>
  <c r="P64" i="574"/>
  <c r="R64" i="574" s="1"/>
  <c r="R63" i="574"/>
  <c r="P63" i="574"/>
  <c r="Q63" i="574" s="1"/>
  <c r="R62" i="574"/>
  <c r="Q62" i="574"/>
  <c r="P62" i="574"/>
  <c r="P61" i="574"/>
  <c r="R61" i="574" s="1"/>
  <c r="P60" i="574"/>
  <c r="R60" i="574" s="1"/>
  <c r="R59" i="574"/>
  <c r="P59" i="574"/>
  <c r="Q59" i="574" s="1"/>
  <c r="R58" i="574"/>
  <c r="Q58" i="574"/>
  <c r="P58" i="574"/>
  <c r="P57" i="574"/>
  <c r="R57" i="574" s="1"/>
  <c r="P56" i="574"/>
  <c r="R56" i="574" s="1"/>
  <c r="G56" i="574"/>
  <c r="F56" i="574"/>
  <c r="E56" i="574"/>
  <c r="D56" i="574"/>
  <c r="H56" i="574" s="1"/>
  <c r="C56" i="574"/>
  <c r="B56" i="574"/>
  <c r="R55" i="574"/>
  <c r="Q55" i="574"/>
  <c r="P55" i="574"/>
  <c r="H55" i="574"/>
  <c r="R54" i="574"/>
  <c r="Q54" i="574"/>
  <c r="P54" i="574"/>
  <c r="H54" i="574"/>
  <c r="R53" i="574"/>
  <c r="Q53" i="574"/>
  <c r="P53" i="574"/>
  <c r="P52" i="574"/>
  <c r="R52" i="574" s="1"/>
  <c r="P51" i="574"/>
  <c r="R51" i="574" s="1"/>
  <c r="R50" i="574"/>
  <c r="P50" i="574"/>
  <c r="Q50" i="574" s="1"/>
  <c r="R49" i="574"/>
  <c r="Q49" i="574"/>
  <c r="P49" i="574"/>
  <c r="B49" i="574"/>
  <c r="R48" i="574"/>
  <c r="P48" i="574"/>
  <c r="Q48" i="574" s="1"/>
  <c r="E48" i="574"/>
  <c r="R47" i="574"/>
  <c r="Q47" i="574"/>
  <c r="P47" i="574"/>
  <c r="F47" i="574"/>
  <c r="G47" i="574" s="1"/>
  <c r="J47" i="574" s="1"/>
  <c r="P46" i="574"/>
  <c r="R46" i="574" s="1"/>
  <c r="E46" i="574"/>
  <c r="E49" i="574" s="1"/>
  <c r="C46" i="574"/>
  <c r="F46" i="574" s="1"/>
  <c r="P45" i="574"/>
  <c r="R45" i="574" s="1"/>
  <c r="G45" i="574"/>
  <c r="F45" i="574"/>
  <c r="P44" i="574"/>
  <c r="R44" i="574" s="1"/>
  <c r="C44" i="574"/>
  <c r="P43" i="574"/>
  <c r="R43" i="574" s="1"/>
  <c r="F43" i="574"/>
  <c r="G43" i="574" s="1"/>
  <c r="J43" i="574" s="1"/>
  <c r="R42" i="574"/>
  <c r="Q42" i="574"/>
  <c r="P42" i="574"/>
  <c r="F42" i="574"/>
  <c r="P41" i="574"/>
  <c r="R41" i="574" s="1"/>
  <c r="R40" i="574"/>
  <c r="P40" i="574"/>
  <c r="Q40" i="574" s="1"/>
  <c r="R39" i="574"/>
  <c r="Q39" i="574"/>
  <c r="P39" i="574"/>
  <c r="P38" i="574"/>
  <c r="R38" i="574" s="1"/>
  <c r="P37" i="574"/>
  <c r="R37" i="574" s="1"/>
  <c r="G37" i="574"/>
  <c r="H35" i="574"/>
  <c r="I35" i="574" s="1"/>
  <c r="C34" i="574"/>
  <c r="H34" i="574" s="1"/>
  <c r="G33" i="574"/>
  <c r="E33" i="574"/>
  <c r="J33" i="574" s="1"/>
  <c r="C33" i="574"/>
  <c r="B33" i="574"/>
  <c r="H30" i="574"/>
  <c r="I30" i="574" s="1"/>
  <c r="H27" i="574"/>
  <c r="I27" i="574" s="1"/>
  <c r="H25" i="574"/>
  <c r="L17" i="574"/>
  <c r="E17" i="574"/>
  <c r="G15" i="574"/>
  <c r="G18" i="574" s="1"/>
  <c r="C15" i="574"/>
  <c r="C18" i="574" s="1"/>
  <c r="K14" i="574"/>
  <c r="L11" i="574"/>
  <c r="K11" i="574"/>
  <c r="N10" i="574"/>
  <c r="N9" i="574"/>
  <c r="N11" i="574" s="1"/>
  <c r="M11" i="574" s="1"/>
  <c r="K8" i="574"/>
  <c r="B9" i="574"/>
  <c r="K7" i="574"/>
  <c r="J7" i="574"/>
  <c r="E7" i="574"/>
  <c r="C48" i="573"/>
  <c r="G34" i="573"/>
  <c r="E16" i="573"/>
  <c r="G16" i="573" s="1"/>
  <c r="B16" i="573"/>
  <c r="C8" i="573"/>
  <c r="B8" i="573"/>
  <c r="E34" i="573"/>
  <c r="O70" i="573"/>
  <c r="N70" i="573"/>
  <c r="M70" i="573"/>
  <c r="R69" i="573"/>
  <c r="R67" i="573"/>
  <c r="Q67" i="573"/>
  <c r="P67" i="573"/>
  <c r="Q66" i="573"/>
  <c r="P66" i="573"/>
  <c r="R66" i="573" s="1"/>
  <c r="P65" i="573"/>
  <c r="R65" i="573" s="1"/>
  <c r="R64" i="573"/>
  <c r="P64" i="573"/>
  <c r="Q64" i="573" s="1"/>
  <c r="R63" i="573"/>
  <c r="Q63" i="573"/>
  <c r="P63" i="573"/>
  <c r="Q62" i="573"/>
  <c r="P62" i="573"/>
  <c r="R62" i="573" s="1"/>
  <c r="P61" i="573"/>
  <c r="R61" i="573" s="1"/>
  <c r="R60" i="573"/>
  <c r="P60" i="573"/>
  <c r="Q60" i="573" s="1"/>
  <c r="R59" i="573"/>
  <c r="Q59" i="573"/>
  <c r="P59" i="573"/>
  <c r="Q58" i="573"/>
  <c r="P58" i="573"/>
  <c r="R58" i="573" s="1"/>
  <c r="P57" i="573"/>
  <c r="R57" i="573" s="1"/>
  <c r="R56" i="573"/>
  <c r="P56" i="573"/>
  <c r="Q56" i="573" s="1"/>
  <c r="G56" i="573"/>
  <c r="F56" i="573"/>
  <c r="E56" i="573"/>
  <c r="D56" i="573"/>
  <c r="C56" i="573"/>
  <c r="B56" i="573"/>
  <c r="Q55" i="573"/>
  <c r="P55" i="573"/>
  <c r="R55" i="573" s="1"/>
  <c r="H55" i="573"/>
  <c r="Q54" i="573"/>
  <c r="P54" i="573"/>
  <c r="R54" i="573" s="1"/>
  <c r="H54" i="573"/>
  <c r="Q53" i="573"/>
  <c r="P53" i="573"/>
  <c r="R53" i="573" s="1"/>
  <c r="P52" i="573"/>
  <c r="R52" i="573" s="1"/>
  <c r="R51" i="573"/>
  <c r="P51" i="573"/>
  <c r="Q51" i="573" s="1"/>
  <c r="R50" i="573"/>
  <c r="Q50" i="573"/>
  <c r="P50" i="573"/>
  <c r="Q49" i="573"/>
  <c r="P49" i="573"/>
  <c r="R49" i="573" s="1"/>
  <c r="B49" i="573"/>
  <c r="R48" i="573"/>
  <c r="Q48" i="573"/>
  <c r="P48" i="573"/>
  <c r="F48" i="573"/>
  <c r="E48" i="573"/>
  <c r="E49" i="573" s="1"/>
  <c r="Q47" i="573"/>
  <c r="P47" i="573"/>
  <c r="R47" i="573" s="1"/>
  <c r="F47" i="573"/>
  <c r="G47" i="573" s="1"/>
  <c r="J47" i="573" s="1"/>
  <c r="R46" i="573"/>
  <c r="P46" i="573"/>
  <c r="Q46" i="573" s="1"/>
  <c r="E46" i="573"/>
  <c r="C46" i="573"/>
  <c r="F46" i="573" s="1"/>
  <c r="G46" i="573" s="1"/>
  <c r="R45" i="573"/>
  <c r="P45" i="573"/>
  <c r="Q45" i="573" s="1"/>
  <c r="G45" i="573"/>
  <c r="F45" i="573"/>
  <c r="P44" i="573"/>
  <c r="R44" i="573" s="1"/>
  <c r="C44" i="573"/>
  <c r="R43" i="573"/>
  <c r="P43" i="573"/>
  <c r="Q43" i="573" s="1"/>
  <c r="J43" i="573"/>
  <c r="G43" i="573"/>
  <c r="F43" i="573"/>
  <c r="Q42" i="573"/>
  <c r="P42" i="573"/>
  <c r="R42" i="573" s="1"/>
  <c r="F42" i="573"/>
  <c r="R41" i="573"/>
  <c r="P41" i="573"/>
  <c r="Q41" i="573" s="1"/>
  <c r="R40" i="573"/>
  <c r="Q40" i="573"/>
  <c r="P40" i="573"/>
  <c r="Q39" i="573"/>
  <c r="P39" i="573"/>
  <c r="R39" i="573" s="1"/>
  <c r="P38" i="573"/>
  <c r="R38" i="573" s="1"/>
  <c r="R37" i="573"/>
  <c r="P37" i="573"/>
  <c r="Q37" i="573" s="1"/>
  <c r="G37" i="573"/>
  <c r="H35" i="573"/>
  <c r="I35" i="573" s="1"/>
  <c r="C34" i="573"/>
  <c r="G33" i="573"/>
  <c r="E33" i="573"/>
  <c r="J33" i="573" s="1"/>
  <c r="C33" i="573"/>
  <c r="B33" i="573"/>
  <c r="H30" i="573"/>
  <c r="I30" i="573" s="1"/>
  <c r="H27" i="573"/>
  <c r="H25" i="573"/>
  <c r="I25" i="573" s="1"/>
  <c r="L17" i="573"/>
  <c r="E17" i="573"/>
  <c r="C16" i="573"/>
  <c r="B17" i="573"/>
  <c r="K14" i="573"/>
  <c r="L11" i="573"/>
  <c r="K11" i="573"/>
  <c r="N10" i="573"/>
  <c r="N9" i="573"/>
  <c r="N11" i="573" s="1"/>
  <c r="M11" i="573" s="1"/>
  <c r="K8" i="573"/>
  <c r="E8" i="573"/>
  <c r="B9" i="573"/>
  <c r="K7" i="573"/>
  <c r="J7" i="573"/>
  <c r="G15" i="573"/>
  <c r="G18" i="573" s="1"/>
  <c r="C17" i="576" l="1"/>
  <c r="G49" i="576"/>
  <c r="J49" i="576" s="1"/>
  <c r="F49" i="576"/>
  <c r="R70" i="575"/>
  <c r="H33" i="575"/>
  <c r="G48" i="575"/>
  <c r="G49" i="575"/>
  <c r="J42" i="575"/>
  <c r="C9" i="575"/>
  <c r="E9" i="575" s="1"/>
  <c r="H11" i="575"/>
  <c r="I11" i="575" s="1"/>
  <c r="G16" i="575"/>
  <c r="C49" i="575"/>
  <c r="J49" i="575" s="1"/>
  <c r="B17" i="575"/>
  <c r="C17" i="575" s="1"/>
  <c r="I25" i="575"/>
  <c r="I33" i="575" s="1"/>
  <c r="Q40" i="575"/>
  <c r="Q48" i="575"/>
  <c r="E49" i="575"/>
  <c r="Q50" i="575"/>
  <c r="Q59" i="575"/>
  <c r="Q63" i="575"/>
  <c r="Q67" i="575"/>
  <c r="Q39" i="575"/>
  <c r="Q42" i="575"/>
  <c r="Q47" i="575"/>
  <c r="F49" i="575"/>
  <c r="Q49" i="575"/>
  <c r="Q53" i="575"/>
  <c r="Q54" i="575"/>
  <c r="Q55" i="575"/>
  <c r="Q58" i="575"/>
  <c r="Q62" i="575"/>
  <c r="Q66" i="575"/>
  <c r="C16" i="574"/>
  <c r="I34" i="574"/>
  <c r="H33" i="574"/>
  <c r="R70" i="574"/>
  <c r="C9" i="574"/>
  <c r="E9" i="574" s="1"/>
  <c r="H11" i="574"/>
  <c r="I11" i="574" s="1"/>
  <c r="G16" i="574"/>
  <c r="Q38" i="574"/>
  <c r="G42" i="574"/>
  <c r="F44" i="574"/>
  <c r="G44" i="574" s="1"/>
  <c r="J44" i="574" s="1"/>
  <c r="Q44" i="574"/>
  <c r="Q52" i="574"/>
  <c r="Q57" i="574"/>
  <c r="Q61" i="574"/>
  <c r="Q65" i="574"/>
  <c r="P70" i="574"/>
  <c r="Q70" i="574" s="1"/>
  <c r="B17" i="574"/>
  <c r="C17" i="574" s="1"/>
  <c r="I25" i="574"/>
  <c r="I33" i="574" s="1"/>
  <c r="Q37" i="574"/>
  <c r="Q41" i="574"/>
  <c r="Q43" i="574"/>
  <c r="Q45" i="574"/>
  <c r="Q46" i="574"/>
  <c r="C49" i="574"/>
  <c r="Q51" i="574"/>
  <c r="Q56" i="574"/>
  <c r="Q60" i="574"/>
  <c r="Q64" i="574"/>
  <c r="G46" i="574"/>
  <c r="J46" i="574" s="1"/>
  <c r="H56" i="573"/>
  <c r="H34" i="573"/>
  <c r="I34" i="573" s="1"/>
  <c r="H33" i="573"/>
  <c r="R70" i="573"/>
  <c r="F49" i="573"/>
  <c r="J44" i="573"/>
  <c r="J46" i="573"/>
  <c r="C15" i="573"/>
  <c r="C18" i="573" s="1"/>
  <c r="I27" i="573"/>
  <c r="I33" i="573" s="1"/>
  <c r="Q38" i="573"/>
  <c r="G42" i="573"/>
  <c r="F44" i="573"/>
  <c r="G44" i="573" s="1"/>
  <c r="Q44" i="573"/>
  <c r="G48" i="573"/>
  <c r="Q52" i="573"/>
  <c r="Q57" i="573"/>
  <c r="Q61" i="573"/>
  <c r="Q65" i="573"/>
  <c r="P70" i="573"/>
  <c r="Q70" i="573" s="1"/>
  <c r="E7" i="573"/>
  <c r="C9" i="573"/>
  <c r="E9" i="573" s="1"/>
  <c r="H11" i="573"/>
  <c r="I11" i="573" s="1"/>
  <c r="C49" i="573"/>
  <c r="D37" i="572"/>
  <c r="D36" i="572"/>
  <c r="D37" i="571"/>
  <c r="D36" i="571"/>
  <c r="G17" i="575" l="1"/>
  <c r="G17" i="574"/>
  <c r="J42" i="574"/>
  <c r="G49" i="574"/>
  <c r="J49" i="574" s="1"/>
  <c r="F49" i="574"/>
  <c r="J42" i="573"/>
  <c r="G49" i="573"/>
  <c r="J49" i="573" s="1"/>
  <c r="G17" i="573"/>
  <c r="C17" i="573"/>
  <c r="C48" i="572"/>
  <c r="C9" i="572"/>
  <c r="G17" i="572" s="1"/>
  <c r="E16" i="572"/>
  <c r="E17" i="572"/>
  <c r="B17" i="572"/>
  <c r="B9" i="572"/>
  <c r="B16" i="572"/>
  <c r="C16" i="572" s="1"/>
  <c r="H11" i="572"/>
  <c r="I11" i="572" s="1"/>
  <c r="C8" i="572"/>
  <c r="B8" i="572"/>
  <c r="C7" i="572"/>
  <c r="C15" i="572"/>
  <c r="C18" i="572" s="1"/>
  <c r="O70" i="572"/>
  <c r="N70" i="572"/>
  <c r="M70" i="572"/>
  <c r="R69" i="572"/>
  <c r="R67" i="572"/>
  <c r="P67" i="572"/>
  <c r="Q67" i="572" s="1"/>
  <c r="R66" i="572"/>
  <c r="Q66" i="572"/>
  <c r="P66" i="572"/>
  <c r="P65" i="572"/>
  <c r="R65" i="572" s="1"/>
  <c r="P64" i="572"/>
  <c r="R64" i="572" s="1"/>
  <c r="R63" i="572"/>
  <c r="P63" i="572"/>
  <c r="Q63" i="572" s="1"/>
  <c r="R62" i="572"/>
  <c r="Q62" i="572"/>
  <c r="P62" i="572"/>
  <c r="P61" i="572"/>
  <c r="R61" i="572" s="1"/>
  <c r="P60" i="572"/>
  <c r="R60" i="572" s="1"/>
  <c r="R59" i="572"/>
  <c r="P59" i="572"/>
  <c r="Q59" i="572" s="1"/>
  <c r="R58" i="572"/>
  <c r="Q58" i="572"/>
  <c r="P58" i="572"/>
  <c r="P57" i="572"/>
  <c r="R57" i="572" s="1"/>
  <c r="P56" i="572"/>
  <c r="R56" i="572" s="1"/>
  <c r="G56" i="572"/>
  <c r="F56" i="572"/>
  <c r="E56" i="572"/>
  <c r="D56" i="572"/>
  <c r="C56" i="572"/>
  <c r="B56" i="572"/>
  <c r="R55" i="572"/>
  <c r="Q55" i="572"/>
  <c r="P55" i="572"/>
  <c r="H55" i="572"/>
  <c r="R54" i="572"/>
  <c r="Q54" i="572"/>
  <c r="P54" i="572"/>
  <c r="H54" i="572"/>
  <c r="R53" i="572"/>
  <c r="Q53" i="572"/>
  <c r="P53" i="572"/>
  <c r="P52" i="572"/>
  <c r="Q52" i="572" s="1"/>
  <c r="P51" i="572"/>
  <c r="R51" i="572" s="1"/>
  <c r="R50" i="572"/>
  <c r="P50" i="572"/>
  <c r="Q50" i="572" s="1"/>
  <c r="R49" i="572"/>
  <c r="Q49" i="572"/>
  <c r="P49" i="572"/>
  <c r="B49" i="572"/>
  <c r="R48" i="572"/>
  <c r="P48" i="572"/>
  <c r="Q48" i="572" s="1"/>
  <c r="F48" i="572"/>
  <c r="G48" i="572" s="1"/>
  <c r="E48" i="572"/>
  <c r="R47" i="572"/>
  <c r="Q47" i="572"/>
  <c r="P47" i="572"/>
  <c r="F47" i="572"/>
  <c r="G47" i="572" s="1"/>
  <c r="J47" i="572" s="1"/>
  <c r="P46" i="572"/>
  <c r="R46" i="572" s="1"/>
  <c r="E46" i="572"/>
  <c r="E49" i="572" s="1"/>
  <c r="C46" i="572"/>
  <c r="P45" i="572"/>
  <c r="R45" i="572" s="1"/>
  <c r="G45" i="572"/>
  <c r="F45" i="572"/>
  <c r="P44" i="572"/>
  <c r="R44" i="572" s="1"/>
  <c r="C44" i="572"/>
  <c r="P43" i="572"/>
  <c r="R43" i="572" s="1"/>
  <c r="F43" i="572"/>
  <c r="G43" i="572" s="1"/>
  <c r="J43" i="572" s="1"/>
  <c r="R42" i="572"/>
  <c r="Q42" i="572"/>
  <c r="P42" i="572"/>
  <c r="F42" i="572"/>
  <c r="P41" i="572"/>
  <c r="R41" i="572" s="1"/>
  <c r="R40" i="572"/>
  <c r="P40" i="572"/>
  <c r="Q40" i="572" s="1"/>
  <c r="P39" i="572"/>
  <c r="R39" i="572" s="1"/>
  <c r="P38" i="572"/>
  <c r="Q38" i="572" s="1"/>
  <c r="P37" i="572"/>
  <c r="R37" i="572" s="1"/>
  <c r="G37" i="572"/>
  <c r="G36" i="572"/>
  <c r="H35" i="572"/>
  <c r="I35" i="572" s="1"/>
  <c r="H34" i="572"/>
  <c r="G34" i="572"/>
  <c r="I34" i="572" s="1"/>
  <c r="C34" i="572"/>
  <c r="G33" i="572"/>
  <c r="E33" i="572"/>
  <c r="J33" i="572" s="1"/>
  <c r="C33" i="572"/>
  <c r="B33" i="572"/>
  <c r="H30" i="572"/>
  <c r="I30" i="572" s="1"/>
  <c r="H27" i="572"/>
  <c r="I27" i="572" s="1"/>
  <c r="H25" i="572"/>
  <c r="L17" i="572"/>
  <c r="G16" i="572"/>
  <c r="G15" i="572"/>
  <c r="G18" i="572" s="1"/>
  <c r="K14" i="572"/>
  <c r="N11" i="572"/>
  <c r="M11" i="572" s="1"/>
  <c r="L11" i="572"/>
  <c r="K11" i="572"/>
  <c r="N10" i="572"/>
  <c r="N9" i="572"/>
  <c r="E9" i="572"/>
  <c r="K8" i="572"/>
  <c r="E8" i="572"/>
  <c r="K7" i="572"/>
  <c r="J7" i="572"/>
  <c r="E7" i="572"/>
  <c r="G34" i="571"/>
  <c r="E34" i="571"/>
  <c r="O70" i="571"/>
  <c r="N70" i="571"/>
  <c r="M70" i="571"/>
  <c r="R69" i="571"/>
  <c r="R67" i="571"/>
  <c r="P67" i="571"/>
  <c r="Q67" i="571" s="1"/>
  <c r="R66" i="571"/>
  <c r="Q66" i="571"/>
  <c r="P66" i="571"/>
  <c r="P65" i="571"/>
  <c r="R65" i="571" s="1"/>
  <c r="Q64" i="571"/>
  <c r="P64" i="571"/>
  <c r="R64" i="571" s="1"/>
  <c r="R63" i="571"/>
  <c r="P63" i="571"/>
  <c r="Q63" i="571" s="1"/>
  <c r="R62" i="571"/>
  <c r="Q62" i="571"/>
  <c r="P62" i="571"/>
  <c r="P61" i="571"/>
  <c r="R61" i="571" s="1"/>
  <c r="Q60" i="571"/>
  <c r="P60" i="571"/>
  <c r="R60" i="571" s="1"/>
  <c r="R59" i="571"/>
  <c r="P59" i="571"/>
  <c r="Q59" i="571" s="1"/>
  <c r="R58" i="571"/>
  <c r="Q58" i="571"/>
  <c r="P58" i="571"/>
  <c r="P57" i="571"/>
  <c r="R57" i="571" s="1"/>
  <c r="Q56" i="571"/>
  <c r="P56" i="571"/>
  <c r="R56" i="571" s="1"/>
  <c r="G56" i="571"/>
  <c r="F56" i="571"/>
  <c r="E56" i="571"/>
  <c r="D56" i="571"/>
  <c r="C56" i="571"/>
  <c r="B56" i="571"/>
  <c r="R55" i="571"/>
  <c r="Q55" i="571"/>
  <c r="P55" i="571"/>
  <c r="H55" i="571"/>
  <c r="R54" i="571"/>
  <c r="Q54" i="571"/>
  <c r="P54" i="571"/>
  <c r="H54" i="571"/>
  <c r="R53" i="571"/>
  <c r="Q53" i="571"/>
  <c r="P53" i="571"/>
  <c r="P52" i="571"/>
  <c r="R52" i="571" s="1"/>
  <c r="Q51" i="571"/>
  <c r="P51" i="571"/>
  <c r="R51" i="571" s="1"/>
  <c r="R50" i="571"/>
  <c r="P50" i="571"/>
  <c r="Q50" i="571" s="1"/>
  <c r="R49" i="571"/>
  <c r="Q49" i="571"/>
  <c r="P49" i="571"/>
  <c r="B49" i="571"/>
  <c r="R48" i="571"/>
  <c r="P48" i="571"/>
  <c r="Q48" i="571" s="1"/>
  <c r="F48" i="571"/>
  <c r="G48" i="571" s="1"/>
  <c r="E48" i="571"/>
  <c r="C48" i="571"/>
  <c r="R47" i="571"/>
  <c r="Q47" i="571"/>
  <c r="P47" i="571"/>
  <c r="F47" i="571"/>
  <c r="G47" i="571" s="1"/>
  <c r="J47" i="571" s="1"/>
  <c r="P46" i="571"/>
  <c r="R46" i="571" s="1"/>
  <c r="E46" i="571"/>
  <c r="E49" i="571" s="1"/>
  <c r="C46" i="571"/>
  <c r="P45" i="571"/>
  <c r="R45" i="571" s="1"/>
  <c r="G45" i="571"/>
  <c r="F45" i="571"/>
  <c r="P44" i="571"/>
  <c r="R44" i="571" s="1"/>
  <c r="C44" i="571"/>
  <c r="P43" i="571"/>
  <c r="R43" i="571" s="1"/>
  <c r="F43" i="571"/>
  <c r="G43" i="571" s="1"/>
  <c r="J43" i="571" s="1"/>
  <c r="R42" i="571"/>
  <c r="Q42" i="571"/>
  <c r="P42" i="571"/>
  <c r="F42" i="571"/>
  <c r="G42" i="571" s="1"/>
  <c r="P41" i="571"/>
  <c r="R41" i="571" s="1"/>
  <c r="R40" i="571"/>
  <c r="P40" i="571"/>
  <c r="Q40" i="571" s="1"/>
  <c r="R39" i="571"/>
  <c r="Q39" i="571"/>
  <c r="P39" i="571"/>
  <c r="P38" i="571"/>
  <c r="R38" i="571" s="1"/>
  <c r="P37" i="571"/>
  <c r="R37" i="571" s="1"/>
  <c r="G37" i="571"/>
  <c r="G36" i="571"/>
  <c r="H35" i="571"/>
  <c r="I35" i="571" s="1"/>
  <c r="C34" i="571"/>
  <c r="G33" i="571"/>
  <c r="E33" i="571"/>
  <c r="J33" i="571" s="1"/>
  <c r="C33" i="571"/>
  <c r="B33" i="571"/>
  <c r="H30" i="571"/>
  <c r="I30" i="571" s="1"/>
  <c r="H27" i="571"/>
  <c r="I27" i="571" s="1"/>
  <c r="H25" i="571"/>
  <c r="G18" i="571"/>
  <c r="L17" i="571"/>
  <c r="G17" i="571"/>
  <c r="C17" i="571"/>
  <c r="E16" i="571"/>
  <c r="B16" i="571"/>
  <c r="C16" i="571" s="1"/>
  <c r="G15" i="571"/>
  <c r="C15" i="571"/>
  <c r="C18" i="571" s="1"/>
  <c r="K14" i="571"/>
  <c r="N11" i="571"/>
  <c r="M11" i="571" s="1"/>
  <c r="L11" i="571"/>
  <c r="K11" i="571"/>
  <c r="I11" i="571"/>
  <c r="N10" i="571"/>
  <c r="N9" i="571"/>
  <c r="E9" i="571"/>
  <c r="K8" i="571"/>
  <c r="C8" i="571"/>
  <c r="G16" i="571" s="1"/>
  <c r="B8" i="571"/>
  <c r="K7" i="571"/>
  <c r="J7" i="571"/>
  <c r="E7" i="571"/>
  <c r="H56" i="572" l="1"/>
  <c r="Q39" i="572"/>
  <c r="C17" i="572"/>
  <c r="H33" i="572"/>
  <c r="G42" i="572"/>
  <c r="Q44" i="572"/>
  <c r="Q65" i="572"/>
  <c r="P70" i="572"/>
  <c r="Q70" i="572" s="1"/>
  <c r="F44" i="572"/>
  <c r="G44" i="572" s="1"/>
  <c r="J44" i="572" s="1"/>
  <c r="Q57" i="572"/>
  <c r="Q61" i="572"/>
  <c r="I25" i="572"/>
  <c r="I33" i="572" s="1"/>
  <c r="Q37" i="572"/>
  <c r="R38" i="572"/>
  <c r="R70" i="572" s="1"/>
  <c r="Q41" i="572"/>
  <c r="Q43" i="572"/>
  <c r="Q45" i="572"/>
  <c r="F46" i="572"/>
  <c r="Q46" i="572"/>
  <c r="C49" i="572"/>
  <c r="Q51" i="572"/>
  <c r="R52" i="572"/>
  <c r="Q56" i="572"/>
  <c r="Q60" i="572"/>
  <c r="Q64" i="572"/>
  <c r="G46" i="572"/>
  <c r="J46" i="572" s="1"/>
  <c r="H56" i="571"/>
  <c r="H34" i="571"/>
  <c r="I34" i="571" s="1"/>
  <c r="H33" i="571"/>
  <c r="R70" i="571"/>
  <c r="J42" i="571"/>
  <c r="Q38" i="571"/>
  <c r="F44" i="571"/>
  <c r="G44" i="571" s="1"/>
  <c r="J44" i="571" s="1"/>
  <c r="Q44" i="571"/>
  <c r="Q52" i="571"/>
  <c r="Q57" i="571"/>
  <c r="Q61" i="571"/>
  <c r="Q65" i="571"/>
  <c r="P70" i="571"/>
  <c r="Q70" i="571" s="1"/>
  <c r="I25" i="571"/>
  <c r="I33" i="571" s="1"/>
  <c r="Q37" i="571"/>
  <c r="Q41" i="571"/>
  <c r="Q43" i="571"/>
  <c r="Q45" i="571"/>
  <c r="F46" i="571"/>
  <c r="F49" i="571" s="1"/>
  <c r="Q46" i="571"/>
  <c r="C49" i="571"/>
  <c r="E8" i="571"/>
  <c r="G46" i="571"/>
  <c r="J46" i="571" s="1"/>
  <c r="F9" i="564"/>
  <c r="J42" i="572" l="1"/>
  <c r="G49" i="572"/>
  <c r="J49" i="572" s="1"/>
  <c r="F49" i="572"/>
  <c r="G49" i="571"/>
  <c r="J49" i="571" s="1"/>
  <c r="E48" i="570"/>
  <c r="D37" i="570"/>
  <c r="D36" i="570"/>
  <c r="G34" i="570"/>
  <c r="E34" i="570" l="1"/>
  <c r="P67" i="570"/>
  <c r="Q67" i="570"/>
  <c r="Q63" i="570"/>
  <c r="Q64" i="570"/>
  <c r="Q65" i="570"/>
  <c r="Q66" i="570"/>
  <c r="Q49" i="570"/>
  <c r="Q50" i="570"/>
  <c r="Q51" i="570"/>
  <c r="Q52" i="570"/>
  <c r="Q53" i="570"/>
  <c r="Q54" i="570"/>
  <c r="Q55" i="570"/>
  <c r="Q56" i="570"/>
  <c r="Q57" i="570"/>
  <c r="Q58" i="570"/>
  <c r="Q59" i="570"/>
  <c r="Q60" i="570"/>
  <c r="Q61" i="570"/>
  <c r="Q62" i="570"/>
  <c r="Q38" i="570"/>
  <c r="Q39" i="570"/>
  <c r="Q40" i="570"/>
  <c r="Q41" i="570"/>
  <c r="Q42" i="570"/>
  <c r="Q43" i="570"/>
  <c r="Q44" i="570"/>
  <c r="Q45" i="570"/>
  <c r="Q46" i="570"/>
  <c r="Q47" i="570"/>
  <c r="Q48" i="570"/>
  <c r="G37" i="570"/>
  <c r="G36" i="570"/>
  <c r="E16" i="570"/>
  <c r="B16" i="570"/>
  <c r="C8" i="570"/>
  <c r="B8" i="570"/>
  <c r="L17" i="570" l="1"/>
  <c r="O70" i="570"/>
  <c r="N70" i="570"/>
  <c r="M70" i="570"/>
  <c r="R69" i="570"/>
  <c r="R67" i="570"/>
  <c r="P66" i="570"/>
  <c r="P65" i="570"/>
  <c r="R65" i="570" s="1"/>
  <c r="P64" i="570"/>
  <c r="R64" i="570" s="1"/>
  <c r="P63" i="570"/>
  <c r="R63" i="570" s="1"/>
  <c r="P62" i="570"/>
  <c r="R61" i="570"/>
  <c r="P61" i="570"/>
  <c r="P60" i="570"/>
  <c r="R60" i="570" s="1"/>
  <c r="P59" i="570"/>
  <c r="R59" i="570" s="1"/>
  <c r="R58" i="570"/>
  <c r="P58" i="570"/>
  <c r="R57" i="570"/>
  <c r="P57" i="570"/>
  <c r="P56" i="570"/>
  <c r="R56" i="570" s="1"/>
  <c r="G56" i="570"/>
  <c r="F56" i="570"/>
  <c r="D56" i="570"/>
  <c r="C56" i="570"/>
  <c r="B56" i="570"/>
  <c r="R55" i="570"/>
  <c r="P55" i="570"/>
  <c r="H55" i="570"/>
  <c r="E56" i="570"/>
  <c r="P54" i="570"/>
  <c r="R54" i="570" s="1"/>
  <c r="H54" i="570"/>
  <c r="P53" i="570"/>
  <c r="R53" i="570" s="1"/>
  <c r="P52" i="570"/>
  <c r="P51" i="570"/>
  <c r="R51" i="570" s="1"/>
  <c r="P50" i="570"/>
  <c r="R50" i="570" s="1"/>
  <c r="P49" i="570"/>
  <c r="R49" i="570" s="1"/>
  <c r="B49" i="570"/>
  <c r="P48" i="570"/>
  <c r="R48" i="570" s="1"/>
  <c r="C48" i="570"/>
  <c r="C49" i="570" s="1"/>
  <c r="P47" i="570"/>
  <c r="R47" i="570" s="1"/>
  <c r="F47" i="570"/>
  <c r="G47" i="570" s="1"/>
  <c r="J47" i="570" s="1"/>
  <c r="R46" i="570"/>
  <c r="P46" i="570"/>
  <c r="F46" i="570"/>
  <c r="G46" i="570" s="1"/>
  <c r="E46" i="570"/>
  <c r="C46" i="570"/>
  <c r="J46" i="570" s="1"/>
  <c r="P45" i="570"/>
  <c r="R45" i="570" s="1"/>
  <c r="F45" i="570"/>
  <c r="G45" i="570" s="1"/>
  <c r="R44" i="570"/>
  <c r="P44" i="570"/>
  <c r="C44" i="570"/>
  <c r="F44" i="570" s="1"/>
  <c r="G44" i="570" s="1"/>
  <c r="J44" i="570" s="1"/>
  <c r="R43" i="570"/>
  <c r="P43" i="570"/>
  <c r="F43" i="570"/>
  <c r="G43" i="570" s="1"/>
  <c r="J43" i="570" s="1"/>
  <c r="P42" i="570"/>
  <c r="R42" i="570" s="1"/>
  <c r="F42" i="570"/>
  <c r="G42" i="570" s="1"/>
  <c r="P41" i="570"/>
  <c r="R41" i="570" s="1"/>
  <c r="P40" i="570"/>
  <c r="R40" i="570" s="1"/>
  <c r="P39" i="570"/>
  <c r="R39" i="570" s="1"/>
  <c r="P38" i="570"/>
  <c r="P37" i="570"/>
  <c r="Q37" i="570" s="1"/>
  <c r="H35" i="570"/>
  <c r="I35" i="570" s="1"/>
  <c r="C34" i="570"/>
  <c r="H34" i="570" s="1"/>
  <c r="I34" i="570" s="1"/>
  <c r="G33" i="570"/>
  <c r="E33" i="570"/>
  <c r="J33" i="570" s="1"/>
  <c r="C33" i="570"/>
  <c r="B33" i="570"/>
  <c r="H30" i="570"/>
  <c r="I30" i="570" s="1"/>
  <c r="H27" i="570"/>
  <c r="I27" i="570" s="1"/>
  <c r="H25" i="570"/>
  <c r="I25" i="570" s="1"/>
  <c r="C16" i="570"/>
  <c r="G15" i="570"/>
  <c r="G18" i="570" s="1"/>
  <c r="C15" i="570"/>
  <c r="C18" i="570" s="1"/>
  <c r="K14" i="570"/>
  <c r="N11" i="570"/>
  <c r="M11" i="570"/>
  <c r="L11" i="570"/>
  <c r="K11" i="570"/>
  <c r="N10" i="570"/>
  <c r="N9" i="570"/>
  <c r="K8" i="570"/>
  <c r="G16" i="570"/>
  <c r="K7" i="570"/>
  <c r="J7" i="570"/>
  <c r="E7" i="570"/>
  <c r="H56" i="570" l="1"/>
  <c r="P70" i="570"/>
  <c r="Q70" i="570" s="1"/>
  <c r="R52" i="570"/>
  <c r="R62" i="570"/>
  <c r="R38" i="570"/>
  <c r="R66" i="570"/>
  <c r="R37" i="570"/>
  <c r="R70" i="570" s="1"/>
  <c r="I33" i="570"/>
  <c r="J42" i="570"/>
  <c r="E8" i="570"/>
  <c r="H33" i="570"/>
  <c r="F48" i="570"/>
  <c r="G48" i="570" s="1"/>
  <c r="G49" i="570" s="1"/>
  <c r="J49" i="570" s="1"/>
  <c r="I11" i="570"/>
  <c r="E49" i="570"/>
  <c r="E9" i="570"/>
  <c r="C48" i="569"/>
  <c r="E48" i="569"/>
  <c r="D37" i="569"/>
  <c r="D36" i="569"/>
  <c r="G34" i="569"/>
  <c r="E16" i="569"/>
  <c r="B16" i="569"/>
  <c r="C8" i="569"/>
  <c r="B8" i="569"/>
  <c r="F49" i="570" l="1"/>
  <c r="G17" i="570"/>
  <c r="C17" i="570"/>
  <c r="E34" i="569"/>
  <c r="O70" i="569" l="1"/>
  <c r="N70" i="569"/>
  <c r="M70" i="569"/>
  <c r="R69" i="569"/>
  <c r="R67" i="569"/>
  <c r="P66" i="569"/>
  <c r="R66" i="569" s="1"/>
  <c r="P65" i="569"/>
  <c r="Q65" i="569" s="1"/>
  <c r="R64" i="569"/>
  <c r="Q64" i="569"/>
  <c r="P64" i="569"/>
  <c r="R63" i="569"/>
  <c r="P63" i="569"/>
  <c r="Q63" i="569" s="1"/>
  <c r="Q62" i="569"/>
  <c r="P62" i="569"/>
  <c r="R62" i="569" s="1"/>
  <c r="P61" i="569"/>
  <c r="Q61" i="569" s="1"/>
  <c r="R60" i="569"/>
  <c r="Q60" i="569"/>
  <c r="P60" i="569"/>
  <c r="R59" i="569"/>
  <c r="P59" i="569"/>
  <c r="Q59" i="569" s="1"/>
  <c r="Q58" i="569"/>
  <c r="P58" i="569"/>
  <c r="R58" i="569" s="1"/>
  <c r="P57" i="569"/>
  <c r="Q57" i="569" s="1"/>
  <c r="R56" i="569"/>
  <c r="Q56" i="569"/>
  <c r="P56" i="569"/>
  <c r="G56" i="569"/>
  <c r="F56" i="569"/>
  <c r="D56" i="569"/>
  <c r="C56" i="569"/>
  <c r="B56" i="569"/>
  <c r="Q55" i="569"/>
  <c r="P55" i="569"/>
  <c r="R55" i="569" s="1"/>
  <c r="H55" i="569"/>
  <c r="E55" i="569"/>
  <c r="E56" i="569" s="1"/>
  <c r="R54" i="569"/>
  <c r="P54" i="569"/>
  <c r="Q54" i="569" s="1"/>
  <c r="H54" i="569"/>
  <c r="R53" i="569"/>
  <c r="P53" i="569"/>
  <c r="Q53" i="569" s="1"/>
  <c r="Q52" i="569"/>
  <c r="P52" i="569"/>
  <c r="R52" i="569" s="1"/>
  <c r="P51" i="569"/>
  <c r="Q51" i="569" s="1"/>
  <c r="R50" i="569"/>
  <c r="Q50" i="569"/>
  <c r="P50" i="569"/>
  <c r="R49" i="569"/>
  <c r="P49" i="569"/>
  <c r="Q49" i="569" s="1"/>
  <c r="B49" i="569"/>
  <c r="Q48" i="569"/>
  <c r="P48" i="569"/>
  <c r="R48" i="569" s="1"/>
  <c r="F48" i="569"/>
  <c r="G48" i="569" s="1"/>
  <c r="R47" i="569"/>
  <c r="P47" i="569"/>
  <c r="Q47" i="569" s="1"/>
  <c r="G47" i="569"/>
  <c r="J47" i="569" s="1"/>
  <c r="F47" i="569"/>
  <c r="P46" i="569"/>
  <c r="Q46" i="569" s="1"/>
  <c r="E46" i="569"/>
  <c r="F46" i="569" s="1"/>
  <c r="C46" i="569"/>
  <c r="P45" i="569"/>
  <c r="Q45" i="569" s="1"/>
  <c r="F45" i="569"/>
  <c r="G45" i="569" s="1"/>
  <c r="R44" i="569"/>
  <c r="Q44" i="569"/>
  <c r="P44" i="569"/>
  <c r="F44" i="569"/>
  <c r="G44" i="569" s="1"/>
  <c r="J44" i="569" s="1"/>
  <c r="C44" i="569"/>
  <c r="C49" i="569" s="1"/>
  <c r="P43" i="569"/>
  <c r="Q43" i="569" s="1"/>
  <c r="G43" i="569"/>
  <c r="J43" i="569" s="1"/>
  <c r="F43" i="569"/>
  <c r="R42" i="569"/>
  <c r="P42" i="569"/>
  <c r="Q42" i="569" s="1"/>
  <c r="G42" i="569"/>
  <c r="J42" i="569" s="1"/>
  <c r="F42" i="569"/>
  <c r="P41" i="569"/>
  <c r="Q41" i="569" s="1"/>
  <c r="Q40" i="569"/>
  <c r="P40" i="569"/>
  <c r="R40" i="569" s="1"/>
  <c r="R39" i="569"/>
  <c r="P39" i="569"/>
  <c r="Q39" i="569" s="1"/>
  <c r="R38" i="569"/>
  <c r="Q38" i="569"/>
  <c r="P38" i="569"/>
  <c r="P37" i="569"/>
  <c r="Q37" i="569" s="1"/>
  <c r="G37" i="569"/>
  <c r="G36" i="569"/>
  <c r="H35" i="569"/>
  <c r="I35" i="569" s="1"/>
  <c r="H34" i="569"/>
  <c r="I34" i="569" s="1"/>
  <c r="C34" i="569"/>
  <c r="G33" i="569"/>
  <c r="E33" i="569"/>
  <c r="J33" i="569" s="1"/>
  <c r="C33" i="569"/>
  <c r="B33" i="569"/>
  <c r="H30" i="569"/>
  <c r="I30" i="569" s="1"/>
  <c r="H27" i="569"/>
  <c r="I27" i="569" s="1"/>
  <c r="H25" i="569"/>
  <c r="E17" i="569"/>
  <c r="C16" i="569"/>
  <c r="B17" i="569"/>
  <c r="G15" i="569"/>
  <c r="G18" i="569" s="1"/>
  <c r="C15" i="569"/>
  <c r="C18" i="569" s="1"/>
  <c r="K14" i="569"/>
  <c r="L11" i="569"/>
  <c r="K11" i="569"/>
  <c r="N10" i="569"/>
  <c r="N9" i="569"/>
  <c r="N11" i="569" s="1"/>
  <c r="M11" i="569" s="1"/>
  <c r="K8" i="569"/>
  <c r="E8" i="569"/>
  <c r="B9" i="569"/>
  <c r="K7" i="569"/>
  <c r="J7" i="569"/>
  <c r="E7" i="569"/>
  <c r="H56" i="569" l="1"/>
  <c r="Q66" i="569"/>
  <c r="H33" i="569"/>
  <c r="I25" i="569"/>
  <c r="I33" i="569" s="1"/>
  <c r="F49" i="569"/>
  <c r="C9" i="569"/>
  <c r="E9" i="569" s="1"/>
  <c r="H11" i="569"/>
  <c r="I11" i="569" s="1"/>
  <c r="G16" i="569"/>
  <c r="R37" i="569"/>
  <c r="R41" i="569"/>
  <c r="R43" i="569"/>
  <c r="R45" i="569"/>
  <c r="G46" i="569"/>
  <c r="J46" i="569" s="1"/>
  <c r="R46" i="569"/>
  <c r="E49" i="569"/>
  <c r="R51" i="569"/>
  <c r="R57" i="569"/>
  <c r="R61" i="569"/>
  <c r="R65" i="569"/>
  <c r="P70" i="569"/>
  <c r="Q70" i="569" s="1"/>
  <c r="G49" i="569"/>
  <c r="J49" i="569" s="1"/>
  <c r="G17" i="569" l="1"/>
  <c r="C17" i="569"/>
  <c r="R70" i="569"/>
  <c r="G14" i="564" l="1"/>
  <c r="I14" i="564"/>
  <c r="J14" i="564"/>
  <c r="K14" i="564"/>
  <c r="L14" i="564"/>
  <c r="M14" i="564"/>
  <c r="Q14" i="564"/>
  <c r="T14" i="564"/>
  <c r="U14" i="564"/>
  <c r="V14" i="564"/>
  <c r="W14" i="564"/>
  <c r="X14" i="564"/>
  <c r="Y14" i="564"/>
  <c r="Z14" i="564"/>
  <c r="AA14" i="564"/>
  <c r="AB14" i="564"/>
  <c r="AC14" i="564"/>
  <c r="AD14" i="564"/>
  <c r="AE14" i="564"/>
  <c r="AF14" i="564"/>
  <c r="AG14" i="564"/>
  <c r="AH14" i="564"/>
  <c r="AI14" i="564"/>
  <c r="N3" i="564"/>
  <c r="K3" i="564"/>
  <c r="AG18" i="564"/>
  <c r="AH18" i="564"/>
  <c r="F52" i="564"/>
  <c r="H51" i="564"/>
  <c r="H50" i="564"/>
  <c r="H52" i="564" s="1"/>
  <c r="AI18" i="564"/>
  <c r="AF18" i="564"/>
  <c r="AE18" i="564"/>
  <c r="AD18" i="564"/>
  <c r="AC18" i="564"/>
  <c r="AB18" i="564"/>
  <c r="AA18" i="564"/>
  <c r="Z18" i="564"/>
  <c r="Y18" i="564"/>
  <c r="X18" i="564"/>
  <c r="W18" i="564"/>
  <c r="V18" i="564"/>
  <c r="U18" i="564"/>
  <c r="T18" i="564"/>
  <c r="S18" i="564"/>
  <c r="R18" i="564"/>
  <c r="Q18" i="564"/>
  <c r="P18" i="564"/>
  <c r="O18" i="564"/>
  <c r="N18" i="564"/>
  <c r="M18" i="564"/>
  <c r="L18" i="564"/>
  <c r="K18" i="564"/>
  <c r="J18" i="564"/>
  <c r="I18" i="564"/>
  <c r="H18" i="564"/>
  <c r="G18" i="564"/>
  <c r="F18" i="564"/>
  <c r="E18" i="564"/>
  <c r="D18" i="564"/>
  <c r="AJ15" i="564"/>
  <c r="AJ12" i="564"/>
  <c r="AJ10" i="564"/>
  <c r="AJ9" i="564"/>
  <c r="AJ8" i="564"/>
  <c r="Y3" i="564"/>
  <c r="AA2" i="564"/>
  <c r="Y2" i="564"/>
  <c r="W2" i="564"/>
  <c r="W3" i="564" l="1"/>
  <c r="G52" i="564"/>
  <c r="AJ14" i="564"/>
  <c r="G55" i="542" l="1"/>
  <c r="F55" i="542"/>
  <c r="E55" i="542"/>
  <c r="D55" i="542"/>
  <c r="H55" i="542" s="1"/>
  <c r="C55" i="542"/>
  <c r="B55" i="542"/>
  <c r="H54" i="542"/>
  <c r="E54" i="542"/>
  <c r="H53" i="542"/>
  <c r="C47" i="542" l="1"/>
  <c r="E48" i="542"/>
  <c r="Q67" i="542"/>
  <c r="D37" i="542"/>
  <c r="G37" i="542" s="1"/>
  <c r="D36" i="542"/>
  <c r="G36" i="542" s="1"/>
  <c r="G34" i="542"/>
  <c r="B16" i="542"/>
  <c r="B8" i="542"/>
  <c r="E34" i="542"/>
  <c r="L161" i="542"/>
  <c r="N143" i="542"/>
  <c r="O136" i="542"/>
  <c r="M136" i="542"/>
  <c r="O143" i="542" s="1"/>
  <c r="C127" i="542"/>
  <c r="B127" i="542"/>
  <c r="O70" i="542"/>
  <c r="N70" i="542"/>
  <c r="M70" i="542"/>
  <c r="R69" i="542"/>
  <c r="Q69" i="542"/>
  <c r="P67" i="542"/>
  <c r="R67" i="542" s="1"/>
  <c r="Q66" i="542"/>
  <c r="P66" i="542"/>
  <c r="R66" i="542" s="1"/>
  <c r="Q65" i="542"/>
  <c r="P65" i="542"/>
  <c r="R65" i="542" s="1"/>
  <c r="Q64" i="542"/>
  <c r="P64" i="542"/>
  <c r="R64" i="542" s="1"/>
  <c r="Q63" i="542"/>
  <c r="P63" i="542"/>
  <c r="R63" i="542" s="1"/>
  <c r="Q62" i="542"/>
  <c r="P62" i="542"/>
  <c r="R62" i="542" s="1"/>
  <c r="Q61" i="542"/>
  <c r="P61" i="542"/>
  <c r="R61" i="542" s="1"/>
  <c r="Q60" i="542"/>
  <c r="P60" i="542"/>
  <c r="R60" i="542" s="1"/>
  <c r="Q59" i="542"/>
  <c r="P59" i="542"/>
  <c r="R59" i="542" s="1"/>
  <c r="E59" i="542"/>
  <c r="E60" i="542" s="1"/>
  <c r="E61" i="542" s="1"/>
  <c r="E62" i="542" s="1"/>
  <c r="E63" i="542" s="1"/>
  <c r="E64" i="542" s="1"/>
  <c r="E65" i="542" s="1"/>
  <c r="E66" i="542" s="1"/>
  <c r="Q58" i="542"/>
  <c r="P58" i="542"/>
  <c r="R58" i="542" s="1"/>
  <c r="P57" i="542"/>
  <c r="R57" i="542" s="1"/>
  <c r="R56" i="542"/>
  <c r="P56" i="542"/>
  <c r="Q56" i="542" s="1"/>
  <c r="R55" i="542"/>
  <c r="Q55" i="542"/>
  <c r="P55" i="542"/>
  <c r="P54" i="542"/>
  <c r="R54" i="542" s="1"/>
  <c r="P53" i="542"/>
  <c r="R53" i="542" s="1"/>
  <c r="P52" i="542"/>
  <c r="R52" i="542" s="1"/>
  <c r="R51" i="542"/>
  <c r="P51" i="542"/>
  <c r="Q51" i="542" s="1"/>
  <c r="R50" i="542"/>
  <c r="Q50" i="542"/>
  <c r="P50" i="542"/>
  <c r="Q49" i="542"/>
  <c r="P49" i="542"/>
  <c r="R49" i="542" s="1"/>
  <c r="P48" i="542"/>
  <c r="R48" i="542" s="1"/>
  <c r="B48" i="542"/>
  <c r="Q47" i="542"/>
  <c r="P47" i="542"/>
  <c r="R47" i="542" s="1"/>
  <c r="Q46" i="542"/>
  <c r="P46" i="542"/>
  <c r="R46" i="542" s="1"/>
  <c r="F46" i="542"/>
  <c r="E46" i="542"/>
  <c r="G46" i="542" s="1"/>
  <c r="C46" i="542"/>
  <c r="Q45" i="542"/>
  <c r="P45" i="542"/>
  <c r="R45" i="542" s="1"/>
  <c r="G45" i="542"/>
  <c r="F45" i="542"/>
  <c r="R44" i="542"/>
  <c r="Q44" i="542"/>
  <c r="P44" i="542"/>
  <c r="G44" i="542"/>
  <c r="F44" i="542"/>
  <c r="E44" i="542"/>
  <c r="C44" i="542"/>
  <c r="J44" i="542" s="1"/>
  <c r="R43" i="542"/>
  <c r="Q43" i="542"/>
  <c r="P43" i="542"/>
  <c r="G43" i="542"/>
  <c r="J43" i="542" s="1"/>
  <c r="F43" i="542"/>
  <c r="P42" i="542"/>
  <c r="R42" i="542" s="1"/>
  <c r="J42" i="542"/>
  <c r="G42" i="542"/>
  <c r="C42" i="542"/>
  <c r="R41" i="542"/>
  <c r="Q41" i="542"/>
  <c r="P41" i="542"/>
  <c r="Q40" i="542"/>
  <c r="P40" i="542"/>
  <c r="R40" i="542" s="1"/>
  <c r="P39" i="542"/>
  <c r="R39" i="542" s="1"/>
  <c r="R38" i="542"/>
  <c r="Q38" i="542"/>
  <c r="P38" i="542"/>
  <c r="R37" i="542"/>
  <c r="Q37" i="542"/>
  <c r="P37" i="542"/>
  <c r="H35" i="542"/>
  <c r="I35" i="542" s="1"/>
  <c r="C34" i="542"/>
  <c r="H34" i="542" s="1"/>
  <c r="I34" i="542" s="1"/>
  <c r="G33" i="542"/>
  <c r="E33" i="542"/>
  <c r="J33" i="542" s="1"/>
  <c r="C33" i="542"/>
  <c r="B33" i="542"/>
  <c r="H30" i="542"/>
  <c r="I30" i="542" s="1"/>
  <c r="H27" i="542"/>
  <c r="I27" i="542" s="1"/>
  <c r="H25" i="542"/>
  <c r="I25" i="542" s="1"/>
  <c r="E17" i="542"/>
  <c r="C16" i="542"/>
  <c r="G15" i="542"/>
  <c r="G18" i="542" s="1"/>
  <c r="C15" i="542"/>
  <c r="C18" i="542" s="1"/>
  <c r="K14" i="542"/>
  <c r="N11" i="542"/>
  <c r="M11" i="542" s="1"/>
  <c r="L11" i="542"/>
  <c r="H11" i="542"/>
  <c r="I11" i="542" s="1"/>
  <c r="N10" i="542"/>
  <c r="N9" i="542"/>
  <c r="K8" i="542"/>
  <c r="G16" i="542"/>
  <c r="B9" i="542"/>
  <c r="K7" i="542"/>
  <c r="J7" i="542"/>
  <c r="E7" i="542"/>
  <c r="F47" i="542" l="1"/>
  <c r="G47" i="542"/>
  <c r="G48" i="542" s="1"/>
  <c r="C48" i="542"/>
  <c r="F48" i="542"/>
  <c r="R70" i="542"/>
  <c r="P70" i="542"/>
  <c r="Q70" i="542" s="1"/>
  <c r="E8" i="542"/>
  <c r="I33" i="542"/>
  <c r="J46" i="542"/>
  <c r="J47" i="542"/>
  <c r="B17" i="542"/>
  <c r="H33" i="542"/>
  <c r="Q39" i="542"/>
  <c r="Q42" i="542"/>
  <c r="Q48" i="542"/>
  <c r="Q52" i="542"/>
  <c r="Q53" i="542"/>
  <c r="Q54" i="542"/>
  <c r="Q57" i="542"/>
  <c r="C9" i="542"/>
  <c r="E9" i="542" s="1"/>
  <c r="G17" i="542" l="1"/>
  <c r="J48" i="542"/>
  <c r="C17" i="542"/>
  <c r="B17" i="511" l="1"/>
  <c r="G37" i="511" l="1"/>
  <c r="G36" i="511"/>
  <c r="Q38" i="511" l="1"/>
  <c r="Q39" i="511"/>
  <c r="Q40" i="511"/>
  <c r="Q41" i="511"/>
  <c r="Q42" i="511"/>
  <c r="Q43" i="511"/>
  <c r="Q44" i="511"/>
  <c r="Q45" i="511"/>
  <c r="Q46" i="511"/>
  <c r="Q47" i="511"/>
  <c r="Q48" i="511"/>
  <c r="Q49" i="511"/>
  <c r="Q50" i="511"/>
  <c r="Q51" i="511"/>
  <c r="Q52" i="511"/>
  <c r="Q53" i="511"/>
  <c r="Q54" i="511"/>
  <c r="Q55" i="511"/>
  <c r="Q56" i="511"/>
  <c r="Q57" i="511"/>
  <c r="Q58" i="511"/>
  <c r="Q59" i="511"/>
  <c r="Q60" i="511"/>
  <c r="Q61" i="511"/>
  <c r="Q62" i="511"/>
  <c r="Q63" i="511"/>
  <c r="Q64" i="511"/>
  <c r="Q65" i="511"/>
  <c r="Q66" i="511"/>
  <c r="Q67" i="511"/>
  <c r="Q37" i="511"/>
  <c r="E34" i="511" l="1"/>
  <c r="L161" i="511"/>
  <c r="N143" i="511"/>
  <c r="O136" i="511"/>
  <c r="M136" i="511"/>
  <c r="O143" i="511" s="1"/>
  <c r="C126" i="511"/>
  <c r="B126" i="511"/>
  <c r="O70" i="511"/>
  <c r="N70" i="511"/>
  <c r="M70" i="511"/>
  <c r="R69" i="511"/>
  <c r="Q69" i="511"/>
  <c r="P67" i="511"/>
  <c r="R67" i="511" s="1"/>
  <c r="P66" i="511"/>
  <c r="R66" i="511" s="1"/>
  <c r="P65" i="511"/>
  <c r="R65" i="511" s="1"/>
  <c r="P64" i="511"/>
  <c r="P63" i="511"/>
  <c r="R63" i="511" s="1"/>
  <c r="P62" i="511"/>
  <c r="R62" i="511" s="1"/>
  <c r="I62" i="511"/>
  <c r="P61" i="511"/>
  <c r="R61" i="511" s="1"/>
  <c r="J61" i="511"/>
  <c r="P60" i="511"/>
  <c r="R60" i="511" s="1"/>
  <c r="J60" i="511"/>
  <c r="P59" i="511"/>
  <c r="R59" i="511" s="1"/>
  <c r="J59" i="511"/>
  <c r="J62" i="511" s="1"/>
  <c r="H62" i="511" s="1"/>
  <c r="E59" i="511"/>
  <c r="E60" i="511" s="1"/>
  <c r="P58" i="511"/>
  <c r="R58" i="511" s="1"/>
  <c r="F58" i="511"/>
  <c r="P57" i="511"/>
  <c r="R57" i="511" s="1"/>
  <c r="P56" i="511"/>
  <c r="P55" i="511"/>
  <c r="R55" i="511" s="1"/>
  <c r="P54" i="511"/>
  <c r="R54" i="511" s="1"/>
  <c r="G54" i="511"/>
  <c r="F54" i="511"/>
  <c r="E54" i="511"/>
  <c r="D54" i="511"/>
  <c r="H54" i="511" s="1"/>
  <c r="C54" i="511"/>
  <c r="B54" i="511"/>
  <c r="P53" i="511"/>
  <c r="H53" i="511"/>
  <c r="P52" i="511"/>
  <c r="H52" i="511"/>
  <c r="P51" i="511"/>
  <c r="P50" i="511"/>
  <c r="R50" i="511" s="1"/>
  <c r="P49" i="511"/>
  <c r="R49" i="511" s="1"/>
  <c r="R48" i="511"/>
  <c r="P48" i="511"/>
  <c r="P47" i="511"/>
  <c r="E47" i="511"/>
  <c r="B47" i="511"/>
  <c r="P46" i="511"/>
  <c r="R46" i="511" s="1"/>
  <c r="J46" i="511"/>
  <c r="G46" i="511"/>
  <c r="F46" i="511"/>
  <c r="P45" i="511"/>
  <c r="R45" i="511" s="1"/>
  <c r="F45" i="511"/>
  <c r="G45" i="511" s="1"/>
  <c r="C45" i="511"/>
  <c r="P44" i="511"/>
  <c r="R44" i="511" s="1"/>
  <c r="J44" i="511"/>
  <c r="G44" i="511"/>
  <c r="F44" i="511"/>
  <c r="P43" i="511"/>
  <c r="G43" i="511"/>
  <c r="F43" i="511"/>
  <c r="C43" i="511"/>
  <c r="J43" i="511" s="1"/>
  <c r="P42" i="511"/>
  <c r="R42" i="511" s="1"/>
  <c r="F42" i="511"/>
  <c r="F47" i="511" s="1"/>
  <c r="C42" i="511"/>
  <c r="P41" i="511"/>
  <c r="R41" i="511" s="1"/>
  <c r="R40" i="511"/>
  <c r="P40" i="511"/>
  <c r="P39" i="511"/>
  <c r="R39" i="511" s="1"/>
  <c r="P38" i="511"/>
  <c r="R38" i="511" s="1"/>
  <c r="P37" i="511"/>
  <c r="H35" i="511"/>
  <c r="I35" i="511" s="1"/>
  <c r="C34" i="511"/>
  <c r="G33" i="511"/>
  <c r="E33" i="511"/>
  <c r="J33" i="511" s="1"/>
  <c r="C33" i="511"/>
  <c r="B33" i="511"/>
  <c r="H30" i="511"/>
  <c r="I30" i="511" s="1"/>
  <c r="H27" i="511"/>
  <c r="H33" i="511" s="1"/>
  <c r="H25" i="511"/>
  <c r="I25" i="511" s="1"/>
  <c r="G18" i="511"/>
  <c r="E16" i="511"/>
  <c r="E17" i="511" s="1"/>
  <c r="B16" i="511"/>
  <c r="G15" i="511"/>
  <c r="C15" i="511"/>
  <c r="C18" i="511" s="1"/>
  <c r="K14" i="511"/>
  <c r="L11" i="511"/>
  <c r="N10" i="511"/>
  <c r="N9" i="511"/>
  <c r="N11" i="511" s="1"/>
  <c r="M11" i="511" s="1"/>
  <c r="B9" i="511"/>
  <c r="C8" i="511"/>
  <c r="H11" i="511" s="1"/>
  <c r="I11" i="511" s="1"/>
  <c r="B8" i="511"/>
  <c r="J7" i="511"/>
  <c r="E7" i="511"/>
  <c r="R53" i="511" l="1"/>
  <c r="R64" i="511"/>
  <c r="R43" i="511"/>
  <c r="P70" i="511"/>
  <c r="Q70" i="511" s="1"/>
  <c r="R52" i="511"/>
  <c r="R47" i="511"/>
  <c r="R51" i="511"/>
  <c r="R56" i="511"/>
  <c r="H34" i="511"/>
  <c r="I34" i="511" s="1"/>
  <c r="I27" i="511"/>
  <c r="I33" i="511" s="1"/>
  <c r="F60" i="511"/>
  <c r="E61" i="511"/>
  <c r="C17" i="511"/>
  <c r="J45" i="511"/>
  <c r="E8" i="511"/>
  <c r="G42" i="511"/>
  <c r="G47" i="511" s="1"/>
  <c r="C47" i="511"/>
  <c r="J47" i="511" s="1"/>
  <c r="F59" i="511"/>
  <c r="C16" i="511"/>
  <c r="G16" i="511"/>
  <c r="R37" i="511"/>
  <c r="C9" i="511"/>
  <c r="E9" i="511" s="1"/>
  <c r="R70" i="511" l="1"/>
  <c r="G17" i="511"/>
  <c r="E62" i="511"/>
  <c r="F61" i="511"/>
  <c r="J42" i="511"/>
  <c r="F62" i="511" l="1"/>
  <c r="E63" i="511"/>
  <c r="E64" i="511" l="1"/>
  <c r="F63" i="511"/>
  <c r="E65" i="511" l="1"/>
  <c r="F64" i="511"/>
  <c r="E66" i="511" l="1"/>
  <c r="F65" i="511"/>
  <c r="E67" i="511" l="1"/>
  <c r="F66" i="511"/>
  <c r="E68" i="511" l="1"/>
  <c r="F67" i="511"/>
  <c r="F68" i="511" l="1"/>
  <c r="E69" i="511"/>
  <c r="F69" i="511" l="1"/>
  <c r="E70" i="511"/>
  <c r="F70" i="511" l="1"/>
  <c r="E71" i="511"/>
  <c r="E72" i="511" l="1"/>
  <c r="F71" i="511"/>
  <c r="F72" i="511" l="1"/>
  <c r="E73" i="511"/>
  <c r="E74" i="511" l="1"/>
  <c r="F73" i="511"/>
  <c r="E75" i="511" l="1"/>
  <c r="F74" i="511"/>
  <c r="E76" i="511" l="1"/>
  <c r="F75" i="511"/>
  <c r="F76" i="511" l="1"/>
  <c r="E77" i="511"/>
  <c r="E78" i="511" l="1"/>
  <c r="F77" i="511"/>
  <c r="F78" i="511" l="1"/>
  <c r="E79" i="511"/>
  <c r="E80" i="511" l="1"/>
  <c r="F79" i="511"/>
  <c r="F80" i="511" l="1"/>
  <c r="E81" i="511"/>
  <c r="E82" i="511" l="1"/>
  <c r="F81" i="511"/>
  <c r="B16" i="476"/>
  <c r="E83" i="511" l="1"/>
  <c r="F82" i="511"/>
  <c r="E84" i="511" l="1"/>
  <c r="F83" i="511"/>
  <c r="F84" i="511" l="1"/>
  <c r="E85" i="511"/>
  <c r="E86" i="511" l="1"/>
  <c r="F85" i="511"/>
  <c r="F86" i="511" l="1"/>
  <c r="E87" i="511"/>
  <c r="E88" i="511" l="1"/>
  <c r="F87" i="511"/>
  <c r="F88" i="511" l="1"/>
  <c r="E89" i="511"/>
  <c r="E90" i="511" l="1"/>
  <c r="F89" i="511"/>
  <c r="E91" i="511" l="1"/>
  <c r="F90" i="511"/>
  <c r="E92" i="511" l="1"/>
  <c r="F91" i="511"/>
  <c r="F92" i="511" l="1"/>
  <c r="E93" i="511"/>
  <c r="E94" i="511" l="1"/>
  <c r="F93" i="511"/>
  <c r="F94" i="511" l="1"/>
  <c r="E95" i="511"/>
  <c r="E96" i="511" l="1"/>
  <c r="F95" i="511"/>
  <c r="F96" i="511" l="1"/>
  <c r="E97" i="511"/>
  <c r="E98" i="511" l="1"/>
  <c r="F97" i="511"/>
  <c r="F98" i="511" l="1"/>
  <c r="E99" i="511"/>
  <c r="E100" i="511" l="1"/>
  <c r="F99" i="511"/>
  <c r="E101" i="511" l="1"/>
  <c r="F100" i="511"/>
  <c r="E102" i="511" l="1"/>
  <c r="F101" i="511"/>
  <c r="F102" i="511" l="1"/>
  <c r="E103" i="511"/>
  <c r="E104" i="511" l="1"/>
  <c r="F103" i="511"/>
  <c r="F104" i="511" l="1"/>
  <c r="E105" i="511"/>
  <c r="E106" i="511" l="1"/>
  <c r="F105" i="511"/>
  <c r="E107" i="511" l="1"/>
  <c r="F106" i="511"/>
  <c r="E108" i="511" l="1"/>
  <c r="F107" i="511"/>
  <c r="F108" i="511" l="1"/>
  <c r="E109" i="511"/>
  <c r="E110" i="511" l="1"/>
  <c r="F109" i="511"/>
  <c r="F110" i="511" l="1"/>
  <c r="E111" i="511"/>
  <c r="E112" i="511" l="1"/>
  <c r="F111" i="511"/>
  <c r="F112" i="511" l="1"/>
  <c r="E113" i="511"/>
  <c r="E114" i="511" l="1"/>
  <c r="F113" i="511"/>
  <c r="E115" i="511" l="1"/>
  <c r="F114" i="511"/>
  <c r="E116" i="511" l="1"/>
  <c r="F116" i="511" s="1"/>
  <c r="F115" i="511"/>
  <c r="C42" i="476" l="1"/>
  <c r="J48" i="476"/>
  <c r="E16" i="476" l="1"/>
  <c r="B8" i="476"/>
  <c r="G11" i="476" l="1"/>
  <c r="H8" i="476"/>
  <c r="L159" i="476"/>
  <c r="N141" i="476"/>
  <c r="M134" i="476"/>
  <c r="O141" i="476" s="1"/>
  <c r="C125" i="476"/>
  <c r="B125" i="476"/>
  <c r="J74" i="476"/>
  <c r="O68" i="476"/>
  <c r="N68" i="476"/>
  <c r="M68" i="476"/>
  <c r="R67" i="476"/>
  <c r="T67" i="476" s="1"/>
  <c r="Q67" i="476"/>
  <c r="R66" i="476"/>
  <c r="T66" i="476" s="1"/>
  <c r="Q66" i="476"/>
  <c r="P65" i="476"/>
  <c r="Q65" i="476" s="1"/>
  <c r="R64" i="476"/>
  <c r="T64" i="476" s="1"/>
  <c r="P64" i="476"/>
  <c r="Q64" i="476" s="1"/>
  <c r="P63" i="476"/>
  <c r="R63" i="476" s="1"/>
  <c r="T63" i="476" s="1"/>
  <c r="P62" i="476"/>
  <c r="P61" i="476"/>
  <c r="Q61" i="476" s="1"/>
  <c r="I61" i="476"/>
  <c r="AS60" i="476"/>
  <c r="R60" i="476"/>
  <c r="T60" i="476" s="1"/>
  <c r="P60" i="476"/>
  <c r="Q60" i="476" s="1"/>
  <c r="J60" i="476"/>
  <c r="AT59" i="476"/>
  <c r="P59" i="476"/>
  <c r="R59" i="476" s="1"/>
  <c r="T59" i="476" s="1"/>
  <c r="J59" i="476"/>
  <c r="AT58" i="476"/>
  <c r="P58" i="476"/>
  <c r="R58" i="476" s="1"/>
  <c r="T58" i="476" s="1"/>
  <c r="J58" i="476"/>
  <c r="E58" i="476"/>
  <c r="AT57" i="476"/>
  <c r="P57" i="476"/>
  <c r="R57" i="476" s="1"/>
  <c r="T57" i="476" s="1"/>
  <c r="F57" i="476"/>
  <c r="AT56" i="476"/>
  <c r="P56" i="476"/>
  <c r="R56" i="476" s="1"/>
  <c r="T56" i="476" s="1"/>
  <c r="AT55" i="476"/>
  <c r="P55" i="476"/>
  <c r="R55" i="476" s="1"/>
  <c r="T55" i="476" s="1"/>
  <c r="AT54" i="476"/>
  <c r="AG54" i="476"/>
  <c r="AF54" i="476"/>
  <c r="AF57" i="476" s="1"/>
  <c r="AE54" i="476"/>
  <c r="AE57" i="476" s="1"/>
  <c r="AA54" i="476"/>
  <c r="Z54" i="476"/>
  <c r="Y54" i="476"/>
  <c r="Y57" i="476" s="1"/>
  <c r="P54" i="476"/>
  <c r="Q54" i="476" s="1"/>
  <c r="AT53" i="476"/>
  <c r="AH53" i="476"/>
  <c r="AB53" i="476"/>
  <c r="P53" i="476"/>
  <c r="R53" i="476" s="1"/>
  <c r="T53" i="476" s="1"/>
  <c r="G53" i="476"/>
  <c r="F53" i="476"/>
  <c r="E53" i="476"/>
  <c r="D53" i="476"/>
  <c r="C53" i="476"/>
  <c r="B53" i="476"/>
  <c r="AH52" i="476"/>
  <c r="AB52" i="476"/>
  <c r="P52" i="476"/>
  <c r="R52" i="476" s="1"/>
  <c r="T52" i="476" s="1"/>
  <c r="H52" i="476"/>
  <c r="AH51" i="476"/>
  <c r="AB51" i="476"/>
  <c r="P51" i="476"/>
  <c r="R51" i="476" s="1"/>
  <c r="T51" i="476" s="1"/>
  <c r="H51" i="476"/>
  <c r="AH50" i="476"/>
  <c r="AB50" i="476"/>
  <c r="P50" i="476"/>
  <c r="R50" i="476" s="1"/>
  <c r="T50" i="476" s="1"/>
  <c r="AH49" i="476"/>
  <c r="AB49" i="476"/>
  <c r="P49" i="476"/>
  <c r="AH48" i="476"/>
  <c r="AB48" i="476"/>
  <c r="P48" i="476"/>
  <c r="R48" i="476" s="1"/>
  <c r="T48" i="476" s="1"/>
  <c r="AH47" i="476"/>
  <c r="AB47" i="476"/>
  <c r="P47" i="476"/>
  <c r="R47" i="476" s="1"/>
  <c r="T47" i="476" s="1"/>
  <c r="AN46" i="476"/>
  <c r="AM46" i="476"/>
  <c r="AH46" i="476"/>
  <c r="AB46" i="476"/>
  <c r="P46" i="476"/>
  <c r="B46" i="476"/>
  <c r="P45" i="476"/>
  <c r="R45" i="476" s="1"/>
  <c r="T45" i="476" s="1"/>
  <c r="J45" i="476"/>
  <c r="AH44" i="476"/>
  <c r="AB44" i="476"/>
  <c r="P44" i="476"/>
  <c r="Q44" i="476" s="1"/>
  <c r="J44" i="476"/>
  <c r="AH43" i="476"/>
  <c r="AB43" i="476"/>
  <c r="P43" i="476"/>
  <c r="R43" i="476" s="1"/>
  <c r="T43" i="476" s="1"/>
  <c r="J43" i="476"/>
  <c r="AV42" i="476"/>
  <c r="AU42" i="476"/>
  <c r="AT42" i="476"/>
  <c r="AS42" i="476"/>
  <c r="AO46" i="476" s="1"/>
  <c r="AH42" i="476"/>
  <c r="AB42" i="476"/>
  <c r="R42" i="476"/>
  <c r="T42" i="476" s="1"/>
  <c r="P42" i="476"/>
  <c r="Q42" i="476" s="1"/>
  <c r="F42" i="476"/>
  <c r="AH41" i="476"/>
  <c r="AB41" i="476"/>
  <c r="P41" i="476"/>
  <c r="R41" i="476" s="1"/>
  <c r="T41" i="476" s="1"/>
  <c r="C41" i="476"/>
  <c r="C46" i="476" s="1"/>
  <c r="AH40" i="476"/>
  <c r="AB40" i="476"/>
  <c r="P40" i="476"/>
  <c r="R40" i="476" s="1"/>
  <c r="T40" i="476" s="1"/>
  <c r="AH39" i="476"/>
  <c r="AB39" i="476"/>
  <c r="P39" i="476"/>
  <c r="AH38" i="476"/>
  <c r="AB38" i="476"/>
  <c r="P38" i="476"/>
  <c r="Q38" i="476" s="1"/>
  <c r="AH37" i="476"/>
  <c r="AB37" i="476"/>
  <c r="Q37" i="476"/>
  <c r="P37" i="476"/>
  <c r="R37" i="476" s="1"/>
  <c r="T37" i="476" s="1"/>
  <c r="AH36" i="476"/>
  <c r="AB36" i="476"/>
  <c r="P36" i="476"/>
  <c r="G36" i="476"/>
  <c r="AH35" i="476"/>
  <c r="AB35" i="476"/>
  <c r="G35" i="476"/>
  <c r="AH34" i="476"/>
  <c r="AB34" i="476"/>
  <c r="H34" i="476"/>
  <c r="I34" i="476" s="1"/>
  <c r="AL33" i="476"/>
  <c r="AF33" i="476"/>
  <c r="G33" i="476"/>
  <c r="C33" i="476"/>
  <c r="H33" i="476" s="1"/>
  <c r="I33" i="476" s="1"/>
  <c r="AL32" i="476"/>
  <c r="AF32" i="476"/>
  <c r="G32" i="476"/>
  <c r="E32" i="476"/>
  <c r="J32" i="476" s="1"/>
  <c r="C32" i="476"/>
  <c r="B32" i="476"/>
  <c r="AL31" i="476"/>
  <c r="AF31" i="476"/>
  <c r="AL30" i="476"/>
  <c r="AF30" i="476"/>
  <c r="AL29" i="476"/>
  <c r="AF29" i="476"/>
  <c r="I29" i="476"/>
  <c r="AL28" i="476"/>
  <c r="AF28" i="476"/>
  <c r="AL27" i="476"/>
  <c r="AF27" i="476"/>
  <c r="AL26" i="476"/>
  <c r="AF26" i="476"/>
  <c r="H26" i="476"/>
  <c r="I26" i="476" s="1"/>
  <c r="AL25" i="476"/>
  <c r="AF25" i="476"/>
  <c r="AL24" i="476"/>
  <c r="AF24" i="476"/>
  <c r="H24" i="476"/>
  <c r="AL23" i="476"/>
  <c r="AF23" i="476"/>
  <c r="AL22" i="476"/>
  <c r="AH54" i="476" s="1"/>
  <c r="AE56" i="476" s="1"/>
  <c r="AF22" i="476"/>
  <c r="B17" i="476"/>
  <c r="G15" i="476"/>
  <c r="C15" i="476"/>
  <c r="AR10" i="476"/>
  <c r="AP10" i="476"/>
  <c r="AR9" i="476"/>
  <c r="C9" i="476"/>
  <c r="B9" i="476"/>
  <c r="AR8" i="476"/>
  <c r="C16" i="476"/>
  <c r="K7" i="476"/>
  <c r="J7" i="476"/>
  <c r="E7" i="476"/>
  <c r="Q45" i="476" l="1"/>
  <c r="AT60" i="476"/>
  <c r="AU60" i="476" s="1"/>
  <c r="J61" i="476"/>
  <c r="H61" i="476" s="1"/>
  <c r="Q43" i="476"/>
  <c r="R54" i="476"/>
  <c r="T54" i="476" s="1"/>
  <c r="Q40" i="476"/>
  <c r="R44" i="476"/>
  <c r="T44" i="476" s="1"/>
  <c r="R38" i="476"/>
  <c r="T38" i="476" s="1"/>
  <c r="Q41" i="476"/>
  <c r="Q47" i="476"/>
  <c r="Q53" i="476"/>
  <c r="Q63" i="476"/>
  <c r="O134" i="476"/>
  <c r="Q48" i="476"/>
  <c r="Q50" i="476"/>
  <c r="Q57" i="476"/>
  <c r="Q59" i="476"/>
  <c r="R61" i="476"/>
  <c r="T61" i="476" s="1"/>
  <c r="Q52" i="476"/>
  <c r="H53" i="476"/>
  <c r="R65" i="476"/>
  <c r="T65" i="476" s="1"/>
  <c r="C17" i="476"/>
  <c r="X60" i="476" s="1"/>
  <c r="R36" i="476"/>
  <c r="Q36" i="476"/>
  <c r="R46" i="476"/>
  <c r="T46" i="476" s="1"/>
  <c r="Q46" i="476"/>
  <c r="AA57" i="476"/>
  <c r="R62" i="476"/>
  <c r="T62" i="476" s="1"/>
  <c r="Q62" i="476"/>
  <c r="E9" i="476"/>
  <c r="R39" i="476"/>
  <c r="T39" i="476" s="1"/>
  <c r="Q39" i="476"/>
  <c r="F41" i="476"/>
  <c r="F46" i="476" s="1"/>
  <c r="E46" i="476"/>
  <c r="R49" i="476"/>
  <c r="T49" i="476" s="1"/>
  <c r="Q49" i="476"/>
  <c r="Q51" i="476"/>
  <c r="AF56" i="476"/>
  <c r="Q55" i="476"/>
  <c r="Q58" i="476"/>
  <c r="G42" i="476"/>
  <c r="H11" i="476"/>
  <c r="I11" i="476" s="1"/>
  <c r="E8" i="476"/>
  <c r="E17" i="476"/>
  <c r="G17" i="476" s="1"/>
  <c r="G16" i="476"/>
  <c r="AB54" i="476"/>
  <c r="Y56" i="476" s="1"/>
  <c r="H32" i="476"/>
  <c r="I24" i="476"/>
  <c r="I32" i="476" s="1"/>
  <c r="AG56" i="476"/>
  <c r="AG57" i="476"/>
  <c r="AH57" i="476" s="1"/>
  <c r="AH55" i="476" s="1"/>
  <c r="AE60" i="476" s="1"/>
  <c r="AF60" i="476" s="1"/>
  <c r="Q56" i="476"/>
  <c r="Z57" i="476"/>
  <c r="AB57" i="476" s="1"/>
  <c r="AB55" i="476" s="1"/>
  <c r="E59" i="476"/>
  <c r="F58" i="476"/>
  <c r="P68" i="476"/>
  <c r="Q68" i="476" s="1"/>
  <c r="V68" i="476" s="1"/>
  <c r="U40" i="476" s="1"/>
  <c r="T68" i="476" l="1"/>
  <c r="Z56" i="476"/>
  <c r="AH56" i="476"/>
  <c r="U56" i="476"/>
  <c r="U54" i="476"/>
  <c r="U60" i="476"/>
  <c r="U64" i="476"/>
  <c r="U47" i="476"/>
  <c r="U51" i="476"/>
  <c r="U43" i="476"/>
  <c r="U37" i="476"/>
  <c r="U52" i="476"/>
  <c r="U61" i="476"/>
  <c r="Y60" i="476"/>
  <c r="Z60" i="476" s="1"/>
  <c r="AG60" i="476" s="1"/>
  <c r="AH58" i="476"/>
  <c r="U49" i="476"/>
  <c r="U59" i="476"/>
  <c r="U65" i="476"/>
  <c r="U36" i="476"/>
  <c r="U68" i="476" s="1"/>
  <c r="U41" i="476"/>
  <c r="F59" i="476"/>
  <c r="E60" i="476"/>
  <c r="U38" i="476"/>
  <c r="U57" i="476"/>
  <c r="U42" i="476"/>
  <c r="U55" i="476"/>
  <c r="U39" i="476"/>
  <c r="U48" i="476"/>
  <c r="U62" i="476"/>
  <c r="AA56" i="476"/>
  <c r="AB56" i="476" s="1"/>
  <c r="R68" i="476"/>
  <c r="U63" i="476"/>
  <c r="U58" i="476"/>
  <c r="U44" i="476"/>
  <c r="U67" i="476"/>
  <c r="U53" i="476"/>
  <c r="G41" i="476"/>
  <c r="U46" i="476"/>
  <c r="U66" i="476"/>
  <c r="U50" i="476"/>
  <c r="G46" i="476" l="1"/>
  <c r="J46" i="476" s="1"/>
  <c r="J41" i="476"/>
  <c r="E61" i="476"/>
  <c r="F60" i="476"/>
  <c r="E62" i="476" l="1"/>
  <c r="F61" i="476"/>
  <c r="E63" i="476" l="1"/>
  <c r="F62" i="476"/>
  <c r="F63" i="476" l="1"/>
  <c r="E64" i="476"/>
  <c r="F64" i="476" l="1"/>
  <c r="E65" i="476"/>
  <c r="E66" i="476" l="1"/>
  <c r="F65" i="476"/>
  <c r="E67" i="476" l="1"/>
  <c r="F66" i="476"/>
  <c r="E68" i="476" l="1"/>
  <c r="F67" i="476"/>
  <c r="E69" i="476" l="1"/>
  <c r="F68" i="476"/>
  <c r="F69" i="476" l="1"/>
  <c r="E70" i="476"/>
  <c r="E71" i="476" l="1"/>
  <c r="F70" i="476"/>
  <c r="F71" i="476" l="1"/>
  <c r="E72" i="476"/>
  <c r="E73" i="476" l="1"/>
  <c r="F72" i="476"/>
  <c r="F73" i="476" l="1"/>
  <c r="E74" i="476"/>
  <c r="E75" i="476" l="1"/>
  <c r="F74" i="476"/>
  <c r="E76" i="476" l="1"/>
  <c r="F75" i="476"/>
  <c r="E77" i="476" l="1"/>
  <c r="F76" i="476"/>
  <c r="E78" i="476" l="1"/>
  <c r="F77" i="476"/>
  <c r="E79" i="476" l="1"/>
  <c r="F78" i="476"/>
  <c r="E80" i="476" l="1"/>
  <c r="F79" i="476"/>
  <c r="E81" i="476" l="1"/>
  <c r="F80" i="476"/>
  <c r="F81" i="476" l="1"/>
  <c r="E82" i="476"/>
  <c r="E83" i="476" l="1"/>
  <c r="F82" i="476"/>
  <c r="E84" i="476" l="1"/>
  <c r="F83" i="476"/>
  <c r="E85" i="476" l="1"/>
  <c r="F84" i="476"/>
  <c r="E86" i="476" l="1"/>
  <c r="F85" i="476"/>
  <c r="E87" i="476" l="1"/>
  <c r="F86" i="476"/>
  <c r="E88" i="476" l="1"/>
  <c r="F87" i="476"/>
  <c r="E89" i="476" l="1"/>
  <c r="F88" i="476"/>
  <c r="F89" i="476" l="1"/>
  <c r="E90" i="476"/>
  <c r="E91" i="476" l="1"/>
  <c r="F90" i="476"/>
  <c r="C41" i="443"/>
  <c r="P66" i="443"/>
  <c r="Q66" i="443" s="1"/>
  <c r="D36" i="443"/>
  <c r="D35" i="443"/>
  <c r="E16" i="443"/>
  <c r="B16" i="443"/>
  <c r="B8" i="443"/>
  <c r="G33" i="443"/>
  <c r="L159" i="443"/>
  <c r="N141" i="443"/>
  <c r="M134" i="443"/>
  <c r="O141" i="443" s="1"/>
  <c r="C125" i="443"/>
  <c r="B125" i="443"/>
  <c r="J74" i="443"/>
  <c r="O68" i="443"/>
  <c r="N68" i="443"/>
  <c r="M68" i="443"/>
  <c r="R67" i="443"/>
  <c r="T67" i="443" s="1"/>
  <c r="R66" i="443"/>
  <c r="T66" i="443" s="1"/>
  <c r="P65" i="443"/>
  <c r="R65" i="443" s="1"/>
  <c r="T65" i="443" s="1"/>
  <c r="P64" i="443"/>
  <c r="P63" i="443"/>
  <c r="R63" i="443" s="1"/>
  <c r="T63" i="443" s="1"/>
  <c r="P62" i="443"/>
  <c r="R62" i="443" s="1"/>
  <c r="T62" i="443" s="1"/>
  <c r="P61" i="443"/>
  <c r="R61" i="443" s="1"/>
  <c r="T61" i="443" s="1"/>
  <c r="I61" i="443"/>
  <c r="AS60" i="443"/>
  <c r="P60" i="443"/>
  <c r="J60" i="443"/>
  <c r="AT59" i="443"/>
  <c r="P59" i="443"/>
  <c r="R59" i="443" s="1"/>
  <c r="T59" i="443" s="1"/>
  <c r="J59" i="443"/>
  <c r="AT58" i="443"/>
  <c r="P58" i="443"/>
  <c r="Q58" i="443" s="1"/>
  <c r="J58" i="443"/>
  <c r="F58" i="443"/>
  <c r="E58" i="443"/>
  <c r="E59" i="443" s="1"/>
  <c r="AT57" i="443"/>
  <c r="P57" i="443"/>
  <c r="F57" i="443"/>
  <c r="AT56" i="443"/>
  <c r="P56" i="443"/>
  <c r="R56" i="443" s="1"/>
  <c r="T56" i="443" s="1"/>
  <c r="AT55" i="443"/>
  <c r="Q55" i="443"/>
  <c r="P55" i="443"/>
  <c r="R55" i="443" s="1"/>
  <c r="T55" i="443" s="1"/>
  <c r="AT54" i="443"/>
  <c r="AG54" i="443"/>
  <c r="AG57" i="443" s="1"/>
  <c r="AF54" i="443"/>
  <c r="AF57" i="443" s="1"/>
  <c r="AE54" i="443"/>
  <c r="AA54" i="443"/>
  <c r="AA57" i="443" s="1"/>
  <c r="Z54" i="443"/>
  <c r="Z57" i="443" s="1"/>
  <c r="Y54" i="443"/>
  <c r="P54" i="443"/>
  <c r="R54" i="443" s="1"/>
  <c r="T54" i="443" s="1"/>
  <c r="AT53" i="443"/>
  <c r="AH53" i="443"/>
  <c r="AB53" i="443"/>
  <c r="P53" i="443"/>
  <c r="R53" i="443" s="1"/>
  <c r="T53" i="443" s="1"/>
  <c r="G53" i="443"/>
  <c r="F53" i="443"/>
  <c r="D53" i="443"/>
  <c r="C53" i="443"/>
  <c r="B53" i="443"/>
  <c r="AH52" i="443"/>
  <c r="AB52" i="443"/>
  <c r="P52" i="443"/>
  <c r="H52" i="443"/>
  <c r="E52" i="443"/>
  <c r="J52" i="443" s="1"/>
  <c r="AH51" i="443"/>
  <c r="AB51" i="443"/>
  <c r="Q51" i="443"/>
  <c r="P51" i="443"/>
  <c r="R51" i="443" s="1"/>
  <c r="T51" i="443" s="1"/>
  <c r="J51" i="443"/>
  <c r="H51" i="443"/>
  <c r="AH50" i="443"/>
  <c r="AB50" i="443"/>
  <c r="Q50" i="443"/>
  <c r="P50" i="443"/>
  <c r="R50" i="443" s="1"/>
  <c r="T50" i="443" s="1"/>
  <c r="AH49" i="443"/>
  <c r="AB49" i="443"/>
  <c r="R49" i="443"/>
  <c r="T49" i="443" s="1"/>
  <c r="P49" i="443"/>
  <c r="Q49" i="443" s="1"/>
  <c r="AH48" i="443"/>
  <c r="AB48" i="443"/>
  <c r="P48" i="443"/>
  <c r="R48" i="443" s="1"/>
  <c r="T48" i="443" s="1"/>
  <c r="AH47" i="443"/>
  <c r="AB47" i="443"/>
  <c r="P47" i="443"/>
  <c r="AN46" i="443"/>
  <c r="AM46" i="443"/>
  <c r="AH46" i="443"/>
  <c r="AB46" i="443"/>
  <c r="P46" i="443"/>
  <c r="R46" i="443" s="1"/>
  <c r="T46" i="443" s="1"/>
  <c r="E46" i="443"/>
  <c r="B46" i="443"/>
  <c r="P45" i="443"/>
  <c r="J45" i="443"/>
  <c r="AH44" i="443"/>
  <c r="AB44" i="443"/>
  <c r="P44" i="443"/>
  <c r="J44" i="443"/>
  <c r="AH43" i="443"/>
  <c r="AB43" i="443"/>
  <c r="P43" i="443"/>
  <c r="J43" i="443"/>
  <c r="AV42" i="443"/>
  <c r="AU42" i="443"/>
  <c r="AT42" i="443"/>
  <c r="AS42" i="443"/>
  <c r="AO46" i="443" s="1"/>
  <c r="AH42" i="443"/>
  <c r="AB42" i="443"/>
  <c r="P42" i="443"/>
  <c r="F42" i="443"/>
  <c r="G42" i="443" s="1"/>
  <c r="J42" i="443" s="1"/>
  <c r="AH41" i="443"/>
  <c r="AB41" i="443"/>
  <c r="Q41" i="443"/>
  <c r="P41" i="443"/>
  <c r="R41" i="443" s="1"/>
  <c r="T41" i="443" s="1"/>
  <c r="F41" i="443"/>
  <c r="C46" i="443"/>
  <c r="AH40" i="443"/>
  <c r="AB40" i="443"/>
  <c r="Q40" i="443"/>
  <c r="P40" i="443"/>
  <c r="R40" i="443" s="1"/>
  <c r="T40" i="443" s="1"/>
  <c r="AH39" i="443"/>
  <c r="AB39" i="443"/>
  <c r="P39" i="443"/>
  <c r="AH38" i="443"/>
  <c r="AB38" i="443"/>
  <c r="P38" i="443"/>
  <c r="R38" i="443" s="1"/>
  <c r="T38" i="443" s="1"/>
  <c r="AH37" i="443"/>
  <c r="AB37" i="443"/>
  <c r="P37" i="443"/>
  <c r="R37" i="443" s="1"/>
  <c r="T37" i="443" s="1"/>
  <c r="AH36" i="443"/>
  <c r="AB36" i="443"/>
  <c r="P36" i="443"/>
  <c r="G36" i="443"/>
  <c r="AH35" i="443"/>
  <c r="AB35" i="443"/>
  <c r="G35" i="443"/>
  <c r="AH34" i="443"/>
  <c r="AB34" i="443"/>
  <c r="H34" i="443"/>
  <c r="I34" i="443" s="1"/>
  <c r="AL33" i="443"/>
  <c r="AF33" i="443"/>
  <c r="C33" i="443"/>
  <c r="H33" i="443" s="1"/>
  <c r="I33" i="443" s="1"/>
  <c r="AL32" i="443"/>
  <c r="AF32" i="443"/>
  <c r="G32" i="443"/>
  <c r="E32" i="443"/>
  <c r="J32" i="443" s="1"/>
  <c r="C32" i="443"/>
  <c r="B32" i="443"/>
  <c r="AL31" i="443"/>
  <c r="AF31" i="443"/>
  <c r="AL30" i="443"/>
  <c r="AF30" i="443"/>
  <c r="AL29" i="443"/>
  <c r="AF29" i="443"/>
  <c r="H29" i="443"/>
  <c r="I29" i="443" s="1"/>
  <c r="AL28" i="443"/>
  <c r="AF28" i="443"/>
  <c r="AL27" i="443"/>
  <c r="AF27" i="443"/>
  <c r="AL26" i="443"/>
  <c r="AF26" i="443"/>
  <c r="H26" i="443"/>
  <c r="I26" i="443" s="1"/>
  <c r="AL25" i="443"/>
  <c r="AF25" i="443"/>
  <c r="AL24" i="443"/>
  <c r="AF24" i="443"/>
  <c r="H24" i="443"/>
  <c r="AL23" i="443"/>
  <c r="AF23" i="443"/>
  <c r="AL22" i="443"/>
  <c r="AF22" i="443"/>
  <c r="E17" i="443"/>
  <c r="B17" i="443"/>
  <c r="G15" i="443"/>
  <c r="C15" i="443"/>
  <c r="AP10" i="443"/>
  <c r="AR9" i="443"/>
  <c r="AR8" i="443"/>
  <c r="B9" i="443"/>
  <c r="J7" i="443"/>
  <c r="E7" i="443"/>
  <c r="Q56" i="443" l="1"/>
  <c r="Q61" i="443"/>
  <c r="Q38" i="443"/>
  <c r="R58" i="443"/>
  <c r="T58" i="443" s="1"/>
  <c r="Q62" i="443"/>
  <c r="AT60" i="443"/>
  <c r="AU60" i="443" s="1"/>
  <c r="AB54" i="443"/>
  <c r="AA56" i="443" s="1"/>
  <c r="P68" i="443"/>
  <c r="Q37" i="443"/>
  <c r="Q46" i="443"/>
  <c r="E53" i="443"/>
  <c r="Q54" i="443"/>
  <c r="J61" i="443"/>
  <c r="H61" i="443" s="1"/>
  <c r="Q63" i="443"/>
  <c r="J53" i="443"/>
  <c r="AH54" i="443"/>
  <c r="AG56" i="443" s="1"/>
  <c r="AR10" i="443"/>
  <c r="Q48" i="443"/>
  <c r="O134" i="443"/>
  <c r="E92" i="476"/>
  <c r="F91" i="476"/>
  <c r="F46" i="443"/>
  <c r="H53" i="443"/>
  <c r="H32" i="443"/>
  <c r="R43" i="443"/>
  <c r="T43" i="443" s="1"/>
  <c r="Q43" i="443"/>
  <c r="R39" i="443"/>
  <c r="T39" i="443" s="1"/>
  <c r="Q39" i="443"/>
  <c r="G41" i="443"/>
  <c r="G46" i="443" s="1"/>
  <c r="J46" i="443" s="1"/>
  <c r="R52" i="443"/>
  <c r="T52" i="443" s="1"/>
  <c r="Q52" i="443"/>
  <c r="Q53" i="443"/>
  <c r="Y57" i="443"/>
  <c r="AB57" i="443" s="1"/>
  <c r="AE56" i="443"/>
  <c r="AE57" i="443"/>
  <c r="AH57" i="443" s="1"/>
  <c r="Q59" i="443"/>
  <c r="R60" i="443"/>
  <c r="T60" i="443" s="1"/>
  <c r="Q60" i="443"/>
  <c r="R64" i="443"/>
  <c r="T64" i="443" s="1"/>
  <c r="Q64" i="443"/>
  <c r="Q65" i="443"/>
  <c r="C16" i="443"/>
  <c r="E8" i="443"/>
  <c r="G16" i="443"/>
  <c r="I24" i="443"/>
  <c r="I32" i="443" s="1"/>
  <c r="R36" i="443"/>
  <c r="Q36" i="443"/>
  <c r="R42" i="443"/>
  <c r="T42" i="443" s="1"/>
  <c r="Q42" i="443"/>
  <c r="R44" i="443"/>
  <c r="T44" i="443" s="1"/>
  <c r="Q44" i="443"/>
  <c r="R47" i="443"/>
  <c r="T47" i="443" s="1"/>
  <c r="Q47" i="443"/>
  <c r="R57" i="443"/>
  <c r="T57" i="443" s="1"/>
  <c r="Q57" i="443"/>
  <c r="E60" i="443"/>
  <c r="F59" i="443"/>
  <c r="R45" i="443"/>
  <c r="T45" i="443" s="1"/>
  <c r="Q45" i="443"/>
  <c r="C9" i="443"/>
  <c r="E9" i="443" s="1"/>
  <c r="AF56" i="443" l="1"/>
  <c r="AH56" i="443"/>
  <c r="AH55" i="443"/>
  <c r="AE60" i="443" s="1"/>
  <c r="AF60" i="443" s="1"/>
  <c r="T68" i="443"/>
  <c r="AB55" i="443"/>
  <c r="Z56" i="443"/>
  <c r="Y56" i="443"/>
  <c r="E93" i="476"/>
  <c r="F92" i="476"/>
  <c r="C17" i="443"/>
  <c r="X60" i="443" s="1"/>
  <c r="G17" i="443"/>
  <c r="R68" i="443"/>
  <c r="E61" i="443"/>
  <c r="F60" i="443"/>
  <c r="Y60" i="443"/>
  <c r="Z60" i="443" s="1"/>
  <c r="AG60" i="443" s="1"/>
  <c r="AH58" i="443"/>
  <c r="J41" i="443"/>
  <c r="Q68" i="443"/>
  <c r="V68" i="443" s="1"/>
  <c r="U52" i="443" s="1"/>
  <c r="AB56" i="443"/>
  <c r="E94" i="476" l="1"/>
  <c r="F93" i="476"/>
  <c r="U53" i="443"/>
  <c r="U60" i="443"/>
  <c r="U36" i="443"/>
  <c r="U68" i="443" s="1"/>
  <c r="U47" i="443"/>
  <c r="U67" i="443"/>
  <c r="U40" i="443"/>
  <c r="U66" i="443"/>
  <c r="U54" i="443"/>
  <c r="U61" i="443"/>
  <c r="U49" i="443"/>
  <c r="U56" i="443"/>
  <c r="U63" i="443"/>
  <c r="U50" i="443"/>
  <c r="U58" i="443"/>
  <c r="U38" i="443"/>
  <c r="U55" i="443"/>
  <c r="U51" i="443"/>
  <c r="U37" i="443"/>
  <c r="U48" i="443"/>
  <c r="U62" i="443"/>
  <c r="U41" i="443"/>
  <c r="U46" i="443"/>
  <c r="U39" i="443"/>
  <c r="U44" i="443"/>
  <c r="F61" i="443"/>
  <c r="E62" i="443"/>
  <c r="U57" i="443"/>
  <c r="U64" i="443"/>
  <c r="U59" i="443"/>
  <c r="U65" i="443"/>
  <c r="U43" i="443"/>
  <c r="U42" i="443"/>
  <c r="E95" i="476" l="1"/>
  <c r="F94" i="476"/>
  <c r="F62" i="443"/>
  <c r="E63" i="443"/>
  <c r="E96" i="476" l="1"/>
  <c r="F95" i="476"/>
  <c r="E64" i="443"/>
  <c r="F63" i="443"/>
  <c r="E97" i="476" l="1"/>
  <c r="F96" i="476"/>
  <c r="E65" i="443"/>
  <c r="F64" i="443"/>
  <c r="F97" i="476" l="1"/>
  <c r="E98" i="476"/>
  <c r="F65" i="443"/>
  <c r="E66" i="443"/>
  <c r="E99" i="476" l="1"/>
  <c r="F98" i="476"/>
  <c r="E67" i="443"/>
  <c r="F66" i="443"/>
  <c r="E100" i="476" l="1"/>
  <c r="F99" i="476"/>
  <c r="E68" i="443"/>
  <c r="F67" i="443"/>
  <c r="E101" i="476" l="1"/>
  <c r="F100" i="476"/>
  <c r="E69" i="443"/>
  <c r="F68" i="443"/>
  <c r="E102" i="476" l="1"/>
  <c r="F101" i="476"/>
  <c r="F69" i="443"/>
  <c r="E70" i="443"/>
  <c r="E103" i="476" l="1"/>
  <c r="F102" i="476"/>
  <c r="E71" i="443"/>
  <c r="F70" i="443"/>
  <c r="E104" i="476" l="1"/>
  <c r="F103" i="476"/>
  <c r="F71" i="443"/>
  <c r="E72" i="443"/>
  <c r="E105" i="476" l="1"/>
  <c r="F104" i="476"/>
  <c r="E73" i="443"/>
  <c r="F72" i="443"/>
  <c r="E106" i="476" l="1"/>
  <c r="F105" i="476"/>
  <c r="F73" i="443"/>
  <c r="E74" i="443"/>
  <c r="E107" i="476" l="1"/>
  <c r="F106" i="476"/>
  <c r="E75" i="443"/>
  <c r="F74" i="443"/>
  <c r="E108" i="476" l="1"/>
  <c r="F107" i="476"/>
  <c r="E76" i="443"/>
  <c r="F75" i="443"/>
  <c r="E109" i="476" l="1"/>
  <c r="F108" i="476"/>
  <c r="E77" i="443"/>
  <c r="F76" i="443"/>
  <c r="E110" i="476" l="1"/>
  <c r="F109" i="476"/>
  <c r="E78" i="443"/>
  <c r="F77" i="443"/>
  <c r="E111" i="476" l="1"/>
  <c r="F110" i="476"/>
  <c r="E79" i="443"/>
  <c r="F78" i="443"/>
  <c r="E112" i="476" l="1"/>
  <c r="F111" i="476"/>
  <c r="F79" i="443"/>
  <c r="E80" i="443"/>
  <c r="E113" i="476" l="1"/>
  <c r="F112" i="476"/>
  <c r="E81" i="443"/>
  <c r="F80" i="443"/>
  <c r="E114" i="476" l="1"/>
  <c r="F113" i="476"/>
  <c r="E82" i="443"/>
  <c r="F81" i="443"/>
  <c r="D19" i="564" l="1"/>
  <c r="E7" i="564"/>
  <c r="U2" i="564"/>
  <c r="E115" i="476"/>
  <c r="F114" i="476"/>
  <c r="E83" i="443"/>
  <c r="F82" i="443"/>
  <c r="D20" i="564" l="1"/>
  <c r="E13" i="564"/>
  <c r="U3" i="564"/>
  <c r="F7" i="564"/>
  <c r="E19" i="564"/>
  <c r="E116" i="476"/>
  <c r="F115" i="476"/>
  <c r="F83" i="443"/>
  <c r="E84" i="443"/>
  <c r="F13" i="564" l="1"/>
  <c r="F16" i="564" s="1"/>
  <c r="E20" i="564"/>
  <c r="F19" i="564"/>
  <c r="G7" i="564"/>
  <c r="E117" i="476"/>
  <c r="F117" i="476" s="1"/>
  <c r="F116" i="476"/>
  <c r="E85" i="443"/>
  <c r="F84" i="443"/>
  <c r="F20" i="564" l="1"/>
  <c r="G13" i="564"/>
  <c r="H7" i="564"/>
  <c r="G19" i="564"/>
  <c r="E86" i="443"/>
  <c r="F85" i="443"/>
  <c r="H13" i="564" l="1"/>
  <c r="H16" i="564" s="1"/>
  <c r="G20" i="564"/>
  <c r="H19" i="564"/>
  <c r="I7" i="564"/>
  <c r="E87" i="443"/>
  <c r="F86" i="443"/>
  <c r="I13" i="564" l="1"/>
  <c r="I16" i="564" s="1"/>
  <c r="H20" i="564"/>
  <c r="I19" i="564"/>
  <c r="J7" i="564"/>
  <c r="E88" i="443"/>
  <c r="F87" i="443"/>
  <c r="J13" i="564" l="1"/>
  <c r="J16" i="564" s="1"/>
  <c r="I20" i="564"/>
  <c r="J19" i="564"/>
  <c r="K7" i="564"/>
  <c r="E89" i="443"/>
  <c r="F88" i="443"/>
  <c r="D36" i="408"/>
  <c r="G35" i="408"/>
  <c r="C44" i="408"/>
  <c r="P65" i="408"/>
  <c r="Q65" i="408" s="1"/>
  <c r="E16" i="408"/>
  <c r="G16" i="408" s="1"/>
  <c r="B16" i="408"/>
  <c r="C15" i="408"/>
  <c r="C8" i="408"/>
  <c r="B8" i="408"/>
  <c r="B9" i="408" s="1"/>
  <c r="C24" i="408"/>
  <c r="G33" i="408"/>
  <c r="E33" i="408"/>
  <c r="L152" i="408"/>
  <c r="O134" i="408"/>
  <c r="N134" i="408"/>
  <c r="M127" i="408"/>
  <c r="O127" i="408" s="1"/>
  <c r="C118" i="408"/>
  <c r="B118" i="408"/>
  <c r="J73" i="408"/>
  <c r="O67" i="408"/>
  <c r="N67" i="408"/>
  <c r="M67" i="408"/>
  <c r="T66" i="408"/>
  <c r="P64" i="408"/>
  <c r="P63" i="408"/>
  <c r="R63" i="408" s="1"/>
  <c r="T63" i="408" s="1"/>
  <c r="P62" i="408"/>
  <c r="Q62" i="408" s="1"/>
  <c r="P61" i="408"/>
  <c r="Q61" i="408" s="1"/>
  <c r="P60" i="408"/>
  <c r="R60" i="408" s="1"/>
  <c r="T60" i="408" s="1"/>
  <c r="AS59" i="408"/>
  <c r="P59" i="408"/>
  <c r="Q59" i="408" s="1"/>
  <c r="AT58" i="408"/>
  <c r="P58" i="408"/>
  <c r="R58" i="408" s="1"/>
  <c r="T58" i="408" s="1"/>
  <c r="AT57" i="408"/>
  <c r="R57" i="408"/>
  <c r="T57" i="408" s="1"/>
  <c r="Q57" i="408"/>
  <c r="P57" i="408"/>
  <c r="E57" i="408"/>
  <c r="E58" i="408" s="1"/>
  <c r="F58" i="408" s="1"/>
  <c r="AT56" i="408"/>
  <c r="P56" i="408"/>
  <c r="R56" i="408" s="1"/>
  <c r="T56" i="408" s="1"/>
  <c r="F56" i="408"/>
  <c r="AT55" i="408"/>
  <c r="P55" i="408"/>
  <c r="R55" i="408" s="1"/>
  <c r="T55" i="408" s="1"/>
  <c r="AT54" i="408"/>
  <c r="P54" i="408"/>
  <c r="AT53" i="408"/>
  <c r="AG53" i="408"/>
  <c r="AF53" i="408"/>
  <c r="AF56" i="408" s="1"/>
  <c r="AE53" i="408"/>
  <c r="AE56" i="408" s="1"/>
  <c r="AA53" i="408"/>
  <c r="Z53" i="408"/>
  <c r="Z56" i="408" s="1"/>
  <c r="Y53" i="408"/>
  <c r="Y56" i="408" s="1"/>
  <c r="P53" i="408"/>
  <c r="Q53" i="408" s="1"/>
  <c r="AT52" i="408"/>
  <c r="AH52" i="408"/>
  <c r="AB52" i="408"/>
  <c r="P52" i="408"/>
  <c r="Q52" i="408" s="1"/>
  <c r="G52" i="408"/>
  <c r="F52" i="408"/>
  <c r="E52" i="408"/>
  <c r="D52" i="408"/>
  <c r="C52" i="408"/>
  <c r="B52" i="408"/>
  <c r="AH51" i="408"/>
  <c r="AB51" i="408"/>
  <c r="P51" i="408"/>
  <c r="R51" i="408" s="1"/>
  <c r="T51" i="408" s="1"/>
  <c r="J51" i="408"/>
  <c r="H51" i="408"/>
  <c r="AH50" i="408"/>
  <c r="AB50" i="408"/>
  <c r="R50" i="408"/>
  <c r="T50" i="408" s="1"/>
  <c r="P50" i="408"/>
  <c r="Q50" i="408" s="1"/>
  <c r="J50" i="408"/>
  <c r="H50" i="408"/>
  <c r="AH49" i="408"/>
  <c r="AB49" i="408"/>
  <c r="P49" i="408"/>
  <c r="R49" i="408" s="1"/>
  <c r="T49" i="408" s="1"/>
  <c r="AH48" i="408"/>
  <c r="AB48" i="408"/>
  <c r="P48" i="408"/>
  <c r="Q48" i="408" s="1"/>
  <c r="AH47" i="408"/>
  <c r="AB47" i="408"/>
  <c r="P47" i="408"/>
  <c r="Q47" i="408" s="1"/>
  <c r="AH46" i="408"/>
  <c r="AB46" i="408"/>
  <c r="P46" i="408"/>
  <c r="R46" i="408" s="1"/>
  <c r="T46" i="408" s="1"/>
  <c r="AN45" i="408"/>
  <c r="AM45" i="408"/>
  <c r="AH45" i="408"/>
  <c r="AB45" i="408"/>
  <c r="P45" i="408"/>
  <c r="Q45" i="408" s="1"/>
  <c r="B45" i="408"/>
  <c r="AH44" i="408"/>
  <c r="AB44" i="408"/>
  <c r="P44" i="408"/>
  <c r="F44" i="408"/>
  <c r="G44" i="408" s="1"/>
  <c r="J44" i="408" s="1"/>
  <c r="AH43" i="408"/>
  <c r="AB43" i="408"/>
  <c r="P43" i="408"/>
  <c r="Q43" i="408" s="1"/>
  <c r="E43" i="408"/>
  <c r="C43" i="408"/>
  <c r="AV42" i="408"/>
  <c r="AU42" i="408"/>
  <c r="AT42" i="408"/>
  <c r="AS42" i="408"/>
  <c r="AO45" i="408" s="1"/>
  <c r="AH42" i="408"/>
  <c r="AB42" i="408"/>
  <c r="R42" i="408"/>
  <c r="T42" i="408" s="1"/>
  <c r="P42" i="408"/>
  <c r="Q42" i="408" s="1"/>
  <c r="C42" i="408"/>
  <c r="F42" i="408" s="1"/>
  <c r="G42" i="408" s="1"/>
  <c r="J42" i="408" s="1"/>
  <c r="AH41" i="408"/>
  <c r="AB41" i="408"/>
  <c r="P41" i="408"/>
  <c r="R41" i="408" s="1"/>
  <c r="T41" i="408" s="1"/>
  <c r="G41" i="408"/>
  <c r="C41" i="408"/>
  <c r="J41" i="408" s="1"/>
  <c r="AH40" i="408"/>
  <c r="AB40" i="408"/>
  <c r="P40" i="408"/>
  <c r="R40" i="408" s="1"/>
  <c r="T40" i="408" s="1"/>
  <c r="AH39" i="408"/>
  <c r="AB39" i="408"/>
  <c r="R39" i="408"/>
  <c r="T39" i="408" s="1"/>
  <c r="P39" i="408"/>
  <c r="Q39" i="408" s="1"/>
  <c r="AH38" i="408"/>
  <c r="AB38" i="408"/>
  <c r="Q38" i="408"/>
  <c r="P38" i="408"/>
  <c r="R38" i="408" s="1"/>
  <c r="T38" i="408" s="1"/>
  <c r="AH37" i="408"/>
  <c r="AB37" i="408"/>
  <c r="P37" i="408"/>
  <c r="R37" i="408" s="1"/>
  <c r="T37" i="408" s="1"/>
  <c r="AH36" i="408"/>
  <c r="AB36" i="408"/>
  <c r="P36" i="408"/>
  <c r="G36" i="408"/>
  <c r="AH35" i="408"/>
  <c r="AB35" i="408"/>
  <c r="AH34" i="408"/>
  <c r="AB34" i="408"/>
  <c r="H34" i="408"/>
  <c r="I34" i="408" s="1"/>
  <c r="AL33" i="408"/>
  <c r="AF33" i="408"/>
  <c r="C33" i="408"/>
  <c r="H33" i="408" s="1"/>
  <c r="I33" i="408" s="1"/>
  <c r="AL32" i="408"/>
  <c r="AF32" i="408"/>
  <c r="G32" i="408"/>
  <c r="E32" i="408"/>
  <c r="J32" i="408" s="1"/>
  <c r="C32" i="408"/>
  <c r="B32" i="408"/>
  <c r="AL31" i="408"/>
  <c r="AF31" i="408"/>
  <c r="AL30" i="408"/>
  <c r="AF30" i="408"/>
  <c r="AL29" i="408"/>
  <c r="AF29" i="408"/>
  <c r="H29" i="408"/>
  <c r="I29" i="408" s="1"/>
  <c r="AL28" i="408"/>
  <c r="AF28" i="408"/>
  <c r="O28" i="408"/>
  <c r="AL27" i="408"/>
  <c r="AF27" i="408"/>
  <c r="AL26" i="408"/>
  <c r="AF26" i="408"/>
  <c r="H26" i="408"/>
  <c r="I26" i="408" s="1"/>
  <c r="AL25" i="408"/>
  <c r="AF25" i="408"/>
  <c r="R25" i="408"/>
  <c r="AL24" i="408"/>
  <c r="AF24" i="408"/>
  <c r="O24" i="408"/>
  <c r="H24" i="408"/>
  <c r="AL23" i="408"/>
  <c r="AF23" i="408"/>
  <c r="P23" i="408"/>
  <c r="O29" i="408" s="1"/>
  <c r="O23" i="408"/>
  <c r="AL22" i="408"/>
  <c r="AF22" i="408"/>
  <c r="O22" i="408"/>
  <c r="Q22" i="408" s="1"/>
  <c r="P28" i="408" s="1"/>
  <c r="E17" i="408"/>
  <c r="C16" i="408"/>
  <c r="G15" i="408"/>
  <c r="AP10" i="408"/>
  <c r="AR9" i="408"/>
  <c r="C9" i="408"/>
  <c r="AR8" i="408"/>
  <c r="L7" i="408"/>
  <c r="J7" i="408"/>
  <c r="E7" i="408"/>
  <c r="V6" i="408"/>
  <c r="N6" i="408"/>
  <c r="N5" i="408"/>
  <c r="K13" i="564" l="1"/>
  <c r="K16" i="564" s="1"/>
  <c r="J20" i="564"/>
  <c r="K19" i="564"/>
  <c r="L7" i="564"/>
  <c r="Q41" i="408"/>
  <c r="Q60" i="408"/>
  <c r="AR10" i="408"/>
  <c r="F43" i="408"/>
  <c r="Q51" i="408"/>
  <c r="Q56" i="408"/>
  <c r="R59" i="408"/>
  <c r="T59" i="408" s="1"/>
  <c r="R47" i="408"/>
  <c r="T47" i="408" s="1"/>
  <c r="R61" i="408"/>
  <c r="T61" i="408" s="1"/>
  <c r="Q37" i="408"/>
  <c r="R43" i="408"/>
  <c r="T43" i="408" s="1"/>
  <c r="AT59" i="408"/>
  <c r="AU59" i="408" s="1"/>
  <c r="N7" i="408"/>
  <c r="M7" i="408" s="1"/>
  <c r="Q46" i="408"/>
  <c r="Q49" i="408"/>
  <c r="F57" i="408"/>
  <c r="E59" i="408"/>
  <c r="R62" i="408"/>
  <c r="T62" i="408" s="1"/>
  <c r="R65" i="408"/>
  <c r="T65" i="408" s="1"/>
  <c r="E90" i="443"/>
  <c r="F89" i="443"/>
  <c r="J52" i="408"/>
  <c r="H52" i="408"/>
  <c r="G17" i="408"/>
  <c r="E9" i="408"/>
  <c r="H32" i="408"/>
  <c r="R54" i="408"/>
  <c r="T54" i="408" s="1"/>
  <c r="Q54" i="408"/>
  <c r="F59" i="408"/>
  <c r="E60" i="408"/>
  <c r="R64" i="408"/>
  <c r="T64" i="408" s="1"/>
  <c r="Q64" i="408"/>
  <c r="AB53" i="408"/>
  <c r="Y55" i="408" s="1"/>
  <c r="Q23" i="408"/>
  <c r="P29" i="408" s="1"/>
  <c r="T22" i="408" s="1"/>
  <c r="T27" i="408" s="1"/>
  <c r="I24" i="408"/>
  <c r="I32" i="408" s="1"/>
  <c r="G43" i="408"/>
  <c r="J43" i="408" s="1"/>
  <c r="C45" i="408"/>
  <c r="R45" i="408"/>
  <c r="T45" i="408" s="1"/>
  <c r="R52" i="408"/>
  <c r="T52" i="408" s="1"/>
  <c r="Q55" i="408"/>
  <c r="Q40" i="408"/>
  <c r="E45" i="408"/>
  <c r="Q58" i="408"/>
  <c r="Q63" i="408"/>
  <c r="B17" i="408"/>
  <c r="C17" i="408" s="1"/>
  <c r="X59" i="408" s="1"/>
  <c r="AH53" i="408"/>
  <c r="P24" i="408"/>
  <c r="P67" i="408"/>
  <c r="Q36" i="408"/>
  <c r="R36" i="408"/>
  <c r="G45" i="408"/>
  <c r="F45" i="408"/>
  <c r="R44" i="408"/>
  <c r="T44" i="408" s="1"/>
  <c r="Q44" i="408"/>
  <c r="R48" i="408"/>
  <c r="T48" i="408" s="1"/>
  <c r="R53" i="408"/>
  <c r="T53" i="408" s="1"/>
  <c r="AA55" i="408"/>
  <c r="AA56" i="408"/>
  <c r="AB56" i="408" s="1"/>
  <c r="AB54" i="408" s="1"/>
  <c r="AG56" i="408"/>
  <c r="AH56" i="408" s="1"/>
  <c r="E8" i="408"/>
  <c r="K20" i="564" l="1"/>
  <c r="L13" i="564"/>
  <c r="L16" i="564" s="1"/>
  <c r="L19" i="564"/>
  <c r="M7" i="564"/>
  <c r="Z55" i="408"/>
  <c r="R67" i="408"/>
  <c r="T67" i="408"/>
  <c r="E91" i="443"/>
  <c r="F90" i="443"/>
  <c r="J45" i="408"/>
  <c r="Y59" i="408"/>
  <c r="Z59" i="408" s="1"/>
  <c r="AE55" i="408"/>
  <c r="AH55" i="408" s="1"/>
  <c r="AF55" i="408"/>
  <c r="AH54" i="408"/>
  <c r="AE59" i="408" s="1"/>
  <c r="AF59" i="408" s="1"/>
  <c r="Q67" i="408"/>
  <c r="V67" i="408" s="1"/>
  <c r="U64" i="408" s="1"/>
  <c r="T12" i="408"/>
  <c r="T8" i="408" s="1"/>
  <c r="AG55" i="408"/>
  <c r="F60" i="408"/>
  <c r="E61" i="408"/>
  <c r="O30" i="408"/>
  <c r="O32" i="408" s="1"/>
  <c r="Q24" i="408"/>
  <c r="P30" i="408" s="1"/>
  <c r="AB55" i="408"/>
  <c r="L20" i="564" l="1"/>
  <c r="M13" i="564"/>
  <c r="M16" i="564" s="1"/>
  <c r="M19" i="564"/>
  <c r="N7" i="564"/>
  <c r="F91" i="443"/>
  <c r="E92" i="443"/>
  <c r="U63" i="408"/>
  <c r="U58" i="408"/>
  <c r="U55" i="408"/>
  <c r="U54" i="408"/>
  <c r="U44" i="408"/>
  <c r="U40" i="408"/>
  <c r="U36" i="408"/>
  <c r="U67" i="408" s="1"/>
  <c r="U22" i="408"/>
  <c r="U27" i="408" s="1"/>
  <c r="P32" i="408"/>
  <c r="E62" i="408"/>
  <c r="F61" i="408"/>
  <c r="AH57" i="408"/>
  <c r="U62" i="408"/>
  <c r="U66" i="408"/>
  <c r="U50" i="408"/>
  <c r="U39" i="408"/>
  <c r="U65" i="408"/>
  <c r="U43" i="408"/>
  <c r="U42" i="408"/>
  <c r="U48" i="408"/>
  <c r="U37" i="408"/>
  <c r="U45" i="408"/>
  <c r="U38" i="408"/>
  <c r="U53" i="408"/>
  <c r="U52" i="408"/>
  <c r="U51" i="408"/>
  <c r="U41" i="408"/>
  <c r="U46" i="408"/>
  <c r="U56" i="408"/>
  <c r="U57" i="408"/>
  <c r="U59" i="408"/>
  <c r="U49" i="408"/>
  <c r="U47" i="408"/>
  <c r="U60" i="408"/>
  <c r="U61" i="408"/>
  <c r="AG59" i="408"/>
  <c r="N13" i="564" l="1"/>
  <c r="M20" i="564"/>
  <c r="N19" i="564"/>
  <c r="O7" i="564"/>
  <c r="E93" i="443"/>
  <c r="F92" i="443"/>
  <c r="E63" i="408"/>
  <c r="F62" i="408"/>
  <c r="U12" i="408"/>
  <c r="U8" i="408" s="1"/>
  <c r="V8" i="408" s="1"/>
  <c r="V27" i="408"/>
  <c r="N20" i="564" l="1"/>
  <c r="O13" i="564"/>
  <c r="O19" i="564"/>
  <c r="P7" i="564"/>
  <c r="E94" i="443"/>
  <c r="F93" i="443"/>
  <c r="F63" i="408"/>
  <c r="E64" i="408"/>
  <c r="O20" i="564" l="1"/>
  <c r="P13" i="564"/>
  <c r="Q7" i="564"/>
  <c r="P19" i="564"/>
  <c r="E95" i="443"/>
  <c r="F94" i="443"/>
  <c r="F64" i="408"/>
  <c r="E65" i="408"/>
  <c r="P20" i="564" l="1"/>
  <c r="Q13" i="564"/>
  <c r="R7" i="564"/>
  <c r="Q19" i="564"/>
  <c r="F95" i="443"/>
  <c r="E96" i="443"/>
  <c r="E66" i="408"/>
  <c r="F65" i="408"/>
  <c r="R13" i="564" l="1"/>
  <c r="S13" i="564" s="1"/>
  <c r="Q20" i="564"/>
  <c r="R19" i="564"/>
  <c r="S7" i="564"/>
  <c r="E97" i="443"/>
  <c r="F96" i="443"/>
  <c r="F66" i="408"/>
  <c r="E67" i="408"/>
  <c r="R20" i="564" l="1"/>
  <c r="S19" i="564"/>
  <c r="T7" i="564"/>
  <c r="T11" i="564" s="1"/>
  <c r="E98" i="443"/>
  <c r="F97" i="443"/>
  <c r="F67" i="408"/>
  <c r="E68" i="408"/>
  <c r="T13" i="564" l="1"/>
  <c r="T16" i="564" s="1"/>
  <c r="S20" i="564"/>
  <c r="T19" i="564"/>
  <c r="U7" i="564"/>
  <c r="U11" i="564" s="1"/>
  <c r="E99" i="443"/>
  <c r="F98" i="443"/>
  <c r="E69" i="408"/>
  <c r="F68" i="408"/>
  <c r="U13" i="564" l="1"/>
  <c r="U16" i="564" s="1"/>
  <c r="T20" i="564"/>
  <c r="U19" i="564"/>
  <c r="V7" i="564"/>
  <c r="V11" i="564" s="1"/>
  <c r="E100" i="443"/>
  <c r="F99" i="443"/>
  <c r="F69" i="408"/>
  <c r="E70" i="408"/>
  <c r="V13" i="564" l="1"/>
  <c r="V16" i="564" s="1"/>
  <c r="U20" i="564"/>
  <c r="V19" i="564"/>
  <c r="W7" i="564"/>
  <c r="W11" i="564" s="1"/>
  <c r="E101" i="443"/>
  <c r="F100" i="443"/>
  <c r="E71" i="408"/>
  <c r="F70" i="408"/>
  <c r="W13" i="564" l="1"/>
  <c r="W16" i="564" s="1"/>
  <c r="V20" i="564"/>
  <c r="W19" i="564"/>
  <c r="X7" i="564"/>
  <c r="X11" i="564" s="1"/>
  <c r="E102" i="443"/>
  <c r="F101" i="443"/>
  <c r="E72" i="408"/>
  <c r="F71" i="408"/>
  <c r="X13" i="564" l="1"/>
  <c r="X16" i="564" s="1"/>
  <c r="W20" i="564"/>
  <c r="X19" i="564"/>
  <c r="Y7" i="564"/>
  <c r="Y11" i="564" s="1"/>
  <c r="E103" i="443"/>
  <c r="F102" i="443"/>
  <c r="E73" i="408"/>
  <c r="F72" i="408"/>
  <c r="X20" i="564" l="1"/>
  <c r="Y13" i="564"/>
  <c r="Y16" i="564" s="1"/>
  <c r="Y19" i="564"/>
  <c r="Z7" i="564"/>
  <c r="Z11" i="564" s="1"/>
  <c r="F103" i="443"/>
  <c r="E104" i="443"/>
  <c r="E74" i="408"/>
  <c r="F73" i="408"/>
  <c r="Y20" i="564" l="1"/>
  <c r="Z13" i="564"/>
  <c r="Z16" i="564" s="1"/>
  <c r="Z19" i="564"/>
  <c r="AA7" i="564"/>
  <c r="AA11" i="564" s="1"/>
  <c r="E105" i="443"/>
  <c r="F104" i="443"/>
  <c r="F74" i="408"/>
  <c r="E75" i="408"/>
  <c r="AA13" i="564" l="1"/>
  <c r="AA16" i="564" s="1"/>
  <c r="Z20" i="564"/>
  <c r="AB7" i="564"/>
  <c r="AB11" i="564" s="1"/>
  <c r="AA19" i="564"/>
  <c r="E106" i="443"/>
  <c r="F105" i="443"/>
  <c r="E76" i="408"/>
  <c r="F75" i="408"/>
  <c r="AA20" i="564" l="1"/>
  <c r="AB13" i="564"/>
  <c r="AB16" i="564" s="1"/>
  <c r="AC7" i="564"/>
  <c r="AC11" i="564" s="1"/>
  <c r="AB19" i="564"/>
  <c r="E107" i="443"/>
  <c r="F106" i="443"/>
  <c r="F76" i="408"/>
  <c r="E77" i="408"/>
  <c r="AC13" i="564" l="1"/>
  <c r="AC16" i="564" s="1"/>
  <c r="AB20" i="564"/>
  <c r="AD7" i="564"/>
  <c r="AD11" i="564" s="1"/>
  <c r="AC19" i="564"/>
  <c r="E108" i="443"/>
  <c r="F107" i="443"/>
  <c r="E78" i="408"/>
  <c r="F77" i="408"/>
  <c r="AD13" i="564" l="1"/>
  <c r="AD16" i="564" s="1"/>
  <c r="AC20" i="564"/>
  <c r="AD19" i="564"/>
  <c r="AE7" i="564"/>
  <c r="AE11" i="564" s="1"/>
  <c r="E109" i="443"/>
  <c r="F108" i="443"/>
  <c r="F78" i="408"/>
  <c r="E79" i="408"/>
  <c r="AD20" i="564" l="1"/>
  <c r="AE13" i="564"/>
  <c r="AE16" i="564" s="1"/>
  <c r="AE19" i="564"/>
  <c r="AF7" i="564"/>
  <c r="AF11" i="564" s="1"/>
  <c r="E110" i="443"/>
  <c r="F109" i="443"/>
  <c r="F79" i="408"/>
  <c r="E80" i="408"/>
  <c r="AE20" i="564" l="1"/>
  <c r="AF13" i="564"/>
  <c r="AF16" i="564" s="1"/>
  <c r="AF19" i="564"/>
  <c r="AG7" i="564"/>
  <c r="AG11" i="564" s="1"/>
  <c r="E111" i="443"/>
  <c r="F110" i="443"/>
  <c r="F80" i="408"/>
  <c r="E81" i="408"/>
  <c r="AF20" i="564" l="1"/>
  <c r="AH13" i="564"/>
  <c r="AH16" i="564" s="1"/>
  <c r="AG13" i="564"/>
  <c r="AG16" i="564" s="1"/>
  <c r="AG20" i="564" s="1"/>
  <c r="AH7" i="564"/>
  <c r="AH11" i="564" s="1"/>
  <c r="AG19" i="564"/>
  <c r="E112" i="443"/>
  <c r="F111" i="443"/>
  <c r="E82" i="408"/>
  <c r="F81" i="408"/>
  <c r="AI13" i="564" l="1"/>
  <c r="AI16" i="564" s="1"/>
  <c r="AH20" i="564"/>
  <c r="AI7" i="564"/>
  <c r="AI11" i="564" s="1"/>
  <c r="AH19" i="564"/>
  <c r="E113" i="443"/>
  <c r="F112" i="443"/>
  <c r="F82" i="408"/>
  <c r="E83" i="408"/>
  <c r="AI20" i="564" l="1"/>
  <c r="AC3" i="564"/>
  <c r="AI19" i="564"/>
  <c r="AC2" i="564"/>
  <c r="E114" i="443"/>
  <c r="F113" i="443"/>
  <c r="E84" i="408"/>
  <c r="F83" i="408"/>
  <c r="E115" i="443" l="1"/>
  <c r="F114" i="443"/>
  <c r="F84" i="408"/>
  <c r="E85" i="408"/>
  <c r="E116" i="443" l="1"/>
  <c r="F115" i="443"/>
  <c r="E86" i="408"/>
  <c r="F85" i="408"/>
  <c r="U8" i="370"/>
  <c r="E117" i="443" l="1"/>
  <c r="F117" i="443" s="1"/>
  <c r="F116" i="443"/>
  <c r="F86" i="408"/>
  <c r="E87" i="408"/>
  <c r="F87" i="408" l="1"/>
  <c r="E88" i="408"/>
  <c r="F88" i="408" l="1"/>
  <c r="E89" i="408"/>
  <c r="E90" i="408" l="1"/>
  <c r="F89" i="408"/>
  <c r="J33" i="370"/>
  <c r="F90" i="408" l="1"/>
  <c r="E91" i="408"/>
  <c r="E92" i="408" l="1"/>
  <c r="F91" i="408"/>
  <c r="T15" i="370"/>
  <c r="F92" i="408" l="1"/>
  <c r="E93" i="408"/>
  <c r="L19" i="370"/>
  <c r="F45" i="370"/>
  <c r="E52" i="370"/>
  <c r="D45" i="370"/>
  <c r="E45" i="370" s="1"/>
  <c r="D36" i="370"/>
  <c r="E17" i="370"/>
  <c r="E16" i="370"/>
  <c r="B17" i="370"/>
  <c r="B16" i="370"/>
  <c r="C9" i="370"/>
  <c r="E9" i="370" s="1"/>
  <c r="C8" i="370"/>
  <c r="B9" i="370"/>
  <c r="B8" i="370"/>
  <c r="D35" i="370"/>
  <c r="G35" i="370" s="1"/>
  <c r="G26" i="370"/>
  <c r="L128" i="370"/>
  <c r="C95" i="370"/>
  <c r="B95" i="370"/>
  <c r="J74" i="370"/>
  <c r="N67" i="370"/>
  <c r="M67" i="370"/>
  <c r="P66" i="370"/>
  <c r="R66" i="370" s="1"/>
  <c r="T66" i="370" s="1"/>
  <c r="P65" i="370"/>
  <c r="P64" i="370"/>
  <c r="R64" i="370" s="1"/>
  <c r="T64" i="370" s="1"/>
  <c r="P63" i="370"/>
  <c r="R63" i="370" s="1"/>
  <c r="T63" i="370" s="1"/>
  <c r="Q62" i="370"/>
  <c r="P62" i="370"/>
  <c r="R62" i="370" s="1"/>
  <c r="T62" i="370" s="1"/>
  <c r="P61" i="370"/>
  <c r="R60" i="370"/>
  <c r="T60" i="370" s="1"/>
  <c r="Q60" i="370"/>
  <c r="P60" i="370"/>
  <c r="AS59" i="370"/>
  <c r="P59" i="370"/>
  <c r="Q59" i="370" s="1"/>
  <c r="AT58" i="370"/>
  <c r="P58" i="370"/>
  <c r="R58" i="370" s="1"/>
  <c r="T58" i="370" s="1"/>
  <c r="E58" i="370"/>
  <c r="E59" i="370" s="1"/>
  <c r="AT57" i="370"/>
  <c r="P57" i="370"/>
  <c r="F57" i="370"/>
  <c r="AT56" i="370"/>
  <c r="P56" i="370"/>
  <c r="R56" i="370" s="1"/>
  <c r="T56" i="370" s="1"/>
  <c r="AT55" i="370"/>
  <c r="P55" i="370"/>
  <c r="R55" i="370" s="1"/>
  <c r="T55" i="370" s="1"/>
  <c r="AT54" i="370"/>
  <c r="P54" i="370"/>
  <c r="R54" i="370" s="1"/>
  <c r="T54" i="370" s="1"/>
  <c r="AT53" i="370"/>
  <c r="AG53" i="370"/>
  <c r="AG56" i="370" s="1"/>
  <c r="AF53" i="370"/>
  <c r="AF56" i="370" s="1"/>
  <c r="AE53" i="370"/>
  <c r="AE56" i="370" s="1"/>
  <c r="AA53" i="370"/>
  <c r="Z53" i="370"/>
  <c r="Z56" i="370" s="1"/>
  <c r="Y53" i="370"/>
  <c r="Y56" i="370" s="1"/>
  <c r="P53" i="370"/>
  <c r="Q53" i="370" s="1"/>
  <c r="G53" i="370"/>
  <c r="F53" i="370"/>
  <c r="E53" i="370"/>
  <c r="D53" i="370"/>
  <c r="C53" i="370"/>
  <c r="B53" i="370"/>
  <c r="AT52" i="370"/>
  <c r="AH52" i="370"/>
  <c r="AB52" i="370"/>
  <c r="P52" i="370"/>
  <c r="Q52" i="370" s="1"/>
  <c r="J52" i="370"/>
  <c r="H52" i="370"/>
  <c r="AH51" i="370"/>
  <c r="AB51" i="370"/>
  <c r="P51" i="370"/>
  <c r="J51" i="370"/>
  <c r="H51" i="370"/>
  <c r="AH50" i="370"/>
  <c r="AB50" i="370"/>
  <c r="P50" i="370"/>
  <c r="R50" i="370" s="1"/>
  <c r="T50" i="370" s="1"/>
  <c r="AH49" i="370"/>
  <c r="AB49" i="370"/>
  <c r="P49" i="370"/>
  <c r="AH48" i="370"/>
  <c r="AB48" i="370"/>
  <c r="P48" i="370"/>
  <c r="R48" i="370" s="1"/>
  <c r="T48" i="370" s="1"/>
  <c r="AH47" i="370"/>
  <c r="AB47" i="370"/>
  <c r="P47" i="370"/>
  <c r="Q47" i="370" s="1"/>
  <c r="AH46" i="370"/>
  <c r="AB46" i="370"/>
  <c r="P46" i="370"/>
  <c r="R46" i="370" s="1"/>
  <c r="T46" i="370" s="1"/>
  <c r="F46" i="370"/>
  <c r="C46" i="370"/>
  <c r="B46" i="370"/>
  <c r="AN45" i="370"/>
  <c r="AM45" i="370"/>
  <c r="AH45" i="370"/>
  <c r="AB45" i="370"/>
  <c r="O45" i="370"/>
  <c r="P45" i="370" s="1"/>
  <c r="Q45" i="370" s="1"/>
  <c r="AH44" i="370"/>
  <c r="AB44" i="370"/>
  <c r="P44" i="370"/>
  <c r="D44" i="370"/>
  <c r="E44" i="370" s="1"/>
  <c r="AH43" i="370"/>
  <c r="AB43" i="370"/>
  <c r="P43" i="370"/>
  <c r="D43" i="370"/>
  <c r="E43" i="370" s="1"/>
  <c r="AV42" i="370"/>
  <c r="AU42" i="370"/>
  <c r="AT42" i="370"/>
  <c r="AS42" i="370"/>
  <c r="AO45" i="370" s="1"/>
  <c r="AH42" i="370"/>
  <c r="AB42" i="370"/>
  <c r="P42" i="370"/>
  <c r="D42" i="370"/>
  <c r="E42" i="370" s="1"/>
  <c r="AH41" i="370"/>
  <c r="AB41" i="370"/>
  <c r="P41" i="370"/>
  <c r="D41" i="370"/>
  <c r="AH40" i="370"/>
  <c r="AB40" i="370"/>
  <c r="P40" i="370"/>
  <c r="AH39" i="370"/>
  <c r="AB39" i="370"/>
  <c r="P39" i="370"/>
  <c r="Q39" i="370" s="1"/>
  <c r="AH38" i="370"/>
  <c r="AB38" i="370"/>
  <c r="P38" i="370"/>
  <c r="R38" i="370" s="1"/>
  <c r="T38" i="370" s="1"/>
  <c r="AH37" i="370"/>
  <c r="AB37" i="370"/>
  <c r="P37" i="370"/>
  <c r="R37" i="370" s="1"/>
  <c r="T37" i="370" s="1"/>
  <c r="AH36" i="370"/>
  <c r="AB36" i="370"/>
  <c r="P36" i="370"/>
  <c r="R36" i="370" s="1"/>
  <c r="G36" i="370"/>
  <c r="AH35" i="370"/>
  <c r="AB35" i="370"/>
  <c r="AH34" i="370"/>
  <c r="AB34" i="370"/>
  <c r="H34" i="370"/>
  <c r="I34" i="370" s="1"/>
  <c r="AL33" i="370"/>
  <c r="AF33" i="370"/>
  <c r="C33" i="370"/>
  <c r="H33" i="370" s="1"/>
  <c r="AL32" i="370"/>
  <c r="AF32" i="370"/>
  <c r="G32" i="370"/>
  <c r="E32" i="370"/>
  <c r="C32" i="370"/>
  <c r="B32" i="370"/>
  <c r="AL31" i="370"/>
  <c r="AF31" i="370"/>
  <c r="AL30" i="370"/>
  <c r="AF30" i="370"/>
  <c r="AL29" i="370"/>
  <c r="AF29" i="370"/>
  <c r="O29" i="370"/>
  <c r="H29" i="370"/>
  <c r="I29" i="370" s="1"/>
  <c r="AL28" i="370"/>
  <c r="AF28" i="370"/>
  <c r="AL27" i="370"/>
  <c r="AF27" i="370"/>
  <c r="AL26" i="370"/>
  <c r="AF26" i="370"/>
  <c r="O26" i="370"/>
  <c r="H26" i="370"/>
  <c r="I26" i="370" s="1"/>
  <c r="AL25" i="370"/>
  <c r="AF25" i="370"/>
  <c r="AL24" i="370"/>
  <c r="AF24" i="370"/>
  <c r="O24" i="370"/>
  <c r="H24" i="370"/>
  <c r="I24" i="370" s="1"/>
  <c r="AL23" i="370"/>
  <c r="AF23" i="370"/>
  <c r="O23" i="370"/>
  <c r="Q23" i="370" s="1"/>
  <c r="P29" i="370" s="1"/>
  <c r="U28" i="370" s="1"/>
  <c r="AL22" i="370"/>
  <c r="AF22" i="370"/>
  <c r="O28" i="370"/>
  <c r="O22" i="370"/>
  <c r="Q22" i="370" s="1"/>
  <c r="P21" i="370"/>
  <c r="O21" i="370"/>
  <c r="O20" i="370"/>
  <c r="Q20" i="370" s="1"/>
  <c r="P26" i="370" s="1"/>
  <c r="C17" i="370"/>
  <c r="X59" i="370" s="1"/>
  <c r="G16" i="370"/>
  <c r="C16" i="370"/>
  <c r="P15" i="370"/>
  <c r="N15" i="370"/>
  <c r="G15" i="370"/>
  <c r="C15" i="370"/>
  <c r="Q14" i="370"/>
  <c r="Q13" i="370"/>
  <c r="Q12" i="370"/>
  <c r="AP10" i="370"/>
  <c r="AR9" i="370"/>
  <c r="N9" i="370"/>
  <c r="AR8" i="370"/>
  <c r="E8" i="370"/>
  <c r="J7" i="370"/>
  <c r="E7" i="370"/>
  <c r="R47" i="370" l="1"/>
  <c r="T47" i="370" s="1"/>
  <c r="Q48" i="370"/>
  <c r="F58" i="370"/>
  <c r="R59" i="370"/>
  <c r="T59" i="370" s="1"/>
  <c r="R53" i="370"/>
  <c r="T53" i="370" s="1"/>
  <c r="AR10" i="370"/>
  <c r="R39" i="370"/>
  <c r="T39" i="370" s="1"/>
  <c r="R52" i="370"/>
  <c r="T52" i="370" s="1"/>
  <c r="J53" i="370"/>
  <c r="Q64" i="370"/>
  <c r="Q36" i="370"/>
  <c r="Q38" i="370"/>
  <c r="Q56" i="370"/>
  <c r="Q58" i="370"/>
  <c r="Q63" i="370"/>
  <c r="Q46" i="370"/>
  <c r="AT59" i="370"/>
  <c r="AU59" i="370" s="1"/>
  <c r="E94" i="408"/>
  <c r="F93" i="408"/>
  <c r="H53" i="370"/>
  <c r="Q66" i="370"/>
  <c r="G17" i="370"/>
  <c r="I32" i="370"/>
  <c r="H32" i="370"/>
  <c r="G43" i="370"/>
  <c r="H43" i="370" s="1"/>
  <c r="J43" i="370"/>
  <c r="G44" i="370"/>
  <c r="H44" i="370" s="1"/>
  <c r="J44" i="370" s="1"/>
  <c r="E60" i="370"/>
  <c r="F59" i="370"/>
  <c r="G42" i="370"/>
  <c r="H42" i="370" s="1"/>
  <c r="J42" i="370" s="1"/>
  <c r="G45" i="370"/>
  <c r="H45" i="370" s="1"/>
  <c r="J45" i="370" s="1"/>
  <c r="Q41" i="370"/>
  <c r="R41" i="370"/>
  <c r="T41" i="370" s="1"/>
  <c r="AH56" i="370"/>
  <c r="Q21" i="370"/>
  <c r="P27" i="370" s="1"/>
  <c r="T24" i="370" s="1"/>
  <c r="P24" i="370"/>
  <c r="Q37" i="370"/>
  <c r="D46" i="370"/>
  <c r="G41" i="370"/>
  <c r="P28" i="370"/>
  <c r="T27" i="370" s="1"/>
  <c r="Q49" i="370"/>
  <c r="R49" i="370"/>
  <c r="T49" i="370" s="1"/>
  <c r="Q51" i="370"/>
  <c r="R51" i="370"/>
  <c r="T51" i="370" s="1"/>
  <c r="Q57" i="370"/>
  <c r="R57" i="370"/>
  <c r="T57" i="370" s="1"/>
  <c r="Q61" i="370"/>
  <c r="R61" i="370"/>
  <c r="T61" i="370" s="1"/>
  <c r="Q40" i="370"/>
  <c r="R40" i="370"/>
  <c r="T40" i="370" s="1"/>
  <c r="Q42" i="370"/>
  <c r="R42" i="370"/>
  <c r="T42" i="370" s="1"/>
  <c r="Q43" i="370"/>
  <c r="R43" i="370"/>
  <c r="T43" i="370" s="1"/>
  <c r="Q44" i="370"/>
  <c r="R44" i="370"/>
  <c r="T44" i="370" s="1"/>
  <c r="Q65" i="370"/>
  <c r="R65" i="370"/>
  <c r="T65" i="370" s="1"/>
  <c r="AB53" i="370"/>
  <c r="Y55" i="370" s="1"/>
  <c r="R45" i="370"/>
  <c r="T45" i="370" s="1"/>
  <c r="Q50" i="370"/>
  <c r="Q54" i="370"/>
  <c r="O67" i="370"/>
  <c r="Q15" i="370"/>
  <c r="O15" i="370" s="1"/>
  <c r="AH53" i="370"/>
  <c r="AE55" i="370" s="1"/>
  <c r="R25" i="370"/>
  <c r="O27" i="370"/>
  <c r="I33" i="370"/>
  <c r="P67" i="370"/>
  <c r="E41" i="370"/>
  <c r="Q55" i="370"/>
  <c r="AA56" i="370"/>
  <c r="AB56" i="370" s="1"/>
  <c r="AB54" i="370" s="1"/>
  <c r="AF55" i="370" l="1"/>
  <c r="AG55" i="370"/>
  <c r="AH54" i="370"/>
  <c r="AE59" i="370" s="1"/>
  <c r="AF59" i="370" s="1"/>
  <c r="T67" i="370"/>
  <c r="Z55" i="370"/>
  <c r="AA55" i="370"/>
  <c r="F94" i="408"/>
  <c r="E95" i="408"/>
  <c r="Y59" i="370"/>
  <c r="Z59" i="370" s="1"/>
  <c r="Q67" i="370"/>
  <c r="V67" i="370" s="1"/>
  <c r="U43" i="370" s="1"/>
  <c r="H41" i="370"/>
  <c r="H46" i="370" s="1"/>
  <c r="G46" i="370"/>
  <c r="E46" i="370"/>
  <c r="AH55" i="370"/>
  <c r="U50" i="370"/>
  <c r="O30" i="370"/>
  <c r="O31" i="370" s="1"/>
  <c r="Q24" i="370"/>
  <c r="P30" i="370" s="1"/>
  <c r="R67" i="370"/>
  <c r="E61" i="370"/>
  <c r="F60" i="370"/>
  <c r="AH57" i="370" l="1"/>
  <c r="AB55" i="370"/>
  <c r="J41" i="370"/>
  <c r="U51" i="370"/>
  <c r="AG59" i="370"/>
  <c r="F95" i="408"/>
  <c r="E96" i="408"/>
  <c r="U19" i="370"/>
  <c r="U33" i="370" s="1"/>
  <c r="U55" i="370"/>
  <c r="U57" i="370"/>
  <c r="E62" i="370"/>
  <c r="F61" i="370"/>
  <c r="J46" i="370"/>
  <c r="U36" i="370"/>
  <c r="U67" i="370" s="1"/>
  <c r="U62" i="370"/>
  <c r="U66" i="370"/>
  <c r="U45" i="370"/>
  <c r="U63" i="370"/>
  <c r="U38" i="370"/>
  <c r="U52" i="370"/>
  <c r="U60" i="370"/>
  <c r="U58" i="370"/>
  <c r="U47" i="370"/>
  <c r="U39" i="370"/>
  <c r="U59" i="370"/>
  <c r="U53" i="370"/>
  <c r="U56" i="370"/>
  <c r="U46" i="370"/>
  <c r="U64" i="370"/>
  <c r="U48" i="370"/>
  <c r="U37" i="370"/>
  <c r="U61" i="370"/>
  <c r="U42" i="370"/>
  <c r="U49" i="370"/>
  <c r="U41" i="370"/>
  <c r="U65" i="370"/>
  <c r="P31" i="370"/>
  <c r="U44" i="370"/>
  <c r="U40" i="370"/>
  <c r="U54" i="370"/>
  <c r="F96" i="408" l="1"/>
  <c r="E97" i="408"/>
  <c r="F62" i="370"/>
  <c r="E63" i="370"/>
  <c r="E98" i="408" l="1"/>
  <c r="F97" i="408"/>
  <c r="F63" i="370"/>
  <c r="E64" i="370"/>
  <c r="F98" i="408" l="1"/>
  <c r="E99" i="408"/>
  <c r="E65" i="370"/>
  <c r="F64" i="370"/>
  <c r="E100" i="408" l="1"/>
  <c r="F99" i="408"/>
  <c r="E66" i="370"/>
  <c r="F65" i="370"/>
  <c r="F100" i="408" l="1"/>
  <c r="E101" i="408"/>
  <c r="F66" i="370"/>
  <c r="E67" i="370"/>
  <c r="E102" i="408" l="1"/>
  <c r="F101" i="408"/>
  <c r="F67" i="370"/>
  <c r="E68" i="370"/>
  <c r="F102" i="408" l="1"/>
  <c r="E103" i="408"/>
  <c r="E69" i="370"/>
  <c r="F68" i="370"/>
  <c r="F103" i="408" l="1"/>
  <c r="E104" i="408"/>
  <c r="F69" i="370"/>
  <c r="E70" i="370"/>
  <c r="F104" i="408" l="1"/>
  <c r="E105" i="408"/>
  <c r="E71" i="370"/>
  <c r="F70" i="370"/>
  <c r="E106" i="408" l="1"/>
  <c r="F105" i="408"/>
  <c r="F71" i="370"/>
  <c r="E72" i="370"/>
  <c r="F106" i="408" l="1"/>
  <c r="E107" i="408"/>
  <c r="E73" i="370"/>
  <c r="F72" i="370"/>
  <c r="E108" i="408" l="1"/>
  <c r="F107" i="408"/>
  <c r="F73" i="370"/>
  <c r="E74" i="370"/>
  <c r="F108" i="408" l="1"/>
  <c r="E109" i="408"/>
  <c r="E75" i="370"/>
  <c r="F74" i="370"/>
  <c r="E110" i="408" l="1"/>
  <c r="F109" i="408"/>
  <c r="E76" i="370"/>
  <c r="F75" i="370"/>
  <c r="F110" i="408" l="1"/>
  <c r="E111" i="408"/>
  <c r="F76" i="370"/>
  <c r="E77" i="370"/>
  <c r="N16" i="337"/>
  <c r="E112" i="408" l="1"/>
  <c r="F111" i="408"/>
  <c r="E78" i="370"/>
  <c r="F77" i="370"/>
  <c r="F112" i="408" l="1"/>
  <c r="E113" i="408"/>
  <c r="F78" i="370"/>
  <c r="E79" i="370"/>
  <c r="E114" i="408" l="1"/>
  <c r="F113" i="408"/>
  <c r="E80" i="370"/>
  <c r="F79" i="370"/>
  <c r="F114" i="408" l="1"/>
  <c r="E115" i="408"/>
  <c r="F115" i="408" s="1"/>
  <c r="F80" i="370"/>
  <c r="E81" i="370"/>
  <c r="E82" i="370" l="1"/>
  <c r="F81" i="370"/>
  <c r="F82" i="370" l="1"/>
  <c r="E83" i="370"/>
  <c r="E84" i="370" l="1"/>
  <c r="F83" i="370"/>
  <c r="K21" i="337"/>
  <c r="K48" i="337"/>
  <c r="F84" i="370" l="1"/>
  <c r="E85" i="370"/>
  <c r="E86" i="370" l="1"/>
  <c r="F85" i="370"/>
  <c r="F86" i="370" l="1"/>
  <c r="E87" i="370"/>
  <c r="E88" i="370" l="1"/>
  <c r="F87" i="370"/>
  <c r="F88" i="370" l="1"/>
  <c r="E89" i="370"/>
  <c r="E90" i="370" l="1"/>
  <c r="F89" i="370"/>
  <c r="F90" i="370" l="1"/>
  <c r="E91" i="370"/>
  <c r="E92" i="370" l="1"/>
  <c r="F91" i="370"/>
  <c r="D44" i="337"/>
  <c r="E44" i="337" s="1"/>
  <c r="Q63" i="337"/>
  <c r="S63" i="337" s="1"/>
  <c r="U63" i="337" s="1"/>
  <c r="D36" i="337"/>
  <c r="G36" i="337" s="1"/>
  <c r="D35" i="337"/>
  <c r="G33" i="337"/>
  <c r="E17" i="337"/>
  <c r="E16" i="337"/>
  <c r="B17" i="337"/>
  <c r="C17" i="337" s="1"/>
  <c r="Y59" i="337" s="1"/>
  <c r="B16" i="337"/>
  <c r="C16" i="337" s="1"/>
  <c r="C9" i="337"/>
  <c r="C8" i="337"/>
  <c r="B9" i="337"/>
  <c r="B8" i="337"/>
  <c r="E8" i="337" s="1"/>
  <c r="C79" i="337"/>
  <c r="B79" i="337"/>
  <c r="J73" i="337"/>
  <c r="P66" i="337"/>
  <c r="O66" i="337"/>
  <c r="N66" i="337"/>
  <c r="U65" i="337"/>
  <c r="U64" i="337"/>
  <c r="K62" i="337"/>
  <c r="Q61" i="337"/>
  <c r="Q60" i="337"/>
  <c r="AT59" i="337"/>
  <c r="Q59" i="337"/>
  <c r="I59" i="337"/>
  <c r="I61" i="337" s="1"/>
  <c r="AU58" i="337"/>
  <c r="Q58" i="337"/>
  <c r="S58" i="337" s="1"/>
  <c r="U58" i="337" s="1"/>
  <c r="AU57" i="337"/>
  <c r="Q57" i="337"/>
  <c r="S57" i="337" s="1"/>
  <c r="U57" i="337" s="1"/>
  <c r="E57" i="337"/>
  <c r="AU56" i="337"/>
  <c r="Q56" i="337"/>
  <c r="R56" i="337" s="1"/>
  <c r="F56" i="337"/>
  <c r="AU55" i="337"/>
  <c r="Q55" i="337"/>
  <c r="S55" i="337" s="1"/>
  <c r="U55" i="337" s="1"/>
  <c r="AU54" i="337"/>
  <c r="Q54" i="337"/>
  <c r="S54" i="337" s="1"/>
  <c r="U54" i="337" s="1"/>
  <c r="AU53" i="337"/>
  <c r="AH53" i="337"/>
  <c r="AG53" i="337"/>
  <c r="AG56" i="337" s="1"/>
  <c r="AF53" i="337"/>
  <c r="AF56" i="337" s="1"/>
  <c r="AB53" i="337"/>
  <c r="AA53" i="337"/>
  <c r="AA56" i="337" s="1"/>
  <c r="Z53" i="337"/>
  <c r="Z56" i="337" s="1"/>
  <c r="Q53" i="337"/>
  <c r="S53" i="337" s="1"/>
  <c r="U53" i="337" s="1"/>
  <c r="AU52" i="337"/>
  <c r="AI52" i="337"/>
  <c r="AC52" i="337"/>
  <c r="Q52" i="337"/>
  <c r="S52" i="337" s="1"/>
  <c r="U52" i="337" s="1"/>
  <c r="G52" i="337"/>
  <c r="F52" i="337"/>
  <c r="E52" i="337"/>
  <c r="D52" i="337"/>
  <c r="C52" i="337"/>
  <c r="B52" i="337"/>
  <c r="AI51" i="337"/>
  <c r="AC51" i="337"/>
  <c r="Q51" i="337"/>
  <c r="S51" i="337" s="1"/>
  <c r="U51" i="337" s="1"/>
  <c r="J51" i="337"/>
  <c r="H51" i="337"/>
  <c r="AI50" i="337"/>
  <c r="AC50" i="337"/>
  <c r="Q50" i="337"/>
  <c r="S50" i="337" s="1"/>
  <c r="U50" i="337" s="1"/>
  <c r="J50" i="337"/>
  <c r="H50" i="337"/>
  <c r="AI49" i="337"/>
  <c r="AC49" i="337"/>
  <c r="Q49" i="337"/>
  <c r="AI48" i="337"/>
  <c r="AC48" i="337"/>
  <c r="Q48" i="337"/>
  <c r="S48" i="337" s="1"/>
  <c r="U48" i="337" s="1"/>
  <c r="AI47" i="337"/>
  <c r="AC47" i="337"/>
  <c r="Q47" i="337"/>
  <c r="R47" i="337" s="1"/>
  <c r="AI46" i="337"/>
  <c r="AC46" i="337"/>
  <c r="Q46" i="337"/>
  <c r="S46" i="337" s="1"/>
  <c r="U46" i="337" s="1"/>
  <c r="AP45" i="337"/>
  <c r="AO45" i="337"/>
  <c r="AN45" i="337"/>
  <c r="AI45" i="337"/>
  <c r="AC45" i="337"/>
  <c r="Q45" i="337"/>
  <c r="S45" i="337" s="1"/>
  <c r="U45" i="337" s="1"/>
  <c r="C45" i="337"/>
  <c r="B45" i="337"/>
  <c r="AI44" i="337"/>
  <c r="AC44" i="337"/>
  <c r="Q44" i="337"/>
  <c r="R44" i="337" s="1"/>
  <c r="AI43" i="337"/>
  <c r="AC43" i="337"/>
  <c r="Q43" i="337"/>
  <c r="S43" i="337" s="1"/>
  <c r="U43" i="337" s="1"/>
  <c r="D43" i="337"/>
  <c r="E43" i="337" s="1"/>
  <c r="AW42" i="337"/>
  <c r="AV42" i="337"/>
  <c r="AU42" i="337"/>
  <c r="AT42" i="337"/>
  <c r="AI42" i="337"/>
  <c r="AC42" i="337"/>
  <c r="Q42" i="337"/>
  <c r="F42" i="337"/>
  <c r="F45" i="337" s="1"/>
  <c r="D42" i="337"/>
  <c r="E42" i="337" s="1"/>
  <c r="J42" i="337" s="1"/>
  <c r="AI41" i="337"/>
  <c r="AC41" i="337"/>
  <c r="Q41" i="337"/>
  <c r="R41" i="337" s="1"/>
  <c r="D41" i="337"/>
  <c r="AI40" i="337"/>
  <c r="AC40" i="337"/>
  <c r="Q40" i="337"/>
  <c r="AI39" i="337"/>
  <c r="AC39" i="337"/>
  <c r="Q39" i="337"/>
  <c r="R39" i="337" s="1"/>
  <c r="AI38" i="337"/>
  <c r="AC38" i="337"/>
  <c r="S38" i="337"/>
  <c r="U38" i="337" s="1"/>
  <c r="Q38" i="337"/>
  <c r="R38" i="337" s="1"/>
  <c r="AI37" i="337"/>
  <c r="AC37" i="337"/>
  <c r="Q37" i="337"/>
  <c r="S37" i="337" s="1"/>
  <c r="U37" i="337" s="1"/>
  <c r="AI36" i="337"/>
  <c r="AC36" i="337"/>
  <c r="Q36" i="337"/>
  <c r="AI35" i="337"/>
  <c r="AC35" i="337"/>
  <c r="K35" i="337"/>
  <c r="G35" i="337"/>
  <c r="AI34" i="337"/>
  <c r="AC34" i="337"/>
  <c r="H34" i="337"/>
  <c r="I34" i="337" s="1"/>
  <c r="AI33" i="337"/>
  <c r="AC33" i="337"/>
  <c r="C33" i="337"/>
  <c r="H33" i="337" s="1"/>
  <c r="AI32" i="337"/>
  <c r="AC32" i="337"/>
  <c r="G32" i="337"/>
  <c r="E32" i="337"/>
  <c r="C32" i="337"/>
  <c r="B32" i="337"/>
  <c r="AI31" i="337"/>
  <c r="AC31" i="337"/>
  <c r="N31" i="337"/>
  <c r="AI30" i="337"/>
  <c r="AC30" i="337"/>
  <c r="L30" i="337"/>
  <c r="K30" i="337"/>
  <c r="AI29" i="337"/>
  <c r="AC29" i="337"/>
  <c r="K29" i="337"/>
  <c r="M29" i="337" s="1"/>
  <c r="L35" i="337" s="1"/>
  <c r="H29" i="337"/>
  <c r="I29" i="337" s="1"/>
  <c r="AI28" i="337"/>
  <c r="AC28" i="337"/>
  <c r="AI27" i="337"/>
  <c r="AC27" i="337"/>
  <c r="AI26" i="337"/>
  <c r="AC26" i="337"/>
  <c r="H26" i="337"/>
  <c r="I26" i="337" s="1"/>
  <c r="AI25" i="337"/>
  <c r="AC25" i="337"/>
  <c r="AI24" i="337"/>
  <c r="AC24" i="337"/>
  <c r="H24" i="337"/>
  <c r="I24" i="337" s="1"/>
  <c r="AI23" i="337"/>
  <c r="AC23" i="337"/>
  <c r="AI22" i="337"/>
  <c r="AC22" i="337"/>
  <c r="G16" i="337"/>
  <c r="Q15" i="337"/>
  <c r="G15" i="337"/>
  <c r="C15" i="337"/>
  <c r="U14" i="337"/>
  <c r="L14" i="337"/>
  <c r="AM10" i="337"/>
  <c r="AO9" i="337"/>
  <c r="U9" i="337"/>
  <c r="K9" i="337"/>
  <c r="E9" i="337"/>
  <c r="AO8" i="337"/>
  <c r="U8" i="337"/>
  <c r="J7" i="337"/>
  <c r="E7" i="337"/>
  <c r="S47" i="337" l="1"/>
  <c r="U47" i="337" s="1"/>
  <c r="S56" i="337"/>
  <c r="U56" i="337" s="1"/>
  <c r="M30" i="337"/>
  <c r="L36" i="337" s="1"/>
  <c r="Q18" i="337" s="1"/>
  <c r="Q33" i="337" s="1"/>
  <c r="K36" i="337"/>
  <c r="K37" i="337" s="1"/>
  <c r="AU59" i="337"/>
  <c r="AV59" i="337" s="1"/>
  <c r="R63" i="337"/>
  <c r="S39" i="337"/>
  <c r="U39" i="337" s="1"/>
  <c r="I33" i="337"/>
  <c r="S41" i="337"/>
  <c r="U41" i="337" s="1"/>
  <c r="S44" i="337"/>
  <c r="U44" i="337" s="1"/>
  <c r="R46" i="337"/>
  <c r="R51" i="337"/>
  <c r="H52" i="337"/>
  <c r="R54" i="337"/>
  <c r="R55" i="337"/>
  <c r="R57" i="337"/>
  <c r="R58" i="337"/>
  <c r="J52" i="337"/>
  <c r="F92" i="370"/>
  <c r="E93" i="370"/>
  <c r="F93" i="370" s="1"/>
  <c r="S62" i="337"/>
  <c r="U62" i="337" s="1"/>
  <c r="G44" i="337"/>
  <c r="H44" i="337" s="1"/>
  <c r="J44" i="337"/>
  <c r="R18" i="337"/>
  <c r="R33" i="337" s="1"/>
  <c r="D45" i="337"/>
  <c r="G41" i="337"/>
  <c r="AB56" i="337"/>
  <c r="R61" i="337"/>
  <c r="S61" i="337"/>
  <c r="U61" i="337" s="1"/>
  <c r="AC53" i="337"/>
  <c r="AB55" i="337" s="1"/>
  <c r="R37" i="337"/>
  <c r="AO10" i="337"/>
  <c r="AI53" i="337"/>
  <c r="AC56" i="337"/>
  <c r="AC54" i="337" s="1"/>
  <c r="R60" i="337"/>
  <c r="S60" i="337"/>
  <c r="U60" i="337" s="1"/>
  <c r="G17" i="337"/>
  <c r="Q66" i="337"/>
  <c r="S36" i="337"/>
  <c r="S42" i="337"/>
  <c r="U42" i="337" s="1"/>
  <c r="R42" i="337"/>
  <c r="R36" i="337"/>
  <c r="E41" i="337"/>
  <c r="J43" i="337"/>
  <c r="G43" i="337"/>
  <c r="H43" i="337" s="1"/>
  <c r="R59" i="337"/>
  <c r="S59" i="337"/>
  <c r="U59" i="337" s="1"/>
  <c r="I32" i="337"/>
  <c r="S40" i="337"/>
  <c r="U40" i="337" s="1"/>
  <c r="R40" i="337"/>
  <c r="G42" i="337"/>
  <c r="H42" i="337" s="1"/>
  <c r="K42" i="337" s="1"/>
  <c r="S49" i="337"/>
  <c r="U49" i="337" s="1"/>
  <c r="R49" i="337"/>
  <c r="AH55" i="337"/>
  <c r="AH56" i="337"/>
  <c r="AI56" i="337" s="1"/>
  <c r="AI54" i="337" s="1"/>
  <c r="AF59" i="337" s="1"/>
  <c r="AG59" i="337" s="1"/>
  <c r="E58" i="337"/>
  <c r="F57" i="337"/>
  <c r="H32" i="337"/>
  <c r="R43" i="337"/>
  <c r="R45" i="337"/>
  <c r="R48" i="337"/>
  <c r="R50" i="337"/>
  <c r="R52" i="337"/>
  <c r="R53" i="337"/>
  <c r="U66" i="337" l="1"/>
  <c r="L37" i="337"/>
  <c r="K44" i="337"/>
  <c r="H41" i="337"/>
  <c r="H45" i="337" s="1"/>
  <c r="G45" i="337"/>
  <c r="E45" i="337"/>
  <c r="J41" i="337"/>
  <c r="AI57" i="337"/>
  <c r="Z59" i="337"/>
  <c r="AA59" i="337" s="1"/>
  <c r="AH59" i="337" s="1"/>
  <c r="R66" i="337"/>
  <c r="W66" i="337" s="1"/>
  <c r="V40" i="337" s="1"/>
  <c r="S66" i="337"/>
  <c r="AG55" i="337"/>
  <c r="AF55" i="337"/>
  <c r="AA55" i="337"/>
  <c r="Z55" i="337"/>
  <c r="AC55" i="337" s="1"/>
  <c r="E59" i="337"/>
  <c r="F58" i="337"/>
  <c r="K43" i="337"/>
  <c r="AI55" i="337" l="1"/>
  <c r="J45" i="337"/>
  <c r="V62" i="337"/>
  <c r="V65" i="337"/>
  <c r="V64" i="337"/>
  <c r="V63" i="337"/>
  <c r="V51" i="337"/>
  <c r="V44" i="337"/>
  <c r="V56" i="337"/>
  <c r="V55" i="337"/>
  <c r="V38" i="337"/>
  <c r="V41" i="337"/>
  <c r="V54" i="337"/>
  <c r="V57" i="337"/>
  <c r="V47" i="337"/>
  <c r="V46" i="337"/>
  <c r="V58" i="337"/>
  <c r="V39" i="337"/>
  <c r="V37" i="337"/>
  <c r="V59" i="337"/>
  <c r="V61" i="337"/>
  <c r="V43" i="337"/>
  <c r="E60" i="337"/>
  <c r="F59" i="337"/>
  <c r="V60" i="337"/>
  <c r="V49" i="337"/>
  <c r="V48" i="337"/>
  <c r="V36" i="337"/>
  <c r="V66" i="337" s="1"/>
  <c r="V42" i="337"/>
  <c r="V52" i="337"/>
  <c r="V53" i="337"/>
  <c r="V45" i="337"/>
  <c r="K41" i="337"/>
  <c r="V50" i="337"/>
  <c r="F60" i="337" l="1"/>
  <c r="E61" i="337"/>
  <c r="F61" i="337" l="1"/>
  <c r="E62" i="337"/>
  <c r="E63" i="337" l="1"/>
  <c r="F62" i="337"/>
  <c r="F63" i="337" l="1"/>
  <c r="E64" i="337"/>
  <c r="F64" i="337" l="1"/>
  <c r="E65" i="337"/>
  <c r="F65" i="337" l="1"/>
  <c r="E66" i="337"/>
  <c r="F66" i="337" l="1"/>
  <c r="E67" i="337"/>
  <c r="E68" i="337" l="1"/>
  <c r="F67" i="337"/>
  <c r="E69" i="337" l="1"/>
  <c r="F68" i="337"/>
  <c r="E70" i="337" l="1"/>
  <c r="F69" i="337"/>
  <c r="E71" i="337" l="1"/>
  <c r="F70" i="337"/>
  <c r="O14" i="311"/>
  <c r="O15" i="311" s="1"/>
  <c r="O13" i="311"/>
  <c r="L15" i="311"/>
  <c r="E72" i="337" l="1"/>
  <c r="F71" i="337"/>
  <c r="E73" i="337" l="1"/>
  <c r="F72" i="337"/>
  <c r="F73" i="337" l="1"/>
  <c r="E74" i="337"/>
  <c r="E75" i="337" l="1"/>
  <c r="F74" i="337"/>
  <c r="F75" i="337" l="1"/>
  <c r="E76" i="337"/>
  <c r="F76" i="337" s="1"/>
  <c r="C46" i="311" l="1"/>
  <c r="H45" i="311"/>
  <c r="C15" i="311"/>
  <c r="D41" i="311"/>
  <c r="D44" i="311"/>
  <c r="Q65" i="311"/>
  <c r="R65" i="311" s="1"/>
  <c r="S65" i="311"/>
  <c r="U65" i="311" s="1"/>
  <c r="E16" i="311"/>
  <c r="B16" i="311"/>
  <c r="C8" i="311"/>
  <c r="C9" i="311" s="1"/>
  <c r="K18" i="311" s="1"/>
  <c r="B8" i="311"/>
  <c r="G33" i="311"/>
  <c r="P66" i="311"/>
  <c r="O66" i="311"/>
  <c r="C66" i="311"/>
  <c r="B66" i="311"/>
  <c r="Q64" i="311"/>
  <c r="S64" i="311" s="1"/>
  <c r="U64" i="311" s="1"/>
  <c r="Q63" i="311"/>
  <c r="Q62" i="311"/>
  <c r="R62" i="311" s="1"/>
  <c r="Q61" i="311"/>
  <c r="R61" i="311" s="1"/>
  <c r="Q60" i="311"/>
  <c r="S60" i="311" s="1"/>
  <c r="U60" i="311" s="1"/>
  <c r="I60" i="311"/>
  <c r="I62" i="311" s="1"/>
  <c r="Q59" i="311"/>
  <c r="Q58" i="311"/>
  <c r="R58" i="311" s="1"/>
  <c r="E58" i="311"/>
  <c r="E59" i="311" s="1"/>
  <c r="F59" i="311" s="1"/>
  <c r="Q57" i="311"/>
  <c r="R57" i="311" s="1"/>
  <c r="J57" i="311"/>
  <c r="F57" i="311"/>
  <c r="Q56" i="311"/>
  <c r="S56" i="311" s="1"/>
  <c r="U56" i="311" s="1"/>
  <c r="Q55" i="311"/>
  <c r="R55" i="311" s="1"/>
  <c r="Q54" i="311"/>
  <c r="S54" i="311" s="1"/>
  <c r="U54" i="311" s="1"/>
  <c r="AH53" i="311"/>
  <c r="AH56" i="311" s="1"/>
  <c r="AG53" i="311"/>
  <c r="AG56" i="311" s="1"/>
  <c r="AF53" i="311"/>
  <c r="AF56" i="311" s="1"/>
  <c r="AB53" i="311"/>
  <c r="AB56" i="311" s="1"/>
  <c r="AA53" i="311"/>
  <c r="AA56" i="311" s="1"/>
  <c r="Z53" i="311"/>
  <c r="Z56" i="311" s="1"/>
  <c r="Q53" i="311"/>
  <c r="R53" i="311" s="1"/>
  <c r="G53" i="311"/>
  <c r="F53" i="311"/>
  <c r="D53" i="311"/>
  <c r="C53" i="311"/>
  <c r="B53" i="311"/>
  <c r="AI52" i="311"/>
  <c r="AC52" i="311"/>
  <c r="Q52" i="311"/>
  <c r="S52" i="311" s="1"/>
  <c r="U52" i="311" s="1"/>
  <c r="J52" i="311"/>
  <c r="H52" i="311"/>
  <c r="AI51" i="311"/>
  <c r="AC51" i="311"/>
  <c r="Q51" i="311"/>
  <c r="R51" i="311" s="1"/>
  <c r="H51" i="311"/>
  <c r="E51" i="311"/>
  <c r="E53" i="311" s="1"/>
  <c r="AI50" i="311"/>
  <c r="AC50" i="311"/>
  <c r="Q50" i="311"/>
  <c r="S50" i="311" s="1"/>
  <c r="U50" i="311" s="1"/>
  <c r="AI49" i="311"/>
  <c r="AC49" i="311"/>
  <c r="Q49" i="311"/>
  <c r="S49" i="311" s="1"/>
  <c r="U49" i="311" s="1"/>
  <c r="AI48" i="311"/>
  <c r="AC48" i="311"/>
  <c r="Q48" i="311"/>
  <c r="S48" i="311" s="1"/>
  <c r="U48" i="311" s="1"/>
  <c r="AI47" i="311"/>
  <c r="AC47" i="311"/>
  <c r="Q47" i="311"/>
  <c r="R47" i="311" s="1"/>
  <c r="AI46" i="311"/>
  <c r="AC46" i="311"/>
  <c r="Q46" i="311"/>
  <c r="S46" i="311" s="1"/>
  <c r="U46" i="311" s="1"/>
  <c r="B46" i="311"/>
  <c r="AI45" i="311"/>
  <c r="AC45" i="311"/>
  <c r="Q45" i="311"/>
  <c r="S45" i="311" s="1"/>
  <c r="U45" i="311" s="1"/>
  <c r="J45" i="311"/>
  <c r="K45" i="311" s="1"/>
  <c r="AI44" i="311"/>
  <c r="AC44" i="311"/>
  <c r="S44" i="311"/>
  <c r="U44" i="311" s="1"/>
  <c r="R44" i="311"/>
  <c r="Q44" i="311"/>
  <c r="E44" i="311"/>
  <c r="AI43" i="311"/>
  <c r="AC43" i="311"/>
  <c r="Q43" i="311"/>
  <c r="R43" i="311" s="1"/>
  <c r="F43" i="311"/>
  <c r="F46" i="311" s="1"/>
  <c r="D43" i="311"/>
  <c r="E43" i="311" s="1"/>
  <c r="AI42" i="311"/>
  <c r="AC42" i="311"/>
  <c r="Q42" i="311"/>
  <c r="S42" i="311" s="1"/>
  <c r="U42" i="311" s="1"/>
  <c r="E42" i="311"/>
  <c r="J42" i="311" s="1"/>
  <c r="AI41" i="311"/>
  <c r="AC41" i="311"/>
  <c r="Q41" i="311"/>
  <c r="S41" i="311" s="1"/>
  <c r="U41" i="311" s="1"/>
  <c r="E41" i="311"/>
  <c r="AI40" i="311"/>
  <c r="AC40" i="311"/>
  <c r="S40" i="311"/>
  <c r="U40" i="311" s="1"/>
  <c r="R40" i="311"/>
  <c r="Q40" i="311"/>
  <c r="AI39" i="311"/>
  <c r="AC39" i="311"/>
  <c r="S39" i="311"/>
  <c r="U39" i="311" s="1"/>
  <c r="R39" i="311"/>
  <c r="Q39" i="311"/>
  <c r="AI38" i="311"/>
  <c r="AC38" i="311"/>
  <c r="Q38" i="311"/>
  <c r="S38" i="311" s="1"/>
  <c r="U38" i="311" s="1"/>
  <c r="AI37" i="311"/>
  <c r="AC37" i="311"/>
  <c r="Q37" i="311"/>
  <c r="S37" i="311" s="1"/>
  <c r="U37" i="311" s="1"/>
  <c r="K37" i="311"/>
  <c r="AI36" i="311"/>
  <c r="AC36" i="311"/>
  <c r="Q36" i="311"/>
  <c r="K36" i="311"/>
  <c r="D36" i="311"/>
  <c r="G36" i="311" s="1"/>
  <c r="AI35" i="311"/>
  <c r="AC35" i="311"/>
  <c r="K35" i="311"/>
  <c r="D35" i="311"/>
  <c r="G35" i="311" s="1"/>
  <c r="AI34" i="311"/>
  <c r="AC34" i="311"/>
  <c r="H34" i="311"/>
  <c r="I34" i="311" s="1"/>
  <c r="AI33" i="311"/>
  <c r="AC33" i="311"/>
  <c r="C33" i="311"/>
  <c r="H33" i="311" s="1"/>
  <c r="AI32" i="311"/>
  <c r="AC32" i="311"/>
  <c r="N32" i="311"/>
  <c r="G32" i="311"/>
  <c r="E32" i="311"/>
  <c r="C32" i="311"/>
  <c r="B32" i="311"/>
  <c r="AI31" i="311"/>
  <c r="AC31" i="311"/>
  <c r="M31" i="311"/>
  <c r="L37" i="311" s="1"/>
  <c r="AI30" i="311"/>
  <c r="AC30" i="311"/>
  <c r="M30" i="311"/>
  <c r="L36" i="311" s="1"/>
  <c r="Q23" i="311" s="1"/>
  <c r="AI29" i="311"/>
  <c r="AC29" i="311"/>
  <c r="K29" i="311"/>
  <c r="M29" i="311" s="1"/>
  <c r="L35" i="311" s="1"/>
  <c r="H29" i="311"/>
  <c r="I29" i="311" s="1"/>
  <c r="AI28" i="311"/>
  <c r="AC28" i="311"/>
  <c r="AI27" i="311"/>
  <c r="AC27" i="311"/>
  <c r="AI26" i="311"/>
  <c r="AC26" i="311"/>
  <c r="H26" i="311"/>
  <c r="I26" i="311" s="1"/>
  <c r="AI25" i="311"/>
  <c r="AC25" i="311"/>
  <c r="AI24" i="311"/>
  <c r="AC24" i="311"/>
  <c r="Q24" i="311"/>
  <c r="H24" i="311"/>
  <c r="I24" i="311" s="1"/>
  <c r="AI23" i="311"/>
  <c r="AC23" i="311"/>
  <c r="AI22" i="311"/>
  <c r="AC22" i="311"/>
  <c r="E17" i="311"/>
  <c r="B17" i="311"/>
  <c r="C16" i="311"/>
  <c r="G15" i="311"/>
  <c r="V13" i="311"/>
  <c r="V12" i="311"/>
  <c r="V11" i="311"/>
  <c r="U9" i="311"/>
  <c r="V10" i="311" s="1"/>
  <c r="U8" i="311"/>
  <c r="R9" i="311"/>
  <c r="J8" i="311"/>
  <c r="B9" i="311"/>
  <c r="V7" i="311"/>
  <c r="E7" i="311"/>
  <c r="V6" i="311"/>
  <c r="V5" i="311"/>
  <c r="V4" i="311"/>
  <c r="V3" i="311"/>
  <c r="D46" i="311" l="1"/>
  <c r="R52" i="311"/>
  <c r="R56" i="311"/>
  <c r="S62" i="311"/>
  <c r="U62" i="311" s="1"/>
  <c r="R42" i="311"/>
  <c r="J51" i="311"/>
  <c r="Q33" i="311"/>
  <c r="S55" i="311"/>
  <c r="U55" i="311" s="1"/>
  <c r="E46" i="311"/>
  <c r="G43" i="311"/>
  <c r="J43" i="311"/>
  <c r="K49" i="311"/>
  <c r="R38" i="311"/>
  <c r="G42" i="311"/>
  <c r="H42" i="311" s="1"/>
  <c r="R46" i="311"/>
  <c r="R50" i="311"/>
  <c r="S53" i="311"/>
  <c r="U53" i="311" s="1"/>
  <c r="R54" i="311"/>
  <c r="S57" i="311"/>
  <c r="U57" i="311" s="1"/>
  <c r="S58" i="311"/>
  <c r="U58" i="311" s="1"/>
  <c r="S61" i="311"/>
  <c r="U61" i="311" s="1"/>
  <c r="S43" i="311"/>
  <c r="U43" i="311" s="1"/>
  <c r="R60" i="311"/>
  <c r="J53" i="311"/>
  <c r="E60" i="311"/>
  <c r="E61" i="311" s="1"/>
  <c r="E62" i="311" s="1"/>
  <c r="K38" i="311"/>
  <c r="AC53" i="311"/>
  <c r="AA55" i="311" s="1"/>
  <c r="H53" i="311"/>
  <c r="J41" i="311"/>
  <c r="C17" i="311"/>
  <c r="Y59" i="311" s="1"/>
  <c r="G17" i="311"/>
  <c r="E9" i="311"/>
  <c r="G16" i="311"/>
  <c r="I33" i="311"/>
  <c r="I32" i="311"/>
  <c r="L38" i="311"/>
  <c r="R22" i="311"/>
  <c r="R33" i="311" s="1"/>
  <c r="G44" i="311"/>
  <c r="H44" i="311" s="1"/>
  <c r="J44" i="311"/>
  <c r="F61" i="311"/>
  <c r="AC56" i="311"/>
  <c r="AI53" i="311"/>
  <c r="AH55" i="311" s="1"/>
  <c r="Q66" i="311"/>
  <c r="R37" i="311"/>
  <c r="S47" i="311"/>
  <c r="U47" i="311" s="1"/>
  <c r="S51" i="311"/>
  <c r="U51" i="311" s="1"/>
  <c r="F60" i="311"/>
  <c r="S63" i="311"/>
  <c r="U63" i="311" s="1"/>
  <c r="R63" i="311"/>
  <c r="R64" i="311"/>
  <c r="H32" i="311"/>
  <c r="R36" i="311"/>
  <c r="G41" i="311"/>
  <c r="R41" i="311"/>
  <c r="K42" i="311"/>
  <c r="R45" i="311"/>
  <c r="R49" i="311"/>
  <c r="AF55" i="311"/>
  <c r="AI56" i="311"/>
  <c r="F58" i="311"/>
  <c r="E8" i="311"/>
  <c r="S36" i="311"/>
  <c r="H43" i="311"/>
  <c r="K43" i="311" s="1"/>
  <c r="R48" i="311"/>
  <c r="Z55" i="311"/>
  <c r="AG55" i="311"/>
  <c r="S59" i="311"/>
  <c r="U59" i="311" s="1"/>
  <c r="R59" i="311"/>
  <c r="K44" i="311" l="1"/>
  <c r="G46" i="311"/>
  <c r="U66" i="311"/>
  <c r="AC54" i="311"/>
  <c r="Z59" i="311" s="1"/>
  <c r="AA59" i="311" s="1"/>
  <c r="AB55" i="311"/>
  <c r="AC55" i="311" s="1"/>
  <c r="AI55" i="311"/>
  <c r="H41" i="311"/>
  <c r="E63" i="311"/>
  <c r="F62" i="311"/>
  <c r="S66" i="311"/>
  <c r="AI54" i="311"/>
  <c r="AF59" i="311" s="1"/>
  <c r="AG59" i="311" s="1"/>
  <c r="R66" i="311"/>
  <c r="N37" i="311"/>
  <c r="AH59" i="311" l="1"/>
  <c r="N38" i="311"/>
  <c r="N39" i="311" s="1"/>
  <c r="N40" i="311" s="1"/>
  <c r="E64" i="311"/>
  <c r="F63" i="311"/>
  <c r="H46" i="311"/>
  <c r="J46" i="311" s="1"/>
  <c r="K41" i="311"/>
  <c r="AI57" i="311"/>
  <c r="F64" i="311" l="1"/>
  <c r="E65" i="311"/>
  <c r="F65" i="311" s="1"/>
  <c r="N66" i="311"/>
  <c r="W66" i="311" s="1"/>
  <c r="V43" i="311" l="1"/>
  <c r="V65" i="311"/>
  <c r="V50" i="311"/>
  <c r="V40" i="311"/>
  <c r="V53" i="311"/>
  <c r="V61" i="311"/>
  <c r="V54" i="311"/>
  <c r="V46" i="311"/>
  <c r="V58" i="311"/>
  <c r="V42" i="311"/>
  <c r="V39" i="311"/>
  <c r="V38" i="311"/>
  <c r="V55" i="311"/>
  <c r="V57" i="311"/>
  <c r="V51" i="311"/>
  <c r="V47" i="311"/>
  <c r="V52" i="311"/>
  <c r="V60" i="311"/>
  <c r="V62" i="311"/>
  <c r="V56" i="311"/>
  <c r="V44" i="311"/>
  <c r="V45" i="311"/>
  <c r="V41" i="311"/>
  <c r="V63" i="311"/>
  <c r="V36" i="311"/>
  <c r="V59" i="311"/>
  <c r="V64" i="311"/>
  <c r="V49" i="311"/>
  <c r="V48" i="311"/>
  <c r="V37" i="311"/>
  <c r="V66" i="311" l="1"/>
  <c r="T33" i="370"/>
  <c r="V33" i="370" l="1"/>
  <c r="T11" i="370"/>
  <c r="T8" i="370" s="1"/>
</calcChain>
</file>

<file path=xl/sharedStrings.xml><?xml version="1.0" encoding="utf-8"?>
<sst xmlns="http://schemas.openxmlformats.org/spreadsheetml/2006/main" count="5059" uniqueCount="728">
  <si>
    <t>구분</t>
  </si>
  <si>
    <t>구분</t>
    <phoneticPr fontId="156" type="noConversion"/>
  </si>
  <si>
    <t>S P</t>
    <phoneticPr fontId="156" type="noConversion"/>
  </si>
  <si>
    <t>전일재고</t>
    <phoneticPr fontId="156" type="noConversion"/>
  </si>
  <si>
    <t>생산</t>
    <phoneticPr fontId="156" type="noConversion"/>
  </si>
  <si>
    <t>출하</t>
    <phoneticPr fontId="156" type="noConversion"/>
  </si>
  <si>
    <t>금일재고</t>
    <phoneticPr fontId="156" type="noConversion"/>
  </si>
  <si>
    <t>소계</t>
    <phoneticPr fontId="156" type="noConversion"/>
  </si>
  <si>
    <t>생산 재고 현황</t>
    <phoneticPr fontId="162" type="noConversion"/>
  </si>
  <si>
    <t>1. 고로 슬래그 미분말 생산량</t>
    <phoneticPr fontId="162" type="noConversion"/>
  </si>
  <si>
    <t>구분</t>
    <phoneticPr fontId="162" type="noConversion"/>
  </si>
  <si>
    <t>가동시간(Hrs)</t>
  </si>
  <si>
    <t>생산량(톤)</t>
  </si>
  <si>
    <t>목표</t>
    <phoneticPr fontId="156" type="noConversion"/>
  </si>
  <si>
    <t>일</t>
  </si>
  <si>
    <t>월계</t>
  </si>
  <si>
    <t>년계</t>
  </si>
  <si>
    <t>2. 전력 및 연료 사용량</t>
    <phoneticPr fontId="156" type="noConversion"/>
  </si>
  <si>
    <t>전력</t>
    <phoneticPr fontId="162" type="noConversion"/>
  </si>
  <si>
    <t>연료</t>
  </si>
  <si>
    <t>사용량(KWH)</t>
  </si>
  <si>
    <t>원단위(KWH/톤)</t>
  </si>
  <si>
    <t>사용량(M3)</t>
  </si>
  <si>
    <t>원단위(M3/톤)</t>
  </si>
  <si>
    <t>전일</t>
  </si>
  <si>
    <t>입고</t>
  </si>
  <si>
    <t>출고</t>
  </si>
  <si>
    <t>금일</t>
  </si>
  <si>
    <t>소계</t>
  </si>
  <si>
    <t>D(시멘트)</t>
    <phoneticPr fontId="162" type="noConversion"/>
  </si>
  <si>
    <t>말레이</t>
    <phoneticPr fontId="156" type="noConversion"/>
  </si>
  <si>
    <t>계</t>
    <phoneticPr fontId="156" type="noConversion"/>
  </si>
  <si>
    <t>생산량</t>
    <phoneticPr fontId="156" type="noConversion"/>
  </si>
  <si>
    <t>말레이비율</t>
    <phoneticPr fontId="156" type="noConversion"/>
  </si>
  <si>
    <t>부두</t>
    <phoneticPr fontId="156" type="noConversion"/>
  </si>
  <si>
    <t>입고량</t>
    <phoneticPr fontId="156" type="noConversion"/>
  </si>
  <si>
    <t>소비량</t>
    <phoneticPr fontId="156" type="noConversion"/>
  </si>
  <si>
    <t>재고</t>
    <phoneticPr fontId="156" type="noConversion"/>
  </si>
  <si>
    <t>치장</t>
    <phoneticPr fontId="156" type="noConversion"/>
  </si>
  <si>
    <t>단위생산
(톤/Hr)</t>
    <phoneticPr fontId="156" type="noConversion"/>
  </si>
  <si>
    <t>말레이지아(6/19)</t>
    <phoneticPr fontId="156" type="noConversion"/>
  </si>
  <si>
    <t xml:space="preserve"> 일본산 스라그 혼합 비율에 따른 소진 현황</t>
    <phoneticPr fontId="156" type="noConversion"/>
  </si>
  <si>
    <t>일본소진</t>
    <phoneticPr fontId="156" type="noConversion"/>
  </si>
  <si>
    <r>
      <t>B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(S/C생산)</t>
    </r>
    <phoneticPr fontId="162" type="noConversion"/>
  </si>
  <si>
    <t>E+F(스라그시멘트)</t>
    <phoneticPr fontId="156" type="noConversion"/>
  </si>
  <si>
    <t xml:space="preserve"> 주) 1. 스라그시멘트 생산량 :</t>
    <phoneticPr fontId="156" type="noConversion"/>
  </si>
  <si>
    <t>년간</t>
    <phoneticPr fontId="156" type="noConversion"/>
  </si>
  <si>
    <t>톤</t>
    <phoneticPr fontId="156" type="noConversion"/>
  </si>
  <si>
    <t xml:space="preserve"> 주) 2. 1종시멘트 소비량 :</t>
    <phoneticPr fontId="156" type="noConversion"/>
  </si>
  <si>
    <t>3. 재고</t>
    <phoneticPr fontId="162" type="noConversion"/>
  </si>
  <si>
    <t>4. Slag 입고 실적 및 예정</t>
    <phoneticPr fontId="162" type="noConversion"/>
  </si>
  <si>
    <t>사용량</t>
    <phoneticPr fontId="156" type="noConversion"/>
  </si>
  <si>
    <t>가스</t>
    <phoneticPr fontId="156" type="noConversion"/>
  </si>
  <si>
    <t>측정</t>
    <phoneticPr fontId="156" type="noConversion"/>
  </si>
  <si>
    <t>산식</t>
    <phoneticPr fontId="156" type="noConversion"/>
  </si>
  <si>
    <t>차이</t>
    <phoneticPr fontId="156" type="noConversion"/>
  </si>
  <si>
    <t>수분감안</t>
    <phoneticPr fontId="156" type="noConversion"/>
  </si>
  <si>
    <t>A (생산)</t>
    <phoneticPr fontId="156" type="noConversion"/>
  </si>
  <si>
    <t>A (입고)</t>
    <phoneticPr fontId="156" type="noConversion"/>
  </si>
  <si>
    <t>B (생산)</t>
    <phoneticPr fontId="156" type="noConversion"/>
  </si>
  <si>
    <t>B (입고)</t>
    <phoneticPr fontId="156" type="noConversion"/>
  </si>
  <si>
    <t>부원료량</t>
    <phoneticPr fontId="156" type="noConversion"/>
  </si>
  <si>
    <t>11/17</t>
  </si>
  <si>
    <t>11/18</t>
  </si>
  <si>
    <t>11/19</t>
  </si>
  <si>
    <t>11/22</t>
  </si>
  <si>
    <t>11/24</t>
  </si>
  <si>
    <t>S 소진량</t>
    <phoneticPr fontId="156" type="noConversion"/>
  </si>
  <si>
    <t>11/20</t>
    <phoneticPr fontId="156" type="noConversion"/>
  </si>
  <si>
    <t>11/23</t>
    <phoneticPr fontId="156" type="noConversion"/>
  </si>
  <si>
    <t>11/28</t>
    <phoneticPr fontId="156" type="noConversion"/>
  </si>
  <si>
    <t>11/26~27</t>
    <phoneticPr fontId="156" type="noConversion"/>
  </si>
  <si>
    <t>주 1) 단가  : 전력 104.4원/KWH(11~2월. 평균) , 연료 590원/m3 (12월~3월)</t>
    <phoneticPr fontId="162" type="noConversion"/>
  </si>
  <si>
    <t>12/29</t>
  </si>
  <si>
    <t>11/30</t>
    <phoneticPr fontId="156" type="noConversion"/>
  </si>
  <si>
    <t>12/3</t>
    <phoneticPr fontId="156" type="noConversion"/>
  </si>
  <si>
    <t>12/4</t>
  </si>
  <si>
    <t>합계</t>
    <phoneticPr fontId="156" type="noConversion"/>
  </si>
  <si>
    <t>5. 부원료 입고 및 사용 실적</t>
    <phoneticPr fontId="156" type="noConversion"/>
  </si>
  <si>
    <t>탈황석고</t>
    <phoneticPr fontId="156" type="noConversion"/>
  </si>
  <si>
    <t>일간</t>
    <phoneticPr fontId="156" type="noConversion"/>
  </si>
  <si>
    <t>월간</t>
    <phoneticPr fontId="156" type="noConversion"/>
  </si>
  <si>
    <t>전월재고</t>
    <phoneticPr fontId="156" type="noConversion"/>
  </si>
  <si>
    <r>
      <t>일본</t>
    </r>
    <r>
      <rPr>
        <sz val="11"/>
        <color theme="1"/>
        <rFont val="맑은 고딕"/>
        <family val="2"/>
        <charset val="129"/>
        <scheme val="minor"/>
      </rPr>
      <t>(후쿠,12/6~)</t>
    </r>
    <phoneticPr fontId="156" type="noConversion"/>
  </si>
  <si>
    <t>일본(미즈,12/21~)</t>
    <phoneticPr fontId="156" type="noConversion"/>
  </si>
  <si>
    <t>석회석</t>
    <phoneticPr fontId="156" type="noConversion"/>
  </si>
  <si>
    <t>1/4</t>
  </si>
  <si>
    <t>1/5</t>
  </si>
  <si>
    <t>1/6</t>
  </si>
  <si>
    <t>1/7</t>
  </si>
  <si>
    <t>1/8</t>
  </si>
  <si>
    <t xml:space="preserve">    </t>
    <phoneticPr fontId="156" type="noConversion"/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</si>
  <si>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</si>
  <si>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</si>
  <si>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</si>
  <si>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</si>
  <si>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</si>
  <si>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</si>
  <si>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</si>
  <si>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</si>
  <si>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</si>
  <si>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</si>
  <si>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</si>
  <si>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</si>
  <si>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</si>
  <si>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</si>
  <si>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</si>
  <si>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</si>
  <si>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</si>
  <si>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</si>
  <si>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</si>
  <si>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</si>
  <si>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</si>
  <si>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</si>
  <si>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</si>
  <si>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</si>
  <si>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</si>
  <si>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</si>
  <si>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</si>
  <si>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</si>
  <si>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</si>
  <si>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</si>
  <si>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</si>
  <si>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</si>
  <si>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</si>
  <si>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</si>
  <si>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</si>
  <si>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</si>
  <si>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</si>
  <si>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</si>
  <si>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</si>
  <si>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</si>
  <si>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</si>
  <si>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</si>
  <si>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</si>
  <si>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</si>
  <si>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</si>
  <si>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</si>
  <si>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</si>
  <si>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</si>
  <si>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</si>
  <si>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C (생산)</t>
    <phoneticPr fontId="156" type="noConversion"/>
  </si>
  <si>
    <t>C (입고)</t>
    <phoneticPr fontId="156" type="noConversion"/>
  </si>
  <si>
    <t>C (S/C생산)</t>
    <phoneticPr fontId="16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</si>
  <si>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월도 생산량</t>
    </r>
    <phoneticPr fontId="156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</si>
  <si>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  2) 원단위목표  : 전력  36.5KWH/톤 ,  연료  5.3 M3/톤 </t>
    </r>
    <phoneticPr fontId="16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</si>
  <si>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월도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</si>
  <si>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'19.1</t>
    </r>
    <r>
      <rPr>
        <sz val="11"/>
        <color theme="1"/>
        <rFont val="맑은 고딕"/>
        <family val="2"/>
        <charset val="129"/>
        <scheme val="minor"/>
      </rPr>
      <t>월도</t>
    </r>
    <phoneticPr fontId="156" type="noConversion"/>
  </si>
  <si>
    <t>총 재고량</t>
    <phoneticPr fontId="156" type="noConversion"/>
  </si>
  <si>
    <r>
      <t xml:space="preserve">수분 </t>
    </r>
    <r>
      <rPr>
        <sz val="11"/>
        <color theme="1"/>
        <rFont val="맑은 고딕"/>
        <family val="2"/>
        <charset val="129"/>
        <scheme val="minor"/>
      </rPr>
      <t>6.5% 감안</t>
    </r>
    <phoneticPr fontId="156" type="noConversion"/>
  </si>
  <si>
    <t>'19.1/2</t>
    <phoneticPr fontId="156" type="noConversion"/>
  </si>
  <si>
    <t>1/3</t>
    <phoneticPr fontId="156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</si>
  <si>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>- C Silo 투입량 인출량,재고</t>
    </r>
    <phoneticPr fontId="156" type="noConversion"/>
  </si>
  <si>
    <t>일자</t>
    <phoneticPr fontId="156" type="noConversion"/>
  </si>
  <si>
    <t>투입량</t>
    <phoneticPr fontId="156" type="noConversion"/>
  </si>
  <si>
    <t>인출량</t>
    <phoneticPr fontId="156" type="noConversion"/>
  </si>
  <si>
    <t>측정재고</t>
    <phoneticPr fontId="156" type="noConversion"/>
  </si>
  <si>
    <t>12/28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</si>
  <si>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12/31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</si>
  <si>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19.1/2</t>
    </r>
    <phoneticPr fontId="156" type="noConversion"/>
  </si>
  <si>
    <t>~12/27</t>
    <phoneticPr fontId="156" type="noConversion"/>
  </si>
  <si>
    <t>대비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</si>
  <si>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19.1/3</t>
    </r>
  </si>
  <si>
    <r>
      <rPr>
        <sz val="11"/>
        <color theme="1"/>
        <rFont val="맑은 고딕"/>
        <family val="2"/>
        <charset val="129"/>
        <scheme val="minor"/>
      </rPr>
      <t>19.1/4</t>
    </r>
  </si>
  <si>
    <r>
      <rPr>
        <sz val="11"/>
        <color theme="1"/>
        <rFont val="맑은 고딕"/>
        <family val="2"/>
        <charset val="129"/>
        <scheme val="minor"/>
      </rPr>
      <t>19.1/5</t>
    </r>
  </si>
  <si>
    <r>
      <rPr>
        <sz val="11"/>
        <color theme="1"/>
        <rFont val="맑은 고딕"/>
        <family val="2"/>
        <charset val="129"/>
        <scheme val="minor"/>
      </rPr>
      <t>19.1/6</t>
    </r>
  </si>
  <si>
    <t>'18년
이월량</t>
    <phoneticPr fontId="156" type="noConversion"/>
  </si>
  <si>
    <t>이월량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</si>
  <si>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'19년</t>
    </r>
    <phoneticPr fontId="156" type="noConversion"/>
  </si>
  <si>
    <t>'18년1월</t>
    <phoneticPr fontId="156" type="noConversion"/>
  </si>
  <si>
    <t>2월</t>
    <phoneticPr fontId="156" type="noConversion"/>
  </si>
  <si>
    <t>생산량(톤)</t>
    <phoneticPr fontId="156" type="noConversion"/>
  </si>
  <si>
    <t>단위생산(t/h)</t>
    <phoneticPr fontId="156" type="noConversion"/>
  </si>
  <si>
    <t>전력원단위(kwh/t)</t>
    <phoneticPr fontId="156" type="noConversion"/>
  </si>
  <si>
    <t>가스원단위(m3/t)</t>
    <phoneticPr fontId="156" type="noConversion"/>
  </si>
  <si>
    <t xml:space="preserve"> - '18년 동기간 대비 원단위 실적 및 목표 비교(일본향 및 현대산 스라그 사용 기준)</t>
    <phoneticPr fontId="156" type="noConversion"/>
  </si>
  <si>
    <t>'19년 1월목표</t>
    <phoneticPr fontId="156" type="noConversion"/>
  </si>
  <si>
    <t>'19년 2월목표</t>
    <phoneticPr fontId="156" type="noConversion"/>
  </si>
  <si>
    <r>
      <t>일본(미즈,1/</t>
    </r>
    <r>
      <rPr>
        <sz val="11"/>
        <color theme="1"/>
        <rFont val="맑은 고딕"/>
        <family val="2"/>
        <charset val="129"/>
        <scheme val="minor"/>
      </rPr>
      <t>14</t>
    </r>
    <r>
      <rPr>
        <sz val="11"/>
        <color theme="1"/>
        <rFont val="맑은 고딕"/>
        <family val="2"/>
        <charset val="129"/>
        <scheme val="minor"/>
      </rPr>
      <t>~)</t>
    </r>
    <phoneticPr fontId="156" type="noConversion"/>
  </si>
  <si>
    <t>w</t>
    <phoneticPr fontId="156" type="noConversion"/>
  </si>
  <si>
    <t>P</t>
    <phoneticPr fontId="156" type="noConversion"/>
  </si>
  <si>
    <t>S</t>
    <phoneticPr fontId="156" type="noConversion"/>
  </si>
  <si>
    <t>T</t>
    <phoneticPr fontId="156" type="noConversion"/>
  </si>
  <si>
    <t>S이</t>
    <phoneticPr fontId="156" type="noConversion"/>
  </si>
  <si>
    <t>금</t>
    <phoneticPr fontId="156" type="noConversion"/>
  </si>
  <si>
    <t>기</t>
    <phoneticPr fontId="156" type="noConversion"/>
  </si>
  <si>
    <t>텔</t>
    <phoneticPr fontId="156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</si>
  <si>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 xml:space="preserve"> 실발시</t>
    </r>
    <phoneticPr fontId="156" type="noConversion"/>
  </si>
  <si>
    <t>B</t>
    <phoneticPr fontId="156" type="noConversion"/>
  </si>
  <si>
    <t>엔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</si>
  <si>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1/1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</si>
  <si>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1/2</t>
    </r>
  </si>
  <si>
    <r>
      <rPr>
        <sz val="11"/>
        <color theme="1"/>
        <rFont val="맑은 고딕"/>
        <family val="2"/>
        <charset val="129"/>
        <scheme val="minor"/>
      </rPr>
      <t>1/3</t>
    </r>
  </si>
  <si>
    <r>
      <rPr>
        <sz val="11"/>
        <color theme="1"/>
        <rFont val="맑은 고딕"/>
        <family val="2"/>
        <charset val="129"/>
        <scheme val="minor"/>
      </rPr>
      <t>1/4</t>
    </r>
  </si>
  <si>
    <r>
      <rPr>
        <sz val="11"/>
        <color theme="1"/>
        <rFont val="맑은 고딕"/>
        <family val="2"/>
        <charset val="129"/>
        <scheme val="minor"/>
      </rPr>
      <t>1/5</t>
    </r>
  </si>
  <si>
    <r>
      <rPr>
        <sz val="11"/>
        <color theme="1"/>
        <rFont val="맑은 고딕"/>
        <family val="2"/>
        <charset val="129"/>
        <scheme val="minor"/>
      </rPr>
      <t>1/7</t>
    </r>
  </si>
  <si>
    <r>
      <rPr>
        <sz val="11"/>
        <color theme="1"/>
        <rFont val="맑은 고딕"/>
        <family val="2"/>
        <charset val="129"/>
        <scheme val="minor"/>
      </rPr>
      <t>1/8</t>
    </r>
  </si>
  <si>
    <r>
      <rPr>
        <sz val="11"/>
        <color theme="1"/>
        <rFont val="맑은 고딕"/>
        <family val="2"/>
        <charset val="129"/>
        <scheme val="minor"/>
      </rPr>
      <t>1/9</t>
    </r>
  </si>
  <si>
    <r>
      <rPr>
        <sz val="11"/>
        <color theme="1"/>
        <rFont val="맑은 고딕"/>
        <family val="2"/>
        <charset val="129"/>
        <scheme val="minor"/>
      </rPr>
      <t>1/10</t>
    </r>
  </si>
  <si>
    <r>
      <rPr>
        <sz val="11"/>
        <color theme="1"/>
        <rFont val="맑은 고딕"/>
        <family val="2"/>
        <charset val="129"/>
        <scheme val="minor"/>
      </rPr>
      <t>1/11</t>
    </r>
  </si>
  <si>
    <r>
      <rPr>
        <sz val="11"/>
        <color theme="1"/>
        <rFont val="맑은 고딕"/>
        <family val="2"/>
        <charset val="129"/>
        <scheme val="minor"/>
      </rPr>
      <t>1/12</t>
    </r>
  </si>
  <si>
    <r>
      <rPr>
        <sz val="11"/>
        <color theme="1"/>
        <rFont val="맑은 고딕"/>
        <family val="2"/>
        <charset val="129"/>
        <scheme val="minor"/>
      </rPr>
      <t>1/14</t>
    </r>
  </si>
  <si>
    <r>
      <rPr>
        <sz val="11"/>
        <color theme="1"/>
        <rFont val="맑은 고딕"/>
        <family val="2"/>
        <charset val="129"/>
        <scheme val="minor"/>
      </rPr>
      <t>1/15</t>
    </r>
  </si>
  <si>
    <r>
      <rPr>
        <sz val="11"/>
        <color theme="1"/>
        <rFont val="맑은 고딕"/>
        <family val="2"/>
        <charset val="129"/>
        <scheme val="minor"/>
      </rPr>
      <t>1/16</t>
    </r>
  </si>
  <si>
    <r>
      <rPr>
        <sz val="11"/>
        <color theme="1"/>
        <rFont val="맑은 고딕"/>
        <family val="2"/>
        <charset val="129"/>
        <scheme val="minor"/>
      </rPr>
      <t>1/17</t>
    </r>
  </si>
  <si>
    <r>
      <rPr>
        <sz val="11"/>
        <color theme="1"/>
        <rFont val="맑은 고딕"/>
        <family val="2"/>
        <charset val="129"/>
        <scheme val="minor"/>
      </rPr>
      <t>1/18</t>
    </r>
  </si>
  <si>
    <r>
      <rPr>
        <sz val="11"/>
        <color theme="1"/>
        <rFont val="맑은 고딕"/>
        <family val="2"/>
        <charset val="129"/>
        <scheme val="minor"/>
      </rPr>
      <t>1/19</t>
    </r>
  </si>
  <si>
    <r>
      <rPr>
        <sz val="11"/>
        <color theme="1"/>
        <rFont val="맑은 고딕"/>
        <family val="2"/>
        <charset val="129"/>
        <scheme val="minor"/>
      </rPr>
      <t>1/21</t>
    </r>
  </si>
  <si>
    <r>
      <rPr>
        <sz val="11"/>
        <color theme="1"/>
        <rFont val="맑은 고딕"/>
        <family val="2"/>
        <charset val="129"/>
        <scheme val="minor"/>
      </rPr>
      <t>1/22</t>
    </r>
  </si>
  <si>
    <r>
      <rPr>
        <sz val="11"/>
        <color theme="1"/>
        <rFont val="맑은 고딕"/>
        <family val="2"/>
        <charset val="129"/>
        <scheme val="minor"/>
      </rPr>
      <t>1/23</t>
    </r>
  </si>
  <si>
    <r>
      <rPr>
        <sz val="11"/>
        <color theme="1"/>
        <rFont val="맑은 고딕"/>
        <family val="2"/>
        <charset val="129"/>
        <scheme val="minor"/>
      </rPr>
      <t>1/24</t>
    </r>
  </si>
  <si>
    <r>
      <rPr>
        <sz val="11"/>
        <color theme="1"/>
        <rFont val="맑은 고딕"/>
        <family val="2"/>
        <charset val="129"/>
        <scheme val="minor"/>
      </rPr>
      <t>1/25</t>
    </r>
  </si>
  <si>
    <r>
      <rPr>
        <sz val="11"/>
        <color theme="1"/>
        <rFont val="맑은 고딕"/>
        <family val="2"/>
        <charset val="129"/>
        <scheme val="minor"/>
      </rPr>
      <t>1/26</t>
    </r>
  </si>
  <si>
    <r>
      <rPr>
        <sz val="11"/>
        <color theme="1"/>
        <rFont val="맑은 고딕"/>
        <family val="2"/>
        <charset val="129"/>
        <scheme val="minor"/>
      </rPr>
      <t>1/28</t>
    </r>
  </si>
  <si>
    <r>
      <rPr>
        <sz val="11"/>
        <color theme="1"/>
        <rFont val="맑은 고딕"/>
        <family val="2"/>
        <charset val="129"/>
        <scheme val="minor"/>
      </rPr>
      <t>1/29</t>
    </r>
  </si>
  <si>
    <r>
      <rPr>
        <sz val="11"/>
        <color theme="1"/>
        <rFont val="맑은 고딕"/>
        <family val="2"/>
        <charset val="129"/>
        <scheme val="minor"/>
      </rPr>
      <t>1/30</t>
    </r>
  </si>
  <si>
    <r>
      <rPr>
        <sz val="11"/>
        <color theme="1"/>
        <rFont val="맑은 고딕"/>
        <family val="2"/>
        <charset val="129"/>
        <scheme val="minor"/>
      </rPr>
      <t>1/31</t>
    </r>
  </si>
  <si>
    <t>경부하</t>
    <phoneticPr fontId="156" type="noConversion"/>
  </si>
  <si>
    <t>중부하</t>
    <phoneticPr fontId="156" type="noConversion"/>
  </si>
  <si>
    <t>최대</t>
    <phoneticPr fontId="156" type="noConversion"/>
  </si>
  <si>
    <t>전력단가</t>
    <phoneticPr fontId="156" type="noConversion"/>
  </si>
  <si>
    <t>비율(%)</t>
    <phoneticPr fontId="156" type="noConversion"/>
  </si>
  <si>
    <t>2019년 1월</t>
    <phoneticPr fontId="156" type="noConversion"/>
  </si>
  <si>
    <t>시간x단가</t>
    <phoneticPr fontId="156" type="noConversion"/>
  </si>
  <si>
    <t>2018년 1월</t>
    <phoneticPr fontId="156" type="noConversion"/>
  </si>
  <si>
    <t>부하대별 가동 시간 비교('2018년 대비)</t>
    <phoneticPr fontId="156" type="noConversion"/>
  </si>
  <si>
    <t>TPC</t>
    <phoneticPr fontId="156" type="noConversion"/>
  </si>
  <si>
    <t>단위원가</t>
    <phoneticPr fontId="156" type="noConversion"/>
  </si>
  <si>
    <r>
      <t>H</t>
    </r>
    <r>
      <rPr>
        <sz val="11"/>
        <color theme="1"/>
        <rFont val="맑은 고딕"/>
        <family val="2"/>
        <charset val="129"/>
        <scheme val="minor"/>
      </rPr>
      <t>J</t>
    </r>
    <phoneticPr fontId="156" type="noConversion"/>
  </si>
  <si>
    <t>결
재</t>
    <phoneticPr fontId="156" type="noConversion"/>
  </si>
  <si>
    <t>담 당</t>
    <phoneticPr fontId="156" type="noConversion"/>
  </si>
  <si>
    <t>팀 장</t>
    <phoneticPr fontId="156" type="noConversion"/>
  </si>
  <si>
    <t>대표이사</t>
    <phoneticPr fontId="156" type="noConversion"/>
  </si>
  <si>
    <t>유</t>
    <phoneticPr fontId="156" type="noConversion"/>
  </si>
  <si>
    <t>현대(1/31~)</t>
    <phoneticPr fontId="156" type="noConversion"/>
  </si>
  <si>
    <t>아</t>
    <phoneticPr fontId="156" type="noConversion"/>
  </si>
  <si>
    <t>S케</t>
    <phoneticPr fontId="156" type="noConversion"/>
  </si>
  <si>
    <t>LIG</t>
    <phoneticPr fontId="156" type="noConversion"/>
  </si>
  <si>
    <r>
      <t>2019.01.</t>
    </r>
    <r>
      <rPr>
        <sz val="11"/>
        <color theme="1"/>
        <rFont val="맑은 고딕"/>
        <family val="2"/>
        <charset val="129"/>
        <scheme val="minor"/>
      </rPr>
      <t>31</t>
    </r>
    <phoneticPr fontId="162" type="noConversion"/>
  </si>
  <si>
    <t xml:space="preserve">실적 </t>
    <phoneticPr fontId="156" type="noConversion"/>
  </si>
  <si>
    <r>
      <t xml:space="preserve"> 주) 2</t>
    </r>
    <r>
      <rPr>
        <sz val="11"/>
        <color theme="1"/>
        <rFont val="맑은 고딕"/>
        <family val="2"/>
        <charset val="129"/>
        <scheme val="minor"/>
      </rPr>
      <t xml:space="preserve">/1. 출하 예정 : SP </t>
    </r>
    <r>
      <rPr>
        <sz val="11"/>
        <color theme="1"/>
        <rFont val="맑은 고딕"/>
        <family val="2"/>
        <charset val="129"/>
        <scheme val="minor"/>
      </rPr>
      <t>48</t>
    </r>
    <r>
      <rPr>
        <sz val="11"/>
        <color theme="1"/>
        <rFont val="맑은 고딕"/>
        <family val="2"/>
        <charset val="129"/>
        <scheme val="minor"/>
      </rPr>
      <t xml:space="preserve">대,  SC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대</t>
    </r>
    <phoneticPr fontId="156" type="noConversion"/>
  </si>
  <si>
    <t>연료 원단위 비교('2018년 대비)</t>
    <phoneticPr fontId="156" type="noConversion"/>
  </si>
  <si>
    <t>S 수분</t>
    <phoneticPr fontId="156" type="noConversion"/>
  </si>
  <si>
    <t>B설정온도</t>
    <phoneticPr fontId="156" type="noConversion"/>
  </si>
  <si>
    <r>
      <t>B</t>
    </r>
    <r>
      <rPr>
        <sz val="11"/>
        <color theme="1"/>
        <rFont val="맑은 고딕"/>
        <family val="2"/>
        <charset val="129"/>
        <scheme val="minor"/>
      </rPr>
      <t>/F온도</t>
    </r>
    <phoneticPr fontId="156" type="noConversion"/>
  </si>
  <si>
    <t>원단위</t>
    <phoneticPr fontId="156" type="noConversion"/>
  </si>
  <si>
    <t>2월도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</si>
  <si>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'19.1~2월</t>
    </r>
    <phoneticPr fontId="156" type="noConversion"/>
  </si>
  <si>
    <t>'19.2/1</t>
    <phoneticPr fontId="156" type="noConversion"/>
  </si>
  <si>
    <t>2/2</t>
    <phoneticPr fontId="156" type="noConversion"/>
  </si>
  <si>
    <t>평균</t>
    <phoneticPr fontId="156" type="noConversion"/>
  </si>
  <si>
    <t>가동
시간</t>
    <phoneticPr fontId="15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</si>
  <si>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lag</t>
    </r>
    <r>
      <rPr>
        <sz val="11"/>
        <color theme="1"/>
        <rFont val="맑은 고딕"/>
        <family val="2"/>
        <charset val="129"/>
        <scheme val="minor"/>
      </rPr>
      <t xml:space="preserve">
수분</t>
    </r>
    <phoneticPr fontId="156" type="noConversion"/>
  </si>
  <si>
    <r>
      <t>B</t>
    </r>
    <r>
      <rPr>
        <sz val="11"/>
        <color theme="1"/>
        <rFont val="맑은 고딕"/>
        <family val="2"/>
        <charset val="129"/>
        <scheme val="minor"/>
      </rPr>
      <t>/F
온도</t>
    </r>
    <phoneticPr fontId="156" type="noConversion"/>
  </si>
  <si>
    <r>
      <t xml:space="preserve">버너
</t>
    </r>
    <r>
      <rPr>
        <sz val="11"/>
        <color theme="1"/>
        <rFont val="맑은 고딕"/>
        <family val="2"/>
        <charset val="129"/>
        <scheme val="minor"/>
      </rPr>
      <t>설정온도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</si>
  <si>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2/7</t>
    </r>
    <phoneticPr fontId="156" type="noConversion"/>
  </si>
  <si>
    <t>-10 無</t>
    <phoneticPr fontId="156" type="noConversion"/>
  </si>
  <si>
    <r>
      <t xml:space="preserve">                        </t>
    </r>
    <r>
      <rPr>
        <u/>
        <sz val="18"/>
        <color theme="1"/>
        <rFont val="맑은 고딕"/>
        <family val="3"/>
        <charset val="129"/>
        <scheme val="minor"/>
      </rPr>
      <t>생산 재고 현황</t>
    </r>
    <phoneticPr fontId="162" type="noConversion"/>
  </si>
  <si>
    <t>2/11</t>
    <phoneticPr fontId="156" type="noConversion"/>
  </si>
  <si>
    <t>사용 요금</t>
    <phoneticPr fontId="156" type="noConversion"/>
  </si>
  <si>
    <t>사용량</t>
    <phoneticPr fontId="156" type="noConversion"/>
  </si>
  <si>
    <t>단가</t>
    <phoneticPr fontId="156" type="noConversion"/>
  </si>
  <si>
    <t>기본요금</t>
    <phoneticPr fontId="156" type="noConversion"/>
  </si>
  <si>
    <t>고지서기준</t>
    <phoneticPr fontId="156" type="noConversion"/>
  </si>
  <si>
    <r>
      <t>현대(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/</t>
    </r>
    <r>
      <rPr>
        <sz val="11"/>
        <color theme="1"/>
        <rFont val="맑은 고딕"/>
        <family val="2"/>
        <charset val="129"/>
        <scheme val="minor"/>
      </rPr>
      <t>15</t>
    </r>
    <r>
      <rPr>
        <sz val="11"/>
        <color theme="1"/>
        <rFont val="맑은 고딕"/>
        <family val="2"/>
        <charset val="129"/>
        <scheme val="minor"/>
      </rPr>
      <t>~)</t>
    </r>
    <phoneticPr fontId="156" type="noConversion"/>
  </si>
  <si>
    <r>
      <t>C</t>
    </r>
    <r>
      <rPr>
        <sz val="11"/>
        <color theme="1"/>
        <rFont val="맑은 고딕"/>
        <family val="2"/>
        <charset val="129"/>
        <scheme val="minor"/>
      </rPr>
      <t>V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</si>
  <si>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12/4~15</t>
    </r>
    <phoneticPr fontId="156" type="noConversion"/>
  </si>
  <si>
    <t xml:space="preserve">1월도 고지서 반영(2/19) : 1000 </t>
    <phoneticPr fontId="156" type="noConversion"/>
  </si>
  <si>
    <t>코인</t>
    <phoneticPr fontId="156" type="noConversion"/>
  </si>
  <si>
    <t>차기 포대</t>
    <phoneticPr fontId="156" type="noConversion"/>
  </si>
  <si>
    <t>이사 준비</t>
    <phoneticPr fontId="156" type="noConversion"/>
  </si>
  <si>
    <t>문경 보증금</t>
    <phoneticPr fontId="156" type="noConversion"/>
  </si>
  <si>
    <t>한전</t>
    <phoneticPr fontId="156" type="noConversion"/>
  </si>
  <si>
    <t>상수도</t>
    <phoneticPr fontId="156" type="noConversion"/>
  </si>
  <si>
    <t>가스집</t>
    <phoneticPr fontId="156" type="noConversion"/>
  </si>
  <si>
    <t>이사센터</t>
    <phoneticPr fontId="156" type="noConversion"/>
  </si>
  <si>
    <t>청소회사</t>
    <phoneticPr fontId="156" type="noConversion"/>
  </si>
  <si>
    <r>
      <t>O</t>
    </r>
    <r>
      <rPr>
        <sz val="11"/>
        <color theme="1"/>
        <rFont val="맑은 고딕"/>
        <family val="2"/>
        <charset val="129"/>
        <scheme val="minor"/>
      </rPr>
      <t>C</t>
    </r>
    <phoneticPr fontId="15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</si>
  <si>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K</t>
    </r>
    <phoneticPr fontId="156" type="noConversion"/>
  </si>
  <si>
    <t>3/3</t>
  </si>
  <si>
    <t>3/4</t>
  </si>
  <si>
    <t>3/5</t>
  </si>
  <si>
    <r>
      <t>2/2</t>
    </r>
    <r>
      <rPr>
        <sz val="11"/>
        <color theme="1"/>
        <rFont val="맑은 고딕"/>
        <family val="2"/>
        <charset val="129"/>
        <scheme val="minor"/>
      </rPr>
      <t>7</t>
    </r>
    <phoneticPr fontId="156" type="noConversion"/>
  </si>
  <si>
    <r>
      <t>현대(</t>
    </r>
    <r>
      <rPr>
        <sz val="11"/>
        <color theme="1"/>
        <rFont val="맑은 고딕"/>
        <family val="2"/>
        <charset val="129"/>
        <scheme val="minor"/>
      </rPr>
      <t>2/27~)</t>
    </r>
    <phoneticPr fontId="156" type="noConversion"/>
  </si>
  <si>
    <r>
      <t>2019.02.2</t>
    </r>
    <r>
      <rPr>
        <sz val="11"/>
        <color theme="1"/>
        <rFont val="맑은 고딕"/>
        <family val="2"/>
        <charset val="129"/>
        <scheme val="minor"/>
      </rPr>
      <t>8</t>
    </r>
    <phoneticPr fontId="162" type="noConversion"/>
  </si>
  <si>
    <t>월도</t>
    <phoneticPr fontId="156" type="noConversion"/>
  </si>
  <si>
    <r>
      <t xml:space="preserve">주 1) 단가  : 전력 </t>
    </r>
    <r>
      <rPr>
        <sz val="11"/>
        <color theme="1"/>
        <rFont val="맑은 고딕"/>
        <family val="2"/>
        <charset val="129"/>
        <scheme val="minor"/>
      </rPr>
      <t>76.9</t>
    </r>
    <r>
      <rPr>
        <sz val="11"/>
        <color theme="1"/>
        <rFont val="맑은 고딕"/>
        <family val="2"/>
        <charset val="129"/>
        <scheme val="minor"/>
      </rPr>
      <t>원/KWH(</t>
    </r>
    <r>
      <rPr>
        <sz val="11"/>
        <color theme="1"/>
        <rFont val="맑은 고딕"/>
        <family val="2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~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월. 평균) , 연료 590원/m3 (12월~3월)</t>
    </r>
    <phoneticPr fontId="162" type="noConversion"/>
  </si>
  <si>
    <r>
      <rPr>
        <sz val="11"/>
        <color theme="1"/>
        <rFont val="맑은 고딕"/>
        <family val="2"/>
        <charset val="129"/>
        <scheme val="minor"/>
      </rPr>
      <t>'19.1~3월</t>
    </r>
    <phoneticPr fontId="156" type="noConversion"/>
  </si>
  <si>
    <t>'19.3/1</t>
    <phoneticPr fontId="156" type="noConversion"/>
  </si>
  <si>
    <t>3/2</t>
    <phoneticPr fontId="156" type="noConversion"/>
  </si>
  <si>
    <t>3/6</t>
  </si>
  <si>
    <t>3/7</t>
  </si>
  <si>
    <t>3/8</t>
  </si>
  <si>
    <t>3/9</t>
  </si>
  <si>
    <t>3/10</t>
  </si>
  <si>
    <t>3/11</t>
  </si>
  <si>
    <t>3/12</t>
  </si>
  <si>
    <t>3/13</t>
  </si>
  <si>
    <t>3/14</t>
  </si>
  <si>
    <t>3/15</t>
  </si>
  <si>
    <t>3/16</t>
  </si>
  <si>
    <t>3/17</t>
  </si>
  <si>
    <t>3/18</t>
  </si>
  <si>
    <t>3/19</t>
  </si>
  <si>
    <t>3/20</t>
  </si>
  <si>
    <t>3/21</t>
  </si>
  <si>
    <t>3/22</t>
  </si>
  <si>
    <t>3/23</t>
  </si>
  <si>
    <t>3/24</t>
  </si>
  <si>
    <t>3/25</t>
  </si>
  <si>
    <t>3/26</t>
  </si>
  <si>
    <t>3/27</t>
  </si>
  <si>
    <t>3/28</t>
  </si>
  <si>
    <t>3/29</t>
  </si>
  <si>
    <t>3월도 생산량</t>
    <phoneticPr fontId="156" type="noConversion"/>
  </si>
  <si>
    <t>Slag소진</t>
    <phoneticPr fontId="156" type="noConversion"/>
  </si>
  <si>
    <t>3/30</t>
  </si>
  <si>
    <t>3/31</t>
  </si>
  <si>
    <r>
      <rPr>
        <sz val="11"/>
        <color theme="1"/>
        <rFont val="맑은 고딕"/>
        <family val="2"/>
        <charset val="129"/>
        <scheme val="minor"/>
      </rPr>
      <t>3/3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</si>
  <si>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3/4</t>
    </r>
  </si>
  <si>
    <r>
      <rPr>
        <sz val="11"/>
        <color theme="1"/>
        <rFont val="맑은 고딕"/>
        <family val="2"/>
        <charset val="129"/>
        <scheme val="minor"/>
      </rPr>
      <t>3/5</t>
    </r>
  </si>
  <si>
    <t xml:space="preserve"> - C Silo 투입량 인출량,재고</t>
    <phoneticPr fontId="156" type="noConversion"/>
  </si>
  <si>
    <r>
      <t>일본(미즈,</t>
    </r>
    <r>
      <rPr>
        <sz val="11"/>
        <color theme="1"/>
        <rFont val="맑은 고딕"/>
        <family val="2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/</t>
    </r>
    <r>
      <rPr>
        <sz val="11"/>
        <color theme="1"/>
        <rFont val="맑은 고딕"/>
        <family val="2"/>
        <charset val="129"/>
        <scheme val="minor"/>
      </rPr>
      <t>8~)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</si>
  <si>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3/6</t>
    </r>
  </si>
  <si>
    <r>
      <rPr>
        <sz val="11"/>
        <color theme="1"/>
        <rFont val="맑은 고딕"/>
        <family val="2"/>
        <charset val="129"/>
        <scheme val="minor"/>
      </rPr>
      <t>3/13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</si>
  <si>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3/14</t>
    </r>
  </si>
  <si>
    <t>포대</t>
    <phoneticPr fontId="156" type="noConversion"/>
  </si>
  <si>
    <t>엘유</t>
    <phoneticPr fontId="156" type="noConversion"/>
  </si>
  <si>
    <t>삼생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</si>
  <si>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3/18</t>
    </r>
    <phoneticPr fontId="156" type="noConversion"/>
  </si>
  <si>
    <r>
      <t xml:space="preserve">수분 </t>
    </r>
    <r>
      <rPr>
        <sz val="11"/>
        <color theme="1"/>
        <rFont val="맑은 고딕"/>
        <family val="2"/>
        <charset val="129"/>
        <scheme val="minor"/>
      </rPr>
      <t>7.0% 감안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</si>
  <si>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3/19</t>
    </r>
  </si>
  <si>
    <r>
      <rPr>
        <sz val="11"/>
        <color theme="1"/>
        <rFont val="맑은 고딕"/>
        <family val="2"/>
        <charset val="129"/>
        <scheme val="minor"/>
      </rPr>
      <t>3/20</t>
    </r>
  </si>
  <si>
    <r>
      <rPr>
        <sz val="11"/>
        <color theme="1"/>
        <rFont val="맑은 고딕"/>
        <family val="2"/>
        <charset val="129"/>
        <scheme val="minor"/>
      </rPr>
      <t>3/21</t>
    </r>
  </si>
  <si>
    <r>
      <rPr>
        <sz val="11"/>
        <color theme="1"/>
        <rFont val="맑은 고딕"/>
        <family val="2"/>
        <charset val="129"/>
        <scheme val="minor"/>
      </rPr>
      <t>3/22</t>
    </r>
  </si>
  <si>
    <r>
      <rPr>
        <sz val="11"/>
        <color theme="1"/>
        <rFont val="맑은 고딕"/>
        <family val="2"/>
        <charset val="129"/>
        <scheme val="minor"/>
      </rPr>
      <t>3/23</t>
    </r>
  </si>
  <si>
    <t>3/21~22, 420톤 프러스 됨.(3/24반영)</t>
    <phoneticPr fontId="156" type="noConversion"/>
  </si>
  <si>
    <t>S텔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</si>
  <si>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3/26</t>
    </r>
    <phoneticPr fontId="156" type="noConversion"/>
  </si>
  <si>
    <r>
      <t>일본(미즈,</t>
    </r>
    <r>
      <rPr>
        <sz val="11"/>
        <color theme="1"/>
        <rFont val="맑은 고딕"/>
        <family val="2"/>
        <charset val="129"/>
        <scheme val="minor"/>
      </rPr>
      <t>3/29~)</t>
    </r>
    <phoneticPr fontId="156" type="noConversion"/>
  </si>
  <si>
    <t>현철, K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</si>
  <si>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3/27</t>
    </r>
  </si>
  <si>
    <r>
      <rPr>
        <sz val="11"/>
        <color theme="1"/>
        <rFont val="맑은 고딕"/>
        <family val="2"/>
        <charset val="129"/>
        <scheme val="minor"/>
      </rPr>
      <t>3/29</t>
    </r>
    <phoneticPr fontId="156" type="noConversion"/>
  </si>
  <si>
    <t>4/2</t>
    <phoneticPr fontId="156" type="noConversion"/>
  </si>
  <si>
    <t>4/3</t>
  </si>
  <si>
    <t>4/4</t>
  </si>
  <si>
    <t>4/5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</si>
  <si>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</si>
  <si>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</si>
  <si>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</si>
  <si>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</si>
  <si>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</si>
  <si>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</si>
  <si>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</si>
  <si>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</si>
  <si>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</si>
  <si>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</si>
  <si>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</si>
  <si>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</si>
  <si>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</si>
  <si>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</si>
  <si>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</si>
  <si>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</si>
  <si>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</si>
  <si>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</si>
  <si>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4/24</t>
  </si>
  <si>
    <t>4/25</t>
  </si>
  <si>
    <t>4/26</t>
  </si>
  <si>
    <t>4/27</t>
  </si>
  <si>
    <t>4/28</t>
  </si>
  <si>
    <t>4/29</t>
  </si>
  <si>
    <t>4/30</t>
  </si>
  <si>
    <r>
      <t>P</t>
    </r>
    <r>
      <rPr>
        <sz val="11"/>
        <color theme="1"/>
        <rFont val="맑은 고딕"/>
        <family val="2"/>
        <charset val="129"/>
        <scheme val="minor"/>
      </rPr>
      <t>O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</si>
  <si>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3/30</t>
    </r>
  </si>
  <si>
    <r>
      <rPr>
        <sz val="11"/>
        <color theme="1"/>
        <rFont val="맑은 고딕"/>
        <family val="2"/>
        <charset val="129"/>
        <scheme val="minor"/>
      </rPr>
      <t>2019.3.31</t>
    </r>
    <phoneticPr fontId="156" type="noConversion"/>
  </si>
  <si>
    <r>
      <t xml:space="preserve"> 주) </t>
    </r>
    <r>
      <rPr>
        <sz val="11"/>
        <color theme="1"/>
        <rFont val="맑은 고딕"/>
        <family val="2"/>
        <charset val="129"/>
        <scheme val="minor"/>
      </rPr>
      <t>4</t>
    </r>
    <r>
      <rPr>
        <sz val="11"/>
        <color theme="1"/>
        <rFont val="맑은 고딕"/>
        <family val="2"/>
        <charset val="129"/>
        <scheme val="minor"/>
      </rPr>
      <t>/</t>
    </r>
    <r>
      <rPr>
        <sz val="11"/>
        <color theme="1"/>
        <rFont val="맑은 고딕"/>
        <family val="2"/>
        <charset val="129"/>
        <scheme val="minor"/>
      </rPr>
      <t>1. 출하 예정 : SP 42대,  SC 8대 ,</t>
    </r>
    <phoneticPr fontId="156" type="noConversion"/>
  </si>
  <si>
    <t>측정-산식</t>
    <phoneticPr fontId="156" type="noConversion"/>
  </si>
  <si>
    <t>실적</t>
    <phoneticPr fontId="156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</si>
  <si>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7.6~48</t>
    </r>
    <phoneticPr fontId="156" type="noConversion"/>
  </si>
  <si>
    <t>배</t>
    <phoneticPr fontId="156" type="noConversion"/>
  </si>
  <si>
    <t>4월도 생산량</t>
    <phoneticPr fontId="156" type="noConversion"/>
  </si>
  <si>
    <t>'19.4/1</t>
    <phoneticPr fontId="156" type="noConversion"/>
  </si>
  <si>
    <t>SC</t>
    <phoneticPr fontId="156" type="noConversion"/>
  </si>
  <si>
    <t>1M</t>
    <phoneticPr fontId="156" type="noConversion"/>
  </si>
  <si>
    <t>2,3M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</si>
  <si>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4/1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</si>
  <si>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'19.1~4월</t>
    </r>
    <phoneticPr fontId="156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</si>
  <si>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M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</si>
  <si>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4/2</t>
    </r>
  </si>
  <si>
    <t>년간 자동 계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</si>
  <si>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4/3</t>
    </r>
  </si>
  <si>
    <r>
      <rPr>
        <sz val="11"/>
        <color theme="1"/>
        <rFont val="맑은 고딕"/>
        <family val="2"/>
        <charset val="129"/>
        <scheme val="minor"/>
      </rPr>
      <t>4/4</t>
    </r>
  </si>
  <si>
    <t>비고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</si>
  <si>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4/5</t>
    </r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</si>
  <si>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>B Silo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</si>
  <si>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4/7</t>
    </r>
    <phoneticPr fontId="156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</si>
  <si>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 xml:space="preserve"> M</t>
    </r>
    <phoneticPr fontId="156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</si>
  <si>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~3M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</si>
  <si>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4/8</t>
    </r>
  </si>
  <si>
    <r>
      <t>주 1) 단가  : 전력 76.9원/KWH(3~5월. 평균) , 연료 56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원/m3 (4,5월)</t>
    </r>
    <phoneticPr fontId="162" type="noConversion"/>
  </si>
  <si>
    <r>
      <t>4월</t>
    </r>
    <r>
      <rPr>
        <sz val="11"/>
        <color theme="1"/>
        <rFont val="맑은 고딕"/>
        <family val="2"/>
        <charset val="129"/>
        <scheme val="minor"/>
      </rPr>
      <t>23일 B/E Chain 점검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</si>
  <si>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4/12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</si>
  <si>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4/13</t>
    </r>
  </si>
  <si>
    <t>이송량 체크</t>
    <phoneticPr fontId="156" type="noConversion"/>
  </si>
  <si>
    <t>부언료</t>
    <phoneticPr fontId="156" type="noConversion"/>
  </si>
  <si>
    <t>PS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</si>
  <si>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4/16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</si>
  <si>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4/17</t>
    </r>
  </si>
  <si>
    <r>
      <rPr>
        <sz val="11"/>
        <color theme="1"/>
        <rFont val="맑은 고딕"/>
        <family val="2"/>
        <charset val="129"/>
        <scheme val="minor"/>
      </rPr>
      <t>4/18</t>
    </r>
  </si>
  <si>
    <r>
      <rPr>
        <sz val="11"/>
        <color theme="1"/>
        <rFont val="맑은 고딕"/>
        <family val="2"/>
        <charset val="129"/>
        <scheme val="minor"/>
      </rPr>
      <t>4/19</t>
    </r>
  </si>
  <si>
    <r>
      <t>일본(후쿠,4</t>
    </r>
    <r>
      <rPr>
        <sz val="11"/>
        <color theme="1"/>
        <rFont val="맑은 고딕"/>
        <family val="2"/>
        <charset val="129"/>
        <scheme val="minor"/>
      </rPr>
      <t>/2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~)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</si>
  <si>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4/20</t>
    </r>
  </si>
  <si>
    <r>
      <rPr>
        <sz val="11"/>
        <color theme="1"/>
        <rFont val="맑은 고딕"/>
        <family val="2"/>
        <charset val="129"/>
        <scheme val="minor"/>
      </rPr>
      <t>~ 4/21.20시 까지는 3항차, 4항차는 20시~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</si>
  <si>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4/22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</si>
  <si>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4/23</t>
    </r>
  </si>
  <si>
    <r>
      <rPr>
        <sz val="11"/>
        <color theme="1"/>
        <rFont val="맑은 고딕"/>
        <family val="2"/>
        <charset val="129"/>
        <scheme val="minor"/>
      </rPr>
      <t>4/24</t>
    </r>
  </si>
  <si>
    <t>투입中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</si>
  <si>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4/25</t>
    </r>
  </si>
  <si>
    <r>
      <rPr>
        <sz val="11"/>
        <color theme="1"/>
        <rFont val="맑은 고딕"/>
        <family val="2"/>
        <charset val="129"/>
        <scheme val="minor"/>
      </rPr>
      <t>7</t>
    </r>
    <r>
      <rPr>
        <sz val="11"/>
        <color theme="1"/>
        <rFont val="맑은 고딕"/>
        <family val="2"/>
        <charset val="129"/>
        <scheme val="minor"/>
      </rPr>
      <t>월말</t>
    </r>
    <r>
      <rPr>
        <sz val="11"/>
        <color theme="1"/>
        <rFont val="맑은 고딕"/>
        <family val="2"/>
        <charset val="129"/>
        <scheme val="minor"/>
      </rPr>
      <t xml:space="preserve"> 목표 달성 예상(36.5)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</si>
  <si>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4/26</t>
    </r>
  </si>
  <si>
    <r>
      <rPr>
        <sz val="11"/>
        <color theme="1"/>
        <rFont val="맑은 고딕"/>
        <family val="2"/>
        <charset val="129"/>
        <scheme val="minor"/>
      </rPr>
      <t>4/27</t>
    </r>
  </si>
  <si>
    <t>5/2</t>
    <phoneticPr fontId="156" type="noConversion"/>
  </si>
  <si>
    <t>5/3</t>
  </si>
  <si>
    <t>5/4</t>
  </si>
  <si>
    <t>5/5</t>
  </si>
  <si>
    <t>5/6</t>
  </si>
  <si>
    <t>5/7</t>
  </si>
  <si>
    <t>5/8</t>
  </si>
  <si>
    <t>5/9</t>
  </si>
  <si>
    <t>5/10</t>
  </si>
  <si>
    <t>5/11</t>
  </si>
  <si>
    <t>5/12</t>
  </si>
  <si>
    <t>5/13</t>
  </si>
  <si>
    <t>5/14</t>
  </si>
  <si>
    <t>5/15</t>
  </si>
  <si>
    <t>5/16</t>
  </si>
  <si>
    <t>5/17</t>
  </si>
  <si>
    <t>5/18</t>
  </si>
  <si>
    <t>5/19</t>
  </si>
  <si>
    <t>5/20</t>
  </si>
  <si>
    <t>5/21</t>
  </si>
  <si>
    <t>5/22</t>
  </si>
  <si>
    <t>5/23</t>
  </si>
  <si>
    <t>5/24</t>
  </si>
  <si>
    <t>5/25</t>
  </si>
  <si>
    <t>5/26</t>
  </si>
  <si>
    <t>5/27</t>
  </si>
  <si>
    <t>5/28</t>
  </si>
  <si>
    <t>5/29</t>
  </si>
  <si>
    <t>5/30</t>
  </si>
  <si>
    <t>5/31</t>
  </si>
  <si>
    <r>
      <rPr>
        <sz val="11"/>
        <color theme="1"/>
        <rFont val="맑은 고딕"/>
        <family val="2"/>
        <charset val="129"/>
        <scheme val="minor"/>
      </rPr>
      <t>4/28</t>
    </r>
  </si>
  <si>
    <r>
      <rPr>
        <sz val="11"/>
        <color theme="1"/>
        <rFont val="맑은 고딕"/>
        <family val="2"/>
        <charset val="129"/>
        <scheme val="minor"/>
      </rPr>
      <t>4/29</t>
    </r>
  </si>
  <si>
    <t>5/1</t>
    <phoneticPr fontId="156" type="noConversion"/>
  </si>
  <si>
    <t>5/2</t>
  </si>
  <si>
    <r>
      <t>2019.4.</t>
    </r>
    <r>
      <rPr>
        <sz val="11"/>
        <color theme="1"/>
        <rFont val="맑은 고딕"/>
        <family val="2"/>
        <charset val="129"/>
        <scheme val="minor"/>
      </rPr>
      <t>30</t>
    </r>
    <phoneticPr fontId="156" type="noConversion"/>
  </si>
  <si>
    <t>실적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</si>
  <si>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4/30</t>
    </r>
  </si>
  <si>
    <t>5월도 생산량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</si>
  <si>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4/31</t>
    </r>
  </si>
  <si>
    <t>장부</t>
    <phoneticPr fontId="156" type="noConversion"/>
  </si>
  <si>
    <r>
      <t xml:space="preserve">수분 </t>
    </r>
    <r>
      <rPr>
        <sz val="11"/>
        <color theme="1"/>
        <rFont val="맑은 고딕"/>
        <family val="2"/>
        <charset val="129"/>
        <scheme val="minor"/>
      </rPr>
      <t>5.7~7.5% 감안</t>
    </r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</si>
  <si>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'19.1~5월</t>
    </r>
    <phoneticPr fontId="156" type="noConversion"/>
  </si>
  <si>
    <t>6/3</t>
  </si>
  <si>
    <t>6/4</t>
  </si>
  <si>
    <t>6/5</t>
  </si>
  <si>
    <t>6/6</t>
  </si>
  <si>
    <t>6/7</t>
  </si>
  <si>
    <t>6/8</t>
  </si>
  <si>
    <t>6/9</t>
  </si>
  <si>
    <t>6/10</t>
  </si>
  <si>
    <t>6/11</t>
  </si>
  <si>
    <t>6/12</t>
  </si>
  <si>
    <t>6/13</t>
  </si>
  <si>
    <t>6/14</t>
  </si>
  <si>
    <t>6/15</t>
  </si>
  <si>
    <t>6/16</t>
  </si>
  <si>
    <t>6/17</t>
  </si>
  <si>
    <t>6/18</t>
  </si>
  <si>
    <t>6/19</t>
  </si>
  <si>
    <t>6/20</t>
  </si>
  <si>
    <t>6/21</t>
  </si>
  <si>
    <t>6/22</t>
  </si>
  <si>
    <t>6/23</t>
  </si>
  <si>
    <t>6/24</t>
  </si>
  <si>
    <t>6/25</t>
  </si>
  <si>
    <t>6/26</t>
  </si>
  <si>
    <t>6/27</t>
  </si>
  <si>
    <t>6/28</t>
  </si>
  <si>
    <t>6/29</t>
  </si>
  <si>
    <t>6/30</t>
  </si>
  <si>
    <r>
      <t>현대(</t>
    </r>
    <r>
      <rPr>
        <sz val="11"/>
        <color theme="1"/>
        <rFont val="맑은 고딕"/>
        <family val="2"/>
        <charset val="129"/>
        <scheme val="minor"/>
      </rPr>
      <t>5/27~)</t>
    </r>
    <phoneticPr fontId="156" type="noConversion"/>
  </si>
  <si>
    <t>일본(후쿠6/1~)</t>
    <phoneticPr fontId="156" type="noConversion"/>
  </si>
  <si>
    <t>주 1) 단가  : 전력 107원/KWH(6~8월. 평균) , 연료 562원/m3 (6~9월)</t>
    <phoneticPr fontId="162" type="noConversion"/>
  </si>
  <si>
    <t>6/1</t>
    <phoneticPr fontId="156" type="noConversion"/>
  </si>
  <si>
    <t>6/2</t>
  </si>
  <si>
    <t>7/2</t>
  </si>
  <si>
    <t>7/3</t>
  </si>
  <si>
    <t>7/4</t>
  </si>
  <si>
    <t>7/5</t>
  </si>
  <si>
    <t>7/6</t>
  </si>
  <si>
    <t>7/7</t>
  </si>
  <si>
    <t>7/8</t>
  </si>
  <si>
    <t>7/9</t>
  </si>
  <si>
    <t>7/10</t>
  </si>
  <si>
    <t>7/11</t>
  </si>
  <si>
    <t>7/12</t>
  </si>
  <si>
    <t>7/13</t>
  </si>
  <si>
    <t>7/14</t>
  </si>
  <si>
    <t>7/15</t>
  </si>
  <si>
    <t>7/16</t>
  </si>
  <si>
    <t>7/17</t>
  </si>
  <si>
    <t>7/18</t>
  </si>
  <si>
    <t>7/19</t>
  </si>
  <si>
    <t>7/20</t>
  </si>
  <si>
    <t>7/21</t>
  </si>
  <si>
    <t>7/22</t>
  </si>
  <si>
    <t>7/23</t>
  </si>
  <si>
    <t>7/24</t>
  </si>
  <si>
    <t>7/25</t>
  </si>
  <si>
    <t>7/26</t>
  </si>
  <si>
    <t>7/27</t>
  </si>
  <si>
    <t>7/28</t>
  </si>
  <si>
    <t>7/29</t>
  </si>
  <si>
    <t>7/30</t>
  </si>
  <si>
    <t>7/31</t>
  </si>
  <si>
    <r>
      <t>2019.5.</t>
    </r>
    <r>
      <rPr>
        <sz val="11"/>
        <color theme="1"/>
        <rFont val="맑은 고딕"/>
        <family val="2"/>
        <charset val="129"/>
        <scheme val="minor"/>
      </rPr>
      <t>31</t>
    </r>
    <phoneticPr fontId="156" type="noConversion"/>
  </si>
  <si>
    <t>6월도 생산량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</si>
  <si>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'19.1~6월</t>
    </r>
    <phoneticPr fontId="156" type="noConversion"/>
  </si>
  <si>
    <r>
      <t xml:space="preserve">수분 </t>
    </r>
    <r>
      <rPr>
        <sz val="11"/>
        <color theme="1"/>
        <rFont val="맑은 고딕"/>
        <family val="2"/>
        <charset val="129"/>
        <scheme val="minor"/>
      </rPr>
      <t>5.7% 감안</t>
    </r>
    <phoneticPr fontId="156" type="noConversion"/>
  </si>
  <si>
    <r>
      <t>일본(후쿠6/</t>
    </r>
    <r>
      <rPr>
        <sz val="11"/>
        <color theme="1"/>
        <rFont val="맑은 고딕"/>
        <family val="2"/>
        <charset val="129"/>
        <scheme val="minor"/>
      </rPr>
      <t>12~)</t>
    </r>
    <phoneticPr fontId="156" type="noConversion"/>
  </si>
  <si>
    <r>
      <t>달성율(</t>
    </r>
    <r>
      <rPr>
        <sz val="11"/>
        <color theme="1"/>
        <rFont val="맑은 고딕"/>
        <family val="2"/>
        <charset val="129"/>
        <scheme val="minor"/>
      </rPr>
      <t>%)</t>
    </r>
    <phoneticPr fontId="156" type="noConversion"/>
  </si>
  <si>
    <t>기간</t>
    <phoneticPr fontId="156" type="noConversion"/>
  </si>
  <si>
    <r>
      <t>현대(</t>
    </r>
    <r>
      <rPr>
        <sz val="11"/>
        <color theme="1"/>
        <rFont val="맑은 고딕"/>
        <family val="2"/>
        <charset val="129"/>
        <scheme val="minor"/>
      </rPr>
      <t>6/14~)</t>
    </r>
    <phoneticPr fontId="156" type="noConversion"/>
  </si>
  <si>
    <t>투입中</t>
  </si>
  <si>
    <r>
      <t>현대(</t>
    </r>
    <r>
      <rPr>
        <sz val="11"/>
        <color theme="1"/>
        <rFont val="맑은 고딕"/>
        <family val="2"/>
        <charset val="129"/>
        <scheme val="minor"/>
      </rPr>
      <t>6/27~)</t>
    </r>
    <phoneticPr fontId="156" type="noConversion"/>
  </si>
  <si>
    <t>2019.6.30</t>
    <phoneticPr fontId="156" type="noConversion"/>
  </si>
  <si>
    <t>6/1~30</t>
    <phoneticPr fontId="156" type="noConversion"/>
  </si>
  <si>
    <r>
      <t>현대(</t>
    </r>
    <r>
      <rPr>
        <sz val="11"/>
        <color theme="1"/>
        <rFont val="맑은 고딕"/>
        <family val="2"/>
        <charset val="129"/>
        <scheme val="minor"/>
      </rPr>
      <t>6/20~)</t>
    </r>
    <phoneticPr fontId="156" type="noConversion"/>
  </si>
  <si>
    <t>소비</t>
    <phoneticPr fontId="156" type="noConversion"/>
  </si>
  <si>
    <t>SP</t>
    <phoneticPr fontId="156" type="noConversion"/>
  </si>
  <si>
    <t>S/C소비</t>
    <phoneticPr fontId="156" type="noConversion"/>
  </si>
  <si>
    <t>S/C</t>
    <phoneticPr fontId="156" type="noConversion"/>
  </si>
  <si>
    <t>7월도 생산량</t>
    <phoneticPr fontId="156" type="noConversion"/>
  </si>
  <si>
    <t>예상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</si>
  <si>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'19.1~7월</t>
    </r>
    <phoneticPr fontId="156" type="noConversion"/>
  </si>
  <si>
    <r>
      <t xml:space="preserve"> </t>
    </r>
    <r>
      <rPr>
        <sz val="11"/>
        <color theme="1"/>
        <rFont val="맑은 고딕"/>
        <family val="2"/>
        <charset val="129"/>
        <scheme val="minor"/>
      </rPr>
      <t>5.43 ％ 인상(7/8)</t>
    </r>
    <phoneticPr fontId="156" type="noConversion"/>
  </si>
  <si>
    <r>
      <t>주 1) 단가  : 전력 107원/KWH(6~8월. 평균) , 연료 5</t>
    </r>
    <r>
      <rPr>
        <sz val="11"/>
        <color theme="1"/>
        <rFont val="맑은 고딕"/>
        <family val="2"/>
        <charset val="129"/>
        <scheme val="minor"/>
      </rPr>
      <t>93</t>
    </r>
    <r>
      <rPr>
        <sz val="11"/>
        <color theme="1"/>
        <rFont val="맑은 고딕"/>
        <family val="2"/>
        <charset val="129"/>
        <scheme val="minor"/>
      </rPr>
      <t>원/m3 (6~9월)</t>
    </r>
    <phoneticPr fontId="162" type="noConversion"/>
  </si>
  <si>
    <t>현대(6/27~)</t>
  </si>
  <si>
    <t>현대(7/8~)</t>
  </si>
  <si>
    <t>일본(후쿠7/16~)</t>
  </si>
  <si>
    <t>절감금액 표시 여부</t>
    <phoneticPr fontId="156" type="noConversion"/>
  </si>
  <si>
    <t>일간 목표대비 절감금액(만원)</t>
    <phoneticPr fontId="156" type="noConversion"/>
  </si>
  <si>
    <t>7/31</t>
    <phoneticPr fontId="156" type="noConversion"/>
  </si>
  <si>
    <t>8/3</t>
  </si>
  <si>
    <t>8/4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</si>
  <si>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</si>
  <si>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</si>
  <si>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</si>
  <si>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</si>
  <si>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</si>
  <si>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</si>
  <si>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</si>
  <si>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</si>
  <si>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</si>
  <si>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</si>
  <si>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</si>
  <si>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8/16</t>
  </si>
  <si>
    <t>8/17</t>
  </si>
  <si>
    <t>8/18</t>
  </si>
  <si>
    <t>8/19</t>
  </si>
  <si>
    <t>8/20</t>
  </si>
  <si>
    <t>8/21</t>
  </si>
  <si>
    <t>8/22</t>
  </si>
  <si>
    <t>8/23</t>
  </si>
  <si>
    <t>8/24</t>
  </si>
  <si>
    <t>8/25</t>
  </si>
  <si>
    <t>8/26</t>
  </si>
  <si>
    <t>8/27</t>
  </si>
  <si>
    <t>8/28</t>
  </si>
  <si>
    <t>8/29</t>
  </si>
  <si>
    <t>8/30</t>
  </si>
  <si>
    <t>8/31</t>
  </si>
  <si>
    <t>8/31</t>
    <phoneticPr fontId="156" type="noConversion"/>
  </si>
  <si>
    <t>9/3</t>
  </si>
  <si>
    <t>9/4</t>
  </si>
  <si>
    <t>9/5</t>
  </si>
  <si>
    <t>9/6</t>
  </si>
  <si>
    <t>9/7</t>
  </si>
  <si>
    <t>9/8</t>
  </si>
  <si>
    <t>9/9</t>
  </si>
  <si>
    <t>9/10</t>
  </si>
  <si>
    <t>9/11</t>
  </si>
  <si>
    <t>9/12</t>
  </si>
  <si>
    <t>9/13</t>
  </si>
  <si>
    <t>9/14</t>
  </si>
  <si>
    <t>9/15</t>
  </si>
  <si>
    <t>9/16</t>
  </si>
  <si>
    <t>9/17</t>
  </si>
  <si>
    <t>9/18</t>
  </si>
  <si>
    <t>9/19</t>
  </si>
  <si>
    <t>9/20</t>
  </si>
  <si>
    <t>9/21</t>
  </si>
  <si>
    <t>9/22</t>
  </si>
  <si>
    <t>9/23</t>
  </si>
  <si>
    <t>9/24</t>
  </si>
  <si>
    <t>9/25</t>
  </si>
  <si>
    <t>9/26</t>
  </si>
  <si>
    <t>9/27</t>
  </si>
  <si>
    <t>9/28</t>
  </si>
  <si>
    <t>9/29</t>
  </si>
  <si>
    <t>9/30</t>
  </si>
  <si>
    <t>가동시간
(Hrs)</t>
    <phoneticPr fontId="156" type="noConversion"/>
  </si>
  <si>
    <t>10월초 가스 목표 달성 예정.</t>
    <phoneticPr fontId="156" type="noConversion"/>
  </si>
  <si>
    <t>- 7/23~26일 전력절감제도 참여(62,000kwh, 단가 84원/kwh)</t>
    <phoneticPr fontId="156" type="noConversion"/>
  </si>
  <si>
    <t xml:space="preserve"> (443만원 절감)</t>
    <phoneticPr fontId="156" type="noConversion"/>
  </si>
  <si>
    <t>8/1</t>
    <phoneticPr fontId="156" type="noConversion"/>
  </si>
  <si>
    <t>8/2</t>
  </si>
  <si>
    <t>9/1</t>
    <phoneticPr fontId="156" type="noConversion"/>
  </si>
  <si>
    <t>9/2</t>
  </si>
  <si>
    <t>현대(7/29~)</t>
    <phoneticPr fontId="156" type="noConversion"/>
  </si>
  <si>
    <t xml:space="preserve"> 주) 7/22~ 7/30. 하계보수</t>
    <phoneticPr fontId="156" type="noConversion"/>
  </si>
  <si>
    <t>2019. 7.31</t>
    <phoneticPr fontId="156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</si>
  <si>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/1~수분 6.3% 감안</t>
    </r>
    <phoneticPr fontId="156" type="noConversion"/>
  </si>
  <si>
    <t>8월도 생산량</t>
    <phoneticPr fontId="156" type="noConversion"/>
  </si>
  <si>
    <t>8/5</t>
    <phoneticPr fontId="156" type="noConversion"/>
  </si>
  <si>
    <t>8/1~7.  수분 6.3% 감안</t>
    <phoneticPr fontId="156" type="noConversion"/>
  </si>
  <si>
    <t>현대(8/10~)</t>
    <phoneticPr fontId="156" type="noConversion"/>
  </si>
  <si>
    <t>현대(8/18~)</t>
    <phoneticPr fontId="156" type="noConversion"/>
  </si>
  <si>
    <t>일본(가와,8/16~)</t>
    <phoneticPr fontId="156" type="noConversion"/>
  </si>
  <si>
    <t>8월말 가스 목표 달성 예정.</t>
    <phoneticPr fontId="156" type="noConversion"/>
  </si>
  <si>
    <t>8/17~ 현대  수분 7.6% 감안</t>
    <phoneticPr fontId="156" type="noConversion"/>
  </si>
  <si>
    <t>현대(8/22~)</t>
    <phoneticPr fontId="156" type="noConversion"/>
  </si>
  <si>
    <t>8/24~ 현대분 입고</t>
    <phoneticPr fontId="156" type="noConversion"/>
  </si>
  <si>
    <t>현대(8/26~)</t>
    <phoneticPr fontId="156" type="noConversion"/>
  </si>
  <si>
    <t>2019. 8 .31</t>
    <phoneticPr fontId="156" type="noConversion"/>
  </si>
  <si>
    <t>주 1) 단가  : 전력 76.9원/KWH(9~10월. 평균) , 연료 593원/m3 (6~9월)</t>
    <phoneticPr fontId="162" type="noConversion"/>
  </si>
  <si>
    <t>9월도 생산량</t>
    <phoneticPr fontId="156" type="noConversion"/>
  </si>
  <si>
    <t>8/31~ 현대분 입고</t>
    <phoneticPr fontId="156" type="noConversion"/>
  </si>
  <si>
    <t>석 고</t>
    <phoneticPr fontId="156" type="noConversion"/>
  </si>
  <si>
    <t>일본(후쿠9/8)</t>
    <phoneticPr fontId="156" type="noConversion"/>
  </si>
  <si>
    <t>9/8~ 일본향</t>
    <phoneticPr fontId="156" type="noConversion"/>
  </si>
  <si>
    <t>현대(9/16)</t>
    <phoneticPr fontId="156" type="noConversion"/>
  </si>
  <si>
    <t>현대(9/19~)</t>
    <phoneticPr fontId="156" type="noConversion"/>
  </si>
  <si>
    <t>9/30</t>
    <phoneticPr fontId="156" type="noConversion"/>
  </si>
  <si>
    <t>19.10/1</t>
    <phoneticPr fontId="156" type="noConversion"/>
  </si>
  <si>
    <t>10/2</t>
    <phoneticPr fontId="156" type="noConversion"/>
  </si>
  <si>
    <t>10/3</t>
  </si>
  <si>
    <t>10/4</t>
  </si>
  <si>
    <t>10/5</t>
  </si>
  <si>
    <t>10/6</t>
  </si>
  <si>
    <t>10/7</t>
  </si>
  <si>
    <t>10/8</t>
  </si>
  <si>
    <t>10/9</t>
  </si>
  <si>
    <t>10/10</t>
  </si>
  <si>
    <t>10/11</t>
  </si>
  <si>
    <t>10/12</t>
  </si>
  <si>
    <t>10/13</t>
  </si>
  <si>
    <t>10/14</t>
  </si>
  <si>
    <t>10/15</t>
  </si>
  <si>
    <t>10/16</t>
  </si>
  <si>
    <t>10/17</t>
  </si>
  <si>
    <t>10/18</t>
  </si>
  <si>
    <t>10/19</t>
  </si>
  <si>
    <t>10/20</t>
  </si>
  <si>
    <t>10/21</t>
  </si>
  <si>
    <t>10/22</t>
  </si>
  <si>
    <t>10/23</t>
  </si>
  <si>
    <t>10/24</t>
  </si>
  <si>
    <t>10/25</t>
  </si>
  <si>
    <t>10/26</t>
  </si>
  <si>
    <t>10/27</t>
  </si>
  <si>
    <t>10/28</t>
  </si>
  <si>
    <t>10/29</t>
  </si>
  <si>
    <t>10/30</t>
  </si>
  <si>
    <t>10/31</t>
  </si>
  <si>
    <t>SP :</t>
    <phoneticPr fontId="156" type="noConversion"/>
  </si>
  <si>
    <t>SC :</t>
    <phoneticPr fontId="156" type="noConversion"/>
  </si>
  <si>
    <t>전월재고(9월말)</t>
    <phoneticPr fontId="156" type="noConversion"/>
  </si>
  <si>
    <t>10월말 재고</t>
    <phoneticPr fontId="156" type="noConversion"/>
  </si>
  <si>
    <t>일본(후쿠9/28)</t>
    <phoneticPr fontId="156" type="noConversion"/>
  </si>
  <si>
    <r>
      <rPr>
        <sz val="11"/>
        <color theme="1"/>
        <rFont val="맑은 고딕"/>
        <family val="2"/>
        <charset val="129"/>
        <scheme val="minor"/>
      </rPr>
      <t>'19년</t>
    </r>
    <r>
      <rPr>
        <sz val="11"/>
        <color theme="1"/>
        <rFont val="맑은 고딕"/>
        <family val="2"/>
        <charset val="129"/>
        <scheme val="minor"/>
      </rPr>
      <t>8월~</t>
    </r>
    <phoneticPr fontId="156" type="noConversion"/>
  </si>
  <si>
    <t>10월되면 변경 가스비</t>
    <phoneticPr fontId="156" type="noConversion"/>
  </si>
  <si>
    <t xml:space="preserve"> 2) 생산 :   출하물량 증감에 따른 탄력적 운용(일,월,목요일 Full 가동)</t>
    <phoneticPr fontId="156" type="noConversion"/>
  </si>
  <si>
    <t xml:space="preserve"> 1) 출하 : '19년 10월도 영업 계획 기준  (10월  SP : 43,200톤, SC : 15,700 톤) </t>
    <phoneticPr fontId="156" type="noConversion"/>
  </si>
  <si>
    <t>2019. 9.30</t>
    <phoneticPr fontId="156" type="noConversion"/>
  </si>
  <si>
    <t>2019. 10.1</t>
    <phoneticPr fontId="156" type="noConversion"/>
  </si>
  <si>
    <t>10월도 생산량</t>
    <phoneticPr fontId="156" type="noConversion"/>
  </si>
  <si>
    <t>10/1</t>
    <phoneticPr fontId="156" type="noConversion"/>
  </si>
  <si>
    <t>주 1) 단가  : 전력 76.9원/KWH(9~10월. 평균) , 연료 625원/m3 (10~11월)</t>
    <phoneticPr fontId="162" type="noConversion"/>
  </si>
  <si>
    <t>10/2</t>
  </si>
  <si>
    <t>2019. 10.2</t>
    <phoneticPr fontId="156" type="noConversion"/>
  </si>
  <si>
    <t>2019. 10.3</t>
    <phoneticPr fontId="156" type="noConversion"/>
  </si>
  <si>
    <t>10/3</t>
    <phoneticPr fontId="156" type="noConversion"/>
  </si>
  <si>
    <t>2019. 10.4</t>
    <phoneticPr fontId="156" type="noConversion"/>
  </si>
  <si>
    <t>10/4</t>
    <phoneticPr fontId="156" type="noConversion"/>
  </si>
  <si>
    <t>2019. 10.5</t>
    <phoneticPr fontId="156" type="noConversion"/>
  </si>
  <si>
    <t>10/5</t>
    <phoneticPr fontId="156" type="noConversion"/>
  </si>
  <si>
    <t>2019. 10.6</t>
    <phoneticPr fontId="156" type="noConversion"/>
  </si>
  <si>
    <t>10/6</t>
    <phoneticPr fontId="156" type="noConversion"/>
  </si>
  <si>
    <t>2019. 10.7</t>
    <phoneticPr fontId="156" type="noConversion"/>
  </si>
  <si>
    <t>10/7</t>
    <phoneticPr fontId="156" type="noConversion"/>
  </si>
  <si>
    <t>2019. 10.8</t>
    <phoneticPr fontId="156" type="noConversion"/>
  </si>
  <si>
    <t>10/8</t>
    <phoneticPr fontId="156" type="noConversion"/>
  </si>
  <si>
    <t>2019. 10.9</t>
    <phoneticPr fontId="156" type="noConversion"/>
  </si>
  <si>
    <t>10/9</t>
    <phoneticPr fontId="156" type="noConversion"/>
  </si>
  <si>
    <t>2019. 10.10</t>
    <phoneticPr fontId="156" type="noConversion"/>
  </si>
  <si>
    <t>10/10</t>
    <phoneticPr fontId="156" type="noConversion"/>
  </si>
  <si>
    <t>2019. 10.11</t>
    <phoneticPr fontId="156" type="noConversion"/>
  </si>
  <si>
    <t>10/11</t>
    <phoneticPr fontId="156" type="noConversion"/>
  </si>
  <si>
    <t>2019. 10.12</t>
    <phoneticPr fontId="156" type="noConversion"/>
  </si>
  <si>
    <t>10/12</t>
    <phoneticPr fontId="156" type="noConversion"/>
  </si>
  <si>
    <t>2019. 10.13</t>
    <phoneticPr fontId="156" type="noConversion"/>
  </si>
  <si>
    <t>10/13</t>
    <phoneticPr fontId="156" type="noConversion"/>
  </si>
  <si>
    <t>당초계획</t>
    <phoneticPr fontId="156" type="noConversion"/>
  </si>
  <si>
    <t>현대 13항차</t>
    <phoneticPr fontId="156" type="noConversion"/>
  </si>
  <si>
    <t>JFE 10항차</t>
    <phoneticPr fontId="156" type="noConversion"/>
  </si>
  <si>
    <t>8/10</t>
    <phoneticPr fontId="156" type="noConversion"/>
  </si>
  <si>
    <t>9/28</t>
    <phoneticPr fontId="156" type="noConversion"/>
  </si>
  <si>
    <t>단위생산</t>
    <phoneticPr fontId="156" type="noConversion"/>
  </si>
  <si>
    <t>수분</t>
    <phoneticPr fontId="156" type="noConversion"/>
  </si>
  <si>
    <t>2019. 10.14</t>
    <phoneticPr fontId="156" type="noConversion"/>
  </si>
  <si>
    <t>10/14</t>
    <phoneticPr fontId="156" type="noConversion"/>
  </si>
  <si>
    <t>2019. 10.15</t>
    <phoneticPr fontId="156" type="noConversion"/>
  </si>
  <si>
    <t>10/15</t>
    <phoneticPr fontId="156" type="noConversion"/>
  </si>
  <si>
    <t>현대(10/16~)</t>
    <phoneticPr fontId="156" type="noConversion"/>
  </si>
  <si>
    <t xml:space="preserve"> 주) 10/15.04:30~ 써클레이션 팬 교체 작업中</t>
    <phoneticPr fontId="156" type="noConversion"/>
  </si>
  <si>
    <t xml:space="preserve"> ※ '19.10월도 생산, 출하계획(10/15일 기준)</t>
    <phoneticPr fontId="1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</si>
</sst>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"/>
    <numFmt numFmtId="178" formatCode="_-* #,##0.0_-;\-* #,##0.0_-;_-* &quot;-&quot;_-;_-@_-"/>
    <numFmt numFmtId="179" formatCode="0.0_);[Red]\(0.0\)"/>
    <numFmt numFmtId="180" formatCode="#,##0_);[Red]\(#,##0\)"/>
    <numFmt numFmtId="181" formatCode="_-* #,##0.00_-;\-* #,##0.00_-;_-* &quot;-&quot;_-;_-@_-"/>
    <numFmt numFmtId="182" formatCode="#,##0.00_ "/>
    <numFmt numFmtId="183" formatCode="#,##0.0_);[Red]\(#,##0.0\)"/>
    <numFmt numFmtId="184" formatCode="0.00_);[Red]\(0.00\)"/>
    <numFmt numFmtId="185" formatCode="#,##0.00_);[Red]\(#,##0.00\)"/>
    <numFmt numFmtId="186" formatCode="0_ "/>
    <numFmt numFmtId="187" formatCode="0.0_ "/>
    <numFmt numFmtId="188" formatCode="_-* #,##0_-;\-* #,##0_-;_-* &quot;-&quot;??_-;_-@_-"/>
    <numFmt numFmtId="189" formatCode="#,##0.0000_);[Red]\(#,##0.0000\)"/>
    <numFmt numFmtId="190" formatCode="#,##0.000_);[Red]\(#,##0.000\)"/>
    <numFmt numFmtId="191" formatCode="_-* #,##0.000_-;\-* #,##0.000_-;_-* &quot;-&quot;_-;_-@_-"/>
    <numFmt numFmtId="192" formatCode="_-* #,##0.0_-;\-* #,##0.0_-;_-* &quot;-&quot;??_-;_-@_-"/>
    <numFmt numFmtId="193" formatCode="_-* #,##0.00000_-;\-* #,##0.00000_-;_-* &quot;-&quot;??_-;_-@_-"/>
    <numFmt numFmtId="194" formatCode="0.00000_ "/>
    <numFmt numFmtId="195" formatCode="_-* #,##0.0000_-;\-* #,##0.0000_-;_-* &quot;-&quot;??_-;_-@_-"/>
    <numFmt numFmtId="196" formatCode="#,##0.000_ "/>
    <numFmt numFmtId="197" formatCode="0.0%"/>
    <numFmt numFmtId="198" formatCode="#,##0.0_ "/>
    <numFmt numFmtId="199" formatCode="_-* #,##0.000_-;\-* #,##0.000_-;_-* &quot;-&quot;??_-;_-@_-"/>
    <numFmt numFmtId="200" formatCode="_-* #,##0.0000_-;\-* #,##0.0000_-;_-* &quot;-&quot;_-;_-@_-"/>
    <numFmt numFmtId="201" formatCode="#,##0.00000_);[Red]\(#,##0.00000\)"/>
    <numFmt numFmtId="202" formatCode="0.0000"/>
  </numFmts>
  <fonts count="19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8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206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1"/>
      <color rgb="FF00206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u/>
      <sz val="18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6"/>
      <color theme="1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2"/>
      <color rgb="FF7030A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A44A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155" fillId="0" borderId="0">
      <alignment vertical="center"/>
    </xf>
    <xf numFmtId="41" fontId="155" fillId="0" borderId="0" applyFont="0" applyFill="0" applyBorder="0" applyAlignment="0" applyProtection="0">
      <alignment vertical="center"/>
    </xf>
    <xf numFmtId="41" fontId="160" fillId="0" borderId="0" applyFont="0" applyFill="0" applyBorder="0" applyAlignment="0" applyProtection="0">
      <alignment vertical="center"/>
    </xf>
    <xf numFmtId="0" fontId="154" fillId="0" borderId="0">
      <alignment vertical="center"/>
    </xf>
    <xf numFmtId="41" fontId="154" fillId="0" borderId="0" applyFont="0" applyFill="0" applyBorder="0" applyAlignment="0" applyProtection="0">
      <alignment vertical="center"/>
    </xf>
    <xf numFmtId="0" fontId="153" fillId="0" borderId="0">
      <alignment vertical="center"/>
    </xf>
    <xf numFmtId="41" fontId="153" fillId="0" borderId="0" applyFont="0" applyFill="0" applyBorder="0" applyAlignment="0" applyProtection="0">
      <alignment vertical="center"/>
    </xf>
    <xf numFmtId="0" fontId="152" fillId="0" borderId="0">
      <alignment vertical="center"/>
    </xf>
    <xf numFmtId="41" fontId="152" fillId="0" borderId="0" applyFont="0" applyFill="0" applyBorder="0" applyAlignment="0" applyProtection="0">
      <alignment vertical="center"/>
    </xf>
    <xf numFmtId="9" fontId="160" fillId="0" borderId="0" applyFont="0" applyFill="0" applyBorder="0" applyAlignment="0" applyProtection="0">
      <alignment vertical="center"/>
    </xf>
    <xf numFmtId="41" fontId="185" fillId="0" borderId="0" applyFont="0" applyFill="0" applyBorder="0" applyAlignment="0" applyProtection="0">
      <alignment vertical="center"/>
    </xf>
    <xf numFmtId="0" fontId="158" fillId="0" borderId="0">
      <alignment vertical="center"/>
    </xf>
    <xf numFmtId="41" fontId="158" fillId="0" borderId="0" applyFont="0" applyFill="0" applyBorder="0" applyAlignment="0" applyProtection="0">
      <alignment vertical="center"/>
    </xf>
  </cellStyleXfs>
  <cellXfs count="969">
    <xf numFmtId="0" fontId="0" fillId="0" borderId="0" xfId="0"/>
    <xf numFmtId="176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6" fontId="0" fillId="0" borderId="9" xfId="0" applyNumberFormat="1" applyBorder="1" applyAlignment="1">
      <alignment horizontal="center" vertical="center"/>
    </xf>
    <xf numFmtId="0" fontId="159" fillId="0" borderId="7" xfId="0" quotePrefix="1" applyFont="1" applyBorder="1" applyAlignment="1">
      <alignment horizontal="center" vertical="center"/>
    </xf>
    <xf numFmtId="186" fontId="165" fillId="0" borderId="0" xfId="0" applyNumberFormat="1" applyFont="1"/>
    <xf numFmtId="41" fontId="165" fillId="0" borderId="0" xfId="3" applyFont="1" applyAlignment="1">
      <alignment horizontal="center" vertical="center"/>
    </xf>
    <xf numFmtId="176" fontId="158" fillId="0" borderId="0" xfId="3" applyNumberFormat="1" applyFont="1" applyAlignment="1">
      <alignment vertical="center"/>
    </xf>
    <xf numFmtId="41" fontId="157" fillId="0" borderId="0" xfId="3" applyFont="1">
      <alignment vertical="center"/>
    </xf>
    <xf numFmtId="41" fontId="164" fillId="0" borderId="4" xfId="3" applyFont="1" applyBorder="1" applyAlignment="1">
      <alignment horizontal="center" vertical="center"/>
    </xf>
    <xf numFmtId="41" fontId="164" fillId="0" borderId="4" xfId="3" quotePrefix="1" applyFont="1" applyBorder="1" applyAlignment="1">
      <alignment horizontal="center" vertical="center"/>
    </xf>
    <xf numFmtId="0" fontId="159" fillId="0" borderId="4" xfId="0" quotePrefix="1" applyFont="1" applyBorder="1" applyAlignment="1">
      <alignment horizontal="center" vertical="center"/>
    </xf>
    <xf numFmtId="0" fontId="152" fillId="0" borderId="0" xfId="8">
      <alignment vertical="center"/>
    </xf>
    <xf numFmtId="0" fontId="152" fillId="0" borderId="0" xfId="8" quotePrefix="1" applyFont="1">
      <alignment vertical="center"/>
    </xf>
    <xf numFmtId="0" fontId="157" fillId="0" borderId="0" xfId="8" applyFont="1">
      <alignment vertical="center"/>
    </xf>
    <xf numFmtId="0" fontId="152" fillId="0" borderId="0" xfId="8" applyFont="1" applyAlignment="1">
      <alignment horizontal="center" vertical="center"/>
    </xf>
    <xf numFmtId="41" fontId="152" fillId="0" borderId="0" xfId="3" quotePrefix="1" applyFont="1">
      <alignment vertical="center"/>
    </xf>
    <xf numFmtId="0" fontId="152" fillId="0" borderId="0" xfId="8" applyFont="1">
      <alignment vertical="center"/>
    </xf>
    <xf numFmtId="0" fontId="152" fillId="0" borderId="15" xfId="8" applyBorder="1" applyAlignment="1">
      <alignment horizontal="center" vertical="center"/>
    </xf>
    <xf numFmtId="179" fontId="158" fillId="0" borderId="16" xfId="8" applyNumberFormat="1" applyFont="1" applyBorder="1" applyAlignment="1">
      <alignment horizontal="right" vertical="center"/>
    </xf>
    <xf numFmtId="179" fontId="152" fillId="0" borderId="1" xfId="8" applyNumberFormat="1" applyBorder="1" applyAlignment="1">
      <alignment horizontal="right" vertical="center"/>
    </xf>
    <xf numFmtId="41" fontId="152" fillId="0" borderId="0" xfId="3" applyFont="1" applyAlignment="1">
      <alignment horizontal="center" vertical="center"/>
    </xf>
    <xf numFmtId="0" fontId="152" fillId="0" borderId="17" xfId="8" applyBorder="1" applyAlignment="1">
      <alignment horizontal="center" vertical="center"/>
    </xf>
    <xf numFmtId="183" fontId="152" fillId="0" borderId="2" xfId="9" applyNumberFormat="1" applyFont="1" applyBorder="1" applyAlignment="1">
      <alignment horizontal="right" vertical="center"/>
    </xf>
    <xf numFmtId="183" fontId="152" fillId="0" borderId="0" xfId="9" applyNumberFormat="1" applyFont="1" applyBorder="1" applyAlignment="1">
      <alignment horizontal="right" vertical="center"/>
    </xf>
    <xf numFmtId="180" fontId="0" fillId="0" borderId="0" xfId="9" applyNumberFormat="1" applyFont="1" applyBorder="1" applyAlignment="1">
      <alignment horizontal="right" vertical="center"/>
    </xf>
    <xf numFmtId="179" fontId="152" fillId="0" borderId="0" xfId="8" applyNumberFormat="1" applyBorder="1" applyAlignment="1">
      <alignment horizontal="right" vertical="center"/>
    </xf>
    <xf numFmtId="0" fontId="152" fillId="0" borderId="0" xfId="8" applyFont="1" applyBorder="1" applyAlignment="1">
      <alignment horizontal="center" vertical="center"/>
    </xf>
    <xf numFmtId="182" fontId="152" fillId="0" borderId="0" xfId="3" applyNumberFormat="1" applyFont="1" applyAlignment="1">
      <alignment horizontal="center" vertical="center"/>
    </xf>
    <xf numFmtId="0" fontId="159" fillId="0" borderId="0" xfId="8" applyFont="1" applyFill="1" applyBorder="1" applyAlignment="1">
      <alignment horizontal="left" vertical="center"/>
    </xf>
    <xf numFmtId="0" fontId="157" fillId="0" borderId="0" xfId="8" applyFont="1" applyFill="1" applyBorder="1" applyAlignment="1">
      <alignment horizontal="left" vertical="center"/>
    </xf>
    <xf numFmtId="0" fontId="157" fillId="0" borderId="0" xfId="8" quotePrefix="1" applyFont="1">
      <alignment vertical="center"/>
    </xf>
    <xf numFmtId="182" fontId="152" fillId="0" borderId="0" xfId="8" applyNumberFormat="1">
      <alignment vertical="center"/>
    </xf>
    <xf numFmtId="180" fontId="152" fillId="0" borderId="0" xfId="8" applyNumberFormat="1">
      <alignment vertical="center"/>
    </xf>
    <xf numFmtId="41" fontId="157" fillId="0" borderId="0" xfId="8" applyNumberFormat="1" applyFont="1">
      <alignment vertical="center"/>
    </xf>
    <xf numFmtId="41" fontId="152" fillId="0" borderId="0" xfId="8" applyNumberFormat="1">
      <alignment vertical="center"/>
    </xf>
    <xf numFmtId="176" fontId="152" fillId="0" borderId="21" xfId="8" applyNumberFormat="1" applyBorder="1" applyAlignment="1">
      <alignment horizontal="right" vertical="center"/>
    </xf>
    <xf numFmtId="176" fontId="152" fillId="0" borderId="23" xfId="8" applyNumberFormat="1" applyBorder="1" applyAlignment="1">
      <alignment horizontal="right" vertical="center"/>
    </xf>
    <xf numFmtId="41" fontId="0" fillId="0" borderId="24" xfId="9" applyFont="1" applyBorder="1" applyAlignment="1">
      <alignment horizontal="right" vertical="center"/>
    </xf>
    <xf numFmtId="0" fontId="152" fillId="0" borderId="0" xfId="8" applyFont="1" applyFill="1" applyBorder="1" applyAlignment="1">
      <alignment horizontal="left" vertical="center"/>
    </xf>
    <xf numFmtId="185" fontId="152" fillId="0" borderId="0" xfId="8" quotePrefix="1" applyNumberFormat="1" applyFont="1">
      <alignment vertical="center"/>
    </xf>
    <xf numFmtId="176" fontId="152" fillId="0" borderId="0" xfId="8" applyNumberFormat="1">
      <alignment vertical="center"/>
    </xf>
    <xf numFmtId="183" fontId="158" fillId="0" borderId="0" xfId="8" quotePrefix="1" applyNumberFormat="1" applyFont="1">
      <alignment vertical="center"/>
    </xf>
    <xf numFmtId="41" fontId="0" fillId="0" borderId="0" xfId="9" applyFont="1">
      <alignment vertical="center"/>
    </xf>
    <xf numFmtId="180" fontId="157" fillId="0" borderId="0" xfId="8" quotePrefix="1" applyNumberFormat="1" applyFont="1">
      <alignment vertical="center"/>
    </xf>
    <xf numFmtId="41" fontId="152" fillId="0" borderId="0" xfId="3" applyFont="1">
      <alignment vertical="center"/>
    </xf>
    <xf numFmtId="185" fontId="158" fillId="0" borderId="0" xfId="8" quotePrefix="1" applyNumberFormat="1" applyFont="1">
      <alignment vertical="center"/>
    </xf>
    <xf numFmtId="188" fontId="152" fillId="0" borderId="0" xfId="8" applyNumberFormat="1">
      <alignment vertical="center"/>
    </xf>
    <xf numFmtId="43" fontId="152" fillId="0" borderId="0" xfId="8" applyNumberFormat="1">
      <alignment vertical="center"/>
    </xf>
    <xf numFmtId="2" fontId="152" fillId="0" borderId="0" xfId="8" applyNumberFormat="1">
      <alignment vertical="center"/>
    </xf>
    <xf numFmtId="0" fontId="152" fillId="0" borderId="0" xfId="8" applyAlignment="1">
      <alignment horizontal="center" vertical="center"/>
    </xf>
    <xf numFmtId="180" fontId="152" fillId="0" borderId="0" xfId="8" applyNumberFormat="1" applyFont="1">
      <alignment vertical="center"/>
    </xf>
    <xf numFmtId="0" fontId="152" fillId="0" borderId="28" xfId="8" applyBorder="1" applyAlignment="1">
      <alignment horizontal="center" vertical="center"/>
    </xf>
    <xf numFmtId="41" fontId="152" fillId="0" borderId="4" xfId="3" applyFont="1" applyBorder="1" applyAlignment="1">
      <alignment horizontal="center" vertical="center"/>
    </xf>
    <xf numFmtId="180" fontId="152" fillId="0" borderId="0" xfId="8" applyNumberFormat="1" applyFill="1" applyBorder="1" applyAlignment="1">
      <alignment horizontal="right" vertical="center"/>
    </xf>
    <xf numFmtId="187" fontId="165" fillId="0" borderId="0" xfId="8" applyNumberFormat="1" applyFont="1">
      <alignment vertical="center"/>
    </xf>
    <xf numFmtId="186" fontId="165" fillId="0" borderId="0" xfId="8" applyNumberFormat="1" applyFont="1">
      <alignment vertical="center"/>
    </xf>
    <xf numFmtId="176" fontId="152" fillId="0" borderId="0" xfId="8" quotePrefix="1" applyNumberFormat="1" applyFont="1" applyAlignment="1">
      <alignment vertical="center"/>
    </xf>
    <xf numFmtId="186" fontId="152" fillId="0" borderId="0" xfId="8" applyNumberFormat="1">
      <alignment vertical="center"/>
    </xf>
    <xf numFmtId="1" fontId="152" fillId="0" borderId="0" xfId="8" applyNumberFormat="1">
      <alignment vertical="center"/>
    </xf>
    <xf numFmtId="41" fontId="152" fillId="0" borderId="4" xfId="8" applyNumberFormat="1" applyBorder="1" applyAlignment="1">
      <alignment horizontal="center" vertical="center"/>
    </xf>
    <xf numFmtId="0" fontId="152" fillId="0" borderId="4" xfId="8" applyBorder="1">
      <alignment vertical="center"/>
    </xf>
    <xf numFmtId="176" fontId="152" fillId="0" borderId="0" xfId="8" applyNumberFormat="1" applyFont="1" applyAlignment="1">
      <alignment horizontal="left" vertical="center"/>
    </xf>
    <xf numFmtId="176" fontId="152" fillId="0" borderId="0" xfId="8" applyNumberFormat="1" applyFont="1" applyAlignment="1">
      <alignment vertical="center"/>
    </xf>
    <xf numFmtId="186" fontId="152" fillId="0" borderId="0" xfId="8" applyNumberFormat="1" applyFont="1">
      <alignment vertical="center"/>
    </xf>
    <xf numFmtId="186" fontId="166" fillId="0" borderId="0" xfId="8" applyNumberFormat="1" applyFont="1">
      <alignment vertical="center"/>
    </xf>
    <xf numFmtId="41" fontId="169" fillId="0" borderId="4" xfId="3" quotePrefix="1" applyFont="1" applyBorder="1" applyAlignment="1">
      <alignment horizontal="center" vertical="center"/>
    </xf>
    <xf numFmtId="0" fontId="151" fillId="0" borderId="0" xfId="8" applyFont="1">
      <alignment vertical="center"/>
    </xf>
    <xf numFmtId="188" fontId="152" fillId="0" borderId="0" xfId="8" applyNumberFormat="1" applyAlignment="1">
      <alignment horizontal="center" vertical="center"/>
    </xf>
    <xf numFmtId="176" fontId="150" fillId="0" borderId="0" xfId="8" applyNumberFormat="1" applyFont="1" applyAlignment="1">
      <alignment horizontal="left" vertical="center"/>
    </xf>
    <xf numFmtId="41" fontId="166" fillId="0" borderId="0" xfId="3" applyFont="1" applyAlignment="1">
      <alignment horizontal="left" vertical="center"/>
    </xf>
    <xf numFmtId="0" fontId="149" fillId="0" borderId="0" xfId="8" applyFont="1">
      <alignment vertical="center"/>
    </xf>
    <xf numFmtId="0" fontId="148" fillId="0" borderId="0" xfId="8" applyFont="1">
      <alignment vertical="center"/>
    </xf>
    <xf numFmtId="179" fontId="147" fillId="0" borderId="2" xfId="8" applyNumberFormat="1" applyFont="1" applyBorder="1" applyAlignment="1">
      <alignment horizontal="right" vertical="center"/>
    </xf>
    <xf numFmtId="0" fontId="147" fillId="0" borderId="0" xfId="8" quotePrefix="1" applyFont="1">
      <alignment vertical="center"/>
    </xf>
    <xf numFmtId="41" fontId="170" fillId="0" borderId="4" xfId="3" quotePrefix="1" applyFont="1" applyBorder="1" applyAlignment="1">
      <alignment horizontal="center" vertical="center"/>
    </xf>
    <xf numFmtId="0" fontId="145" fillId="0" borderId="4" xfId="8" applyFont="1" applyBorder="1" applyAlignment="1">
      <alignment horizontal="center" vertical="center"/>
    </xf>
    <xf numFmtId="180" fontId="152" fillId="0" borderId="29" xfId="8" applyNumberFormat="1" applyBorder="1" applyAlignment="1">
      <alignment horizontal="center" vertical="center"/>
    </xf>
    <xf numFmtId="0" fontId="145" fillId="0" borderId="0" xfId="8" applyFont="1">
      <alignment vertical="center"/>
    </xf>
    <xf numFmtId="0" fontId="145" fillId="0" borderId="0" xfId="8" applyFont="1" applyAlignment="1">
      <alignment horizontal="center" vertical="center"/>
    </xf>
    <xf numFmtId="0" fontId="144" fillId="0" borderId="0" xfId="8" applyFont="1" applyAlignment="1">
      <alignment horizontal="left" vertical="center"/>
    </xf>
    <xf numFmtId="178" fontId="158" fillId="0" borderId="0" xfId="3" applyNumberFormat="1" applyFont="1" applyAlignment="1">
      <alignment horizontal="center" vertical="center"/>
    </xf>
    <xf numFmtId="181" fontId="144" fillId="0" borderId="0" xfId="8" quotePrefix="1" applyNumberFormat="1" applyFont="1" applyAlignment="1">
      <alignment horizontal="center" vertical="center"/>
    </xf>
    <xf numFmtId="41" fontId="163" fillId="0" borderId="0" xfId="3" applyFont="1">
      <alignment vertical="center"/>
    </xf>
    <xf numFmtId="176" fontId="159" fillId="0" borderId="0" xfId="8" applyNumberFormat="1" applyFont="1">
      <alignment vertical="center"/>
    </xf>
    <xf numFmtId="176" fontId="152" fillId="0" borderId="3" xfId="3" applyNumberFormat="1" applyFont="1" applyBorder="1" applyAlignment="1">
      <alignment horizontal="center" vertical="center"/>
    </xf>
    <xf numFmtId="0" fontId="152" fillId="0" borderId="6" xfId="8" applyFont="1" applyBorder="1" applyAlignment="1">
      <alignment horizontal="center" vertical="center"/>
    </xf>
    <xf numFmtId="179" fontId="152" fillId="0" borderId="40" xfId="8" applyNumberFormat="1" applyBorder="1" applyAlignment="1">
      <alignment horizontal="right" vertical="center"/>
    </xf>
    <xf numFmtId="0" fontId="142" fillId="0" borderId="6" xfId="8" applyFont="1" applyBorder="1" applyAlignment="1">
      <alignment horizontal="center" vertical="center"/>
    </xf>
    <xf numFmtId="176" fontId="158" fillId="0" borderId="4" xfId="8" applyNumberFormat="1" applyFont="1" applyBorder="1" applyAlignment="1">
      <alignment horizontal="center" vertical="center"/>
    </xf>
    <xf numFmtId="181" fontId="142" fillId="0" borderId="0" xfId="8" quotePrefix="1" applyNumberFormat="1" applyFont="1" applyAlignment="1">
      <alignment horizontal="center" vertical="center"/>
    </xf>
    <xf numFmtId="176" fontId="152" fillId="0" borderId="0" xfId="8" applyNumberFormat="1" applyAlignment="1">
      <alignment horizontal="center" vertical="center"/>
    </xf>
    <xf numFmtId="41" fontId="140" fillId="0" borderId="0" xfId="3" applyFont="1">
      <alignment vertical="center"/>
    </xf>
    <xf numFmtId="180" fontId="140" fillId="0" borderId="0" xfId="8" applyNumberFormat="1" applyFont="1">
      <alignment vertical="center"/>
    </xf>
    <xf numFmtId="0" fontId="139" fillId="0" borderId="45" xfId="8" applyFont="1" applyBorder="1" applyAlignment="1">
      <alignment horizontal="center" vertical="center"/>
    </xf>
    <xf numFmtId="0" fontId="139" fillId="0" borderId="46" xfId="8" applyFont="1" applyBorder="1" applyAlignment="1">
      <alignment horizontal="center" vertical="center"/>
    </xf>
    <xf numFmtId="0" fontId="139" fillId="0" borderId="47" xfId="8" applyFont="1" applyBorder="1" applyAlignment="1">
      <alignment horizontal="center" vertical="center"/>
    </xf>
    <xf numFmtId="189" fontId="152" fillId="0" borderId="0" xfId="8" applyNumberFormat="1" applyFill="1" applyBorder="1" applyAlignment="1">
      <alignment horizontal="right" vertical="center"/>
    </xf>
    <xf numFmtId="0" fontId="137" fillId="0" borderId="0" xfId="8" applyFont="1" applyAlignment="1">
      <alignment horizontal="left" vertical="center"/>
    </xf>
    <xf numFmtId="12" fontId="164" fillId="0" borderId="4" xfId="3" quotePrefix="1" applyNumberFormat="1" applyFont="1" applyBorder="1" applyAlignment="1">
      <alignment horizontal="center" vertical="center"/>
    </xf>
    <xf numFmtId="176" fontId="141" fillId="0" borderId="0" xfId="8" applyNumberFormat="1" applyFont="1" applyAlignment="1">
      <alignment horizontal="center" vertical="center"/>
    </xf>
    <xf numFmtId="190" fontId="152" fillId="0" borderId="0" xfId="8" applyNumberFormat="1">
      <alignment vertical="center"/>
    </xf>
    <xf numFmtId="191" fontId="152" fillId="0" borderId="4" xfId="3" applyNumberFormat="1" applyFont="1" applyBorder="1" applyAlignment="1">
      <alignment horizontal="center" vertical="center"/>
    </xf>
    <xf numFmtId="41" fontId="165" fillId="0" borderId="0" xfId="3" applyFont="1">
      <alignment vertical="center"/>
    </xf>
    <xf numFmtId="41" fontId="165" fillId="0" borderId="0" xfId="3" applyFont="1" applyAlignment="1"/>
    <xf numFmtId="184" fontId="152" fillId="0" borderId="0" xfId="8" applyNumberFormat="1" applyBorder="1" applyAlignment="1">
      <alignment horizontal="right" vertical="center"/>
    </xf>
    <xf numFmtId="176" fontId="152" fillId="0" borderId="0" xfId="3" applyNumberFormat="1" applyFont="1" applyAlignment="1">
      <alignment horizontal="center" vertical="center"/>
    </xf>
    <xf numFmtId="0" fontId="136" fillId="0" borderId="0" xfId="8" applyFont="1">
      <alignment vertical="center"/>
    </xf>
    <xf numFmtId="0" fontId="135" fillId="0" borderId="0" xfId="8" applyFont="1">
      <alignment vertical="center"/>
    </xf>
    <xf numFmtId="192" fontId="152" fillId="0" borderId="0" xfId="8" applyNumberFormat="1">
      <alignment vertical="center"/>
    </xf>
    <xf numFmtId="193" fontId="152" fillId="0" borderId="0" xfId="8" applyNumberFormat="1">
      <alignment vertical="center"/>
    </xf>
    <xf numFmtId="0" fontId="134" fillId="0" borderId="0" xfId="8" applyFont="1">
      <alignment vertical="center"/>
    </xf>
    <xf numFmtId="188" fontId="157" fillId="0" borderId="0" xfId="8" applyNumberFormat="1" applyFont="1">
      <alignment vertical="center"/>
    </xf>
    <xf numFmtId="43" fontId="157" fillId="0" borderId="0" xfId="8" applyNumberFormat="1" applyFont="1">
      <alignment vertical="center"/>
    </xf>
    <xf numFmtId="0" fontId="133" fillId="0" borderId="0" xfId="8" applyFont="1">
      <alignment vertical="center"/>
    </xf>
    <xf numFmtId="0" fontId="133" fillId="0" borderId="0" xfId="8" applyFont="1" applyAlignment="1">
      <alignment horizontal="center" vertical="center"/>
    </xf>
    <xf numFmtId="1" fontId="152" fillId="0" borderId="0" xfId="8" applyNumberFormat="1" applyAlignment="1">
      <alignment horizontal="center" vertical="center"/>
    </xf>
    <xf numFmtId="177" fontId="157" fillId="0" borderId="0" xfId="8" applyNumberFormat="1" applyFont="1" applyAlignment="1">
      <alignment horizontal="center" vertical="center"/>
    </xf>
    <xf numFmtId="177" fontId="152" fillId="0" borderId="0" xfId="8" applyNumberFormat="1" applyAlignment="1">
      <alignment horizontal="center" vertical="center"/>
    </xf>
    <xf numFmtId="41" fontId="157" fillId="0" borderId="4" xfId="8" applyNumberFormat="1" applyFont="1" applyBorder="1" applyAlignment="1">
      <alignment horizontal="center" vertical="center"/>
    </xf>
    <xf numFmtId="0" fontId="152" fillId="0" borderId="0" xfId="8" applyAlignment="1">
      <alignment vertical="center"/>
    </xf>
    <xf numFmtId="181" fontId="132" fillId="0" borderId="0" xfId="8" quotePrefix="1" applyNumberFormat="1" applyFont="1" applyAlignment="1">
      <alignment horizontal="center" vertical="center"/>
    </xf>
    <xf numFmtId="41" fontId="152" fillId="0" borderId="0" xfId="8" quotePrefix="1" applyNumberFormat="1" applyFont="1">
      <alignment vertical="center"/>
    </xf>
    <xf numFmtId="176" fontId="152" fillId="0" borderId="0" xfId="3" applyNumberFormat="1" applyFont="1">
      <alignment vertical="center"/>
    </xf>
    <xf numFmtId="41" fontId="152" fillId="0" borderId="0" xfId="3" applyFont="1" applyAlignment="1">
      <alignment vertical="center"/>
    </xf>
    <xf numFmtId="186" fontId="165" fillId="0" borderId="0" xfId="8" quotePrefix="1" applyNumberFormat="1" applyFont="1" applyAlignment="1">
      <alignment vertical="center"/>
    </xf>
    <xf numFmtId="186" fontId="152" fillId="0" borderId="0" xfId="8" applyNumberFormat="1" applyAlignment="1">
      <alignment vertical="center"/>
    </xf>
    <xf numFmtId="194" fontId="152" fillId="0" borderId="0" xfId="8" applyNumberFormat="1" applyAlignment="1">
      <alignment vertical="center"/>
    </xf>
    <xf numFmtId="188" fontId="152" fillId="0" borderId="0" xfId="8" applyNumberFormat="1" applyFont="1" applyBorder="1">
      <alignment vertical="center"/>
    </xf>
    <xf numFmtId="188" fontId="152" fillId="0" borderId="0" xfId="8" applyNumberFormat="1" applyBorder="1">
      <alignment vertical="center"/>
    </xf>
    <xf numFmtId="41" fontId="152" fillId="0" borderId="0" xfId="3" applyFont="1" applyBorder="1">
      <alignment vertical="center"/>
    </xf>
    <xf numFmtId="41" fontId="158" fillId="0" borderId="0" xfId="8" applyNumberFormat="1" applyFont="1">
      <alignment vertical="center"/>
    </xf>
    <xf numFmtId="188" fontId="158" fillId="0" borderId="0" xfId="8" applyNumberFormat="1" applyFont="1" applyBorder="1">
      <alignment vertical="center"/>
    </xf>
    <xf numFmtId="41" fontId="158" fillId="0" borderId="0" xfId="3" applyFont="1" applyAlignment="1">
      <alignment horizontal="center" vertical="center"/>
    </xf>
    <xf numFmtId="41" fontId="152" fillId="0" borderId="0" xfId="3" applyNumberFormat="1" applyFont="1" applyAlignment="1">
      <alignment horizontal="center" vertical="center"/>
    </xf>
    <xf numFmtId="195" fontId="152" fillId="0" borderId="0" xfId="8" applyNumberFormat="1">
      <alignment vertical="center"/>
    </xf>
    <xf numFmtId="41" fontId="158" fillId="0" borderId="0" xfId="3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8" fillId="0" borderId="0" xfId="8" applyFont="1" applyFill="1" applyBorder="1" applyAlignment="1">
      <alignment horizontal="left" vertical="center"/>
    </xf>
    <xf numFmtId="176" fontId="128" fillId="0" borderId="0" xfId="8" quotePrefix="1" applyNumberFormat="1" applyFont="1">
      <alignment vertical="center"/>
    </xf>
    <xf numFmtId="0" fontId="127" fillId="0" borderId="0" xfId="8" quotePrefix="1" applyFont="1" applyAlignment="1">
      <alignment horizontal="center" vertical="center"/>
    </xf>
    <xf numFmtId="188" fontId="130" fillId="0" borderId="0" xfId="8" quotePrefix="1" applyNumberFormat="1" applyFont="1" applyBorder="1" applyAlignment="1">
      <alignment horizontal="center" vertical="center"/>
    </xf>
    <xf numFmtId="188" fontId="129" fillId="0" borderId="0" xfId="8" quotePrefix="1" applyNumberFormat="1" applyFont="1" applyBorder="1" applyAlignment="1">
      <alignment horizontal="center" vertical="center"/>
    </xf>
    <xf numFmtId="176" fontId="158" fillId="0" borderId="0" xfId="8" applyNumberFormat="1" applyFont="1">
      <alignment vertical="center"/>
    </xf>
    <xf numFmtId="0" fontId="127" fillId="0" borderId="0" xfId="8" applyFont="1">
      <alignment vertical="center"/>
    </xf>
    <xf numFmtId="181" fontId="144" fillId="0" borderId="0" xfId="8" quotePrefix="1" applyNumberFormat="1" applyFont="1" applyAlignment="1">
      <alignment vertical="center"/>
    </xf>
    <xf numFmtId="182" fontId="152" fillId="0" borderId="0" xfId="8" quotePrefix="1" applyNumberFormat="1" applyFont="1" applyAlignment="1">
      <alignment vertical="center"/>
    </xf>
    <xf numFmtId="0" fontId="126" fillId="0" borderId="4" xfId="8" applyFont="1" applyBorder="1" applyAlignment="1">
      <alignment horizontal="center" vertical="center"/>
    </xf>
    <xf numFmtId="176" fontId="126" fillId="0" borderId="4" xfId="8" quotePrefix="1" applyNumberFormat="1" applyFont="1" applyBorder="1" applyAlignment="1">
      <alignment horizontal="center" vertical="center"/>
    </xf>
    <xf numFmtId="0" fontId="123" fillId="0" borderId="0" xfId="8" quotePrefix="1" applyFont="1" applyAlignment="1">
      <alignment horizontal="left" vertical="center"/>
    </xf>
    <xf numFmtId="176" fontId="123" fillId="0" borderId="2" xfId="8" applyNumberFormat="1" applyFont="1" applyBorder="1" applyAlignment="1">
      <alignment horizontal="center" vertical="center"/>
    </xf>
    <xf numFmtId="176" fontId="123" fillId="0" borderId="4" xfId="8" applyNumberFormat="1" applyFont="1" applyBorder="1" applyAlignment="1">
      <alignment horizontal="center" vertical="center"/>
    </xf>
    <xf numFmtId="176" fontId="151" fillId="0" borderId="4" xfId="8" applyNumberFormat="1" applyFont="1" applyBorder="1" applyAlignment="1">
      <alignment horizontal="center" vertical="center"/>
    </xf>
    <xf numFmtId="1" fontId="152" fillId="0" borderId="4" xfId="8" applyNumberFormat="1" applyBorder="1" applyAlignment="1">
      <alignment horizontal="center" vertical="center"/>
    </xf>
    <xf numFmtId="41" fontId="169" fillId="0" borderId="4" xfId="3" applyFont="1" applyBorder="1" applyAlignment="1">
      <alignment horizontal="center" vertical="center"/>
    </xf>
    <xf numFmtId="41" fontId="122" fillId="0" borderId="0" xfId="3" quotePrefix="1" applyFont="1">
      <alignment vertical="center"/>
    </xf>
    <xf numFmtId="176" fontId="122" fillId="0" borderId="0" xfId="8" quotePrefix="1" applyNumberFormat="1" applyFont="1" applyAlignment="1">
      <alignment vertical="center"/>
    </xf>
    <xf numFmtId="187" fontId="165" fillId="0" borderId="0" xfId="0" quotePrefix="1" applyNumberFormat="1" applyFont="1" applyAlignment="1">
      <alignment horizontal="center"/>
    </xf>
    <xf numFmtId="0" fontId="121" fillId="0" borderId="4" xfId="8" applyFont="1" applyBorder="1" applyAlignment="1">
      <alignment horizontal="center" vertical="center"/>
    </xf>
    <xf numFmtId="176" fontId="120" fillId="0" borderId="4" xfId="8" quotePrefix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57" fillId="0" borderId="0" xfId="0" applyFont="1" applyAlignment="1">
      <alignment horizontal="center"/>
    </xf>
    <xf numFmtId="0" fontId="167" fillId="0" borderId="0" xfId="0" applyFont="1" applyAlignment="1">
      <alignment vertical="center"/>
    </xf>
    <xf numFmtId="41" fontId="158" fillId="0" borderId="0" xfId="3" applyFont="1" applyAlignment="1">
      <alignment vertical="center"/>
    </xf>
    <xf numFmtId="176" fontId="152" fillId="0" borderId="0" xfId="3" applyNumberFormat="1" applyFont="1" applyAlignment="1">
      <alignment vertical="center"/>
    </xf>
    <xf numFmtId="41" fontId="152" fillId="0" borderId="0" xfId="3" applyNumberFormat="1" applyFont="1" applyAlignment="1">
      <alignment vertical="center"/>
    </xf>
    <xf numFmtId="0" fontId="119" fillId="0" borderId="53" xfId="8" applyFont="1" applyBorder="1" applyAlignment="1">
      <alignment horizontal="center" vertical="center"/>
    </xf>
    <xf numFmtId="0" fontId="119" fillId="0" borderId="26" xfId="8" applyFont="1" applyBorder="1" applyAlignment="1">
      <alignment horizontal="center" vertical="center"/>
    </xf>
    <xf numFmtId="0" fontId="139" fillId="0" borderId="26" xfId="8" applyFont="1" applyBorder="1" applyAlignment="1">
      <alignment horizontal="center" vertical="center"/>
    </xf>
    <xf numFmtId="0" fontId="145" fillId="0" borderId="46" xfId="8" applyFont="1" applyBorder="1" applyAlignment="1">
      <alignment horizontal="center" vertical="center"/>
    </xf>
    <xf numFmtId="0" fontId="119" fillId="0" borderId="46" xfId="8" applyFont="1" applyBorder="1" applyAlignment="1">
      <alignment horizontal="center" vertical="center"/>
    </xf>
    <xf numFmtId="0" fontId="145" fillId="0" borderId="18" xfId="8" applyFont="1" applyBorder="1" applyAlignment="1">
      <alignment horizontal="center" vertical="center"/>
    </xf>
    <xf numFmtId="180" fontId="152" fillId="0" borderId="3" xfId="8" applyNumberFormat="1" applyBorder="1" applyAlignment="1">
      <alignment horizontal="center" vertical="center"/>
    </xf>
    <xf numFmtId="0" fontId="152" fillId="0" borderId="57" xfId="8" applyBorder="1" applyAlignment="1">
      <alignment horizontal="center" vertical="center"/>
    </xf>
    <xf numFmtId="180" fontId="152" fillId="0" borderId="41" xfId="8" applyNumberFormat="1" applyBorder="1" applyAlignment="1">
      <alignment horizontal="center" vertical="center"/>
    </xf>
    <xf numFmtId="176" fontId="163" fillId="0" borderId="41" xfId="8" applyNumberFormat="1" applyFont="1" applyBorder="1" applyAlignment="1">
      <alignment horizontal="center" vertical="center"/>
    </xf>
    <xf numFmtId="176" fontId="152" fillId="0" borderId="41" xfId="8" applyNumberFormat="1" applyBorder="1" applyAlignment="1">
      <alignment horizontal="center" vertical="center"/>
    </xf>
    <xf numFmtId="176" fontId="158" fillId="0" borderId="52" xfId="8" applyNumberFormat="1" applyFont="1" applyBorder="1" applyAlignment="1">
      <alignment horizontal="center" vertical="center"/>
    </xf>
    <xf numFmtId="176" fontId="151" fillId="0" borderId="7" xfId="8" applyNumberFormat="1" applyFont="1" applyBorder="1" applyAlignment="1">
      <alignment horizontal="center" vertical="center"/>
    </xf>
    <xf numFmtId="176" fontId="151" fillId="0" borderId="2" xfId="8" applyNumberFormat="1" applyFont="1" applyBorder="1" applyAlignment="1">
      <alignment horizontal="center" vertical="center"/>
    </xf>
    <xf numFmtId="0" fontId="118" fillId="0" borderId="0" xfId="8" applyFont="1" applyFill="1" applyBorder="1" applyAlignment="1">
      <alignment horizontal="left" vertical="center"/>
    </xf>
    <xf numFmtId="0" fontId="117" fillId="0" borderId="0" xfId="8" applyFont="1">
      <alignment vertical="center"/>
    </xf>
    <xf numFmtId="176" fontId="152" fillId="0" borderId="0" xfId="8" applyNumberFormat="1" applyBorder="1" applyAlignment="1">
      <alignment horizontal="center" vertical="center"/>
    </xf>
    <xf numFmtId="0" fontId="174" fillId="0" borderId="4" xfId="0" applyFont="1" applyBorder="1" applyAlignment="1">
      <alignment horizontal="center" vertical="center"/>
    </xf>
    <xf numFmtId="0" fontId="174" fillId="0" borderId="27" xfId="0" applyFont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3" xfId="0" applyBorder="1" applyAlignment="1">
      <alignment horizontal="center" vertical="center"/>
    </xf>
    <xf numFmtId="0" fontId="116" fillId="0" borderId="0" xfId="8" applyFont="1">
      <alignment vertical="center"/>
    </xf>
    <xf numFmtId="0" fontId="116" fillId="0" borderId="4" xfId="8" applyFont="1" applyBorder="1" applyAlignment="1">
      <alignment horizontal="center" vertical="center"/>
    </xf>
    <xf numFmtId="0" fontId="116" fillId="0" borderId="4" xfId="8" quotePrefix="1" applyFont="1" applyBorder="1" applyAlignment="1">
      <alignment horizontal="center" vertical="center"/>
    </xf>
    <xf numFmtId="176" fontId="116" fillId="0" borderId="4" xfId="8" applyNumberFormat="1" applyFont="1" applyBorder="1" applyAlignment="1">
      <alignment horizontal="center" vertical="center"/>
    </xf>
    <xf numFmtId="176" fontId="157" fillId="0" borderId="4" xfId="8" applyNumberFormat="1" applyFont="1" applyBorder="1" applyAlignment="1">
      <alignment horizontal="center" vertical="center"/>
    </xf>
    <xf numFmtId="176" fontId="133" fillId="0" borderId="4" xfId="8" applyNumberFormat="1" applyFont="1" applyBorder="1" applyAlignment="1">
      <alignment horizontal="center" vertical="center"/>
    </xf>
    <xf numFmtId="1" fontId="131" fillId="0" borderId="0" xfId="8" applyNumberFormat="1" applyFont="1">
      <alignment vertical="center"/>
    </xf>
    <xf numFmtId="0" fontId="124" fillId="0" borderId="0" xfId="8" quotePrefix="1" applyFont="1" applyAlignment="1">
      <alignment horizontal="center" vertical="center"/>
    </xf>
    <xf numFmtId="0" fontId="167" fillId="0" borderId="0" xfId="0" applyFont="1"/>
    <xf numFmtId="0" fontId="117" fillId="0" borderId="2" xfId="8" quotePrefix="1" applyFont="1" applyBorder="1" applyAlignment="1">
      <alignment horizontal="center" vertical="center"/>
    </xf>
    <xf numFmtId="0" fontId="115" fillId="0" borderId="5" xfId="8" quotePrefix="1" applyFont="1" applyBorder="1" applyAlignment="1">
      <alignment horizontal="center" vertical="center" wrapText="1"/>
    </xf>
    <xf numFmtId="0" fontId="115" fillId="0" borderId="1" xfId="8" applyFont="1" applyBorder="1" applyAlignment="1">
      <alignment horizontal="center" vertical="center"/>
    </xf>
    <xf numFmtId="0" fontId="115" fillId="0" borderId="6" xfId="8" quotePrefix="1" applyFont="1" applyBorder="1" applyAlignment="1">
      <alignment horizontal="center" vertical="center"/>
    </xf>
    <xf numFmtId="0" fontId="114" fillId="0" borderId="4" xfId="8" applyFont="1" applyBorder="1" applyAlignment="1">
      <alignment horizontal="center" vertical="center"/>
    </xf>
    <xf numFmtId="0" fontId="114" fillId="0" borderId="0" xfId="8" applyFont="1">
      <alignment vertical="center"/>
    </xf>
    <xf numFmtId="0" fontId="113" fillId="0" borderId="0" xfId="8" applyFont="1">
      <alignment vertical="center"/>
    </xf>
    <xf numFmtId="176" fontId="131" fillId="0" borderId="0" xfId="3" applyNumberFormat="1" applyFont="1">
      <alignment vertical="center"/>
    </xf>
    <xf numFmtId="176" fontId="131" fillId="0" borderId="0" xfId="8" applyNumberFormat="1" applyFont="1">
      <alignment vertical="center"/>
    </xf>
    <xf numFmtId="176" fontId="164" fillId="0" borderId="0" xfId="3" applyNumberFormat="1" applyFont="1" applyAlignment="1">
      <alignment horizontal="center" vertical="center"/>
    </xf>
    <xf numFmtId="176" fontId="158" fillId="0" borderId="0" xfId="8" applyNumberFormat="1" applyFont="1" applyAlignment="1">
      <alignment horizontal="center" vertical="center"/>
    </xf>
    <xf numFmtId="0" fontId="175" fillId="0" borderId="0" xfId="0" applyFont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112" fillId="0" borderId="0" xfId="8" applyFont="1">
      <alignment vertical="center"/>
    </xf>
    <xf numFmtId="186" fontId="152" fillId="0" borderId="0" xfId="3" applyNumberFormat="1" applyFont="1" applyAlignment="1">
      <alignment horizontal="center" vertical="center"/>
    </xf>
    <xf numFmtId="186" fontId="134" fillId="0" borderId="0" xfId="3" applyNumberFormat="1" applyFont="1" applyAlignment="1">
      <alignment horizontal="center" vertical="center"/>
    </xf>
    <xf numFmtId="195" fontId="158" fillId="0" borderId="0" xfId="3" applyNumberFormat="1" applyFont="1" applyAlignment="1">
      <alignment horizontal="center" vertical="center"/>
    </xf>
    <xf numFmtId="186" fontId="152" fillId="0" borderId="0" xfId="8" applyNumberFormat="1" applyAlignment="1">
      <alignment horizontal="center" vertical="center"/>
    </xf>
    <xf numFmtId="196" fontId="152" fillId="0" borderId="0" xfId="8" applyNumberFormat="1" applyBorder="1" applyAlignment="1">
      <alignment horizontal="center" vertical="center"/>
    </xf>
    <xf numFmtId="197" fontId="152" fillId="0" borderId="0" xfId="10" applyNumberFormat="1" applyFont="1">
      <alignment vertical="center"/>
    </xf>
    <xf numFmtId="0" fontId="111" fillId="0" borderId="0" xfId="8" applyFont="1">
      <alignment vertical="center"/>
    </xf>
    <xf numFmtId="181" fontId="172" fillId="0" borderId="0" xfId="8" quotePrefix="1" applyNumberFormat="1" applyFont="1" applyAlignment="1">
      <alignment horizontal="left" vertical="center"/>
    </xf>
    <xf numFmtId="0" fontId="110" fillId="0" borderId="0" xfId="8" applyFont="1" applyAlignment="1">
      <alignment horizontal="center" vertical="center"/>
    </xf>
    <xf numFmtId="0" fontId="110" fillId="0" borderId="4" xfId="8" applyFont="1" applyBorder="1" applyAlignment="1">
      <alignment horizontal="center" vertical="center"/>
    </xf>
    <xf numFmtId="0" fontId="110" fillId="0" borderId="4" xfId="8" quotePrefix="1" applyFont="1" applyBorder="1" applyAlignment="1">
      <alignment horizontal="center" vertical="center"/>
    </xf>
    <xf numFmtId="0" fontId="157" fillId="0" borderId="4" xfId="8" quotePrefix="1" applyFont="1" applyBorder="1" applyAlignment="1">
      <alignment horizontal="center" vertical="center"/>
    </xf>
    <xf numFmtId="9" fontId="152" fillId="0" borderId="4" xfId="10" applyFont="1" applyBorder="1" applyAlignment="1">
      <alignment horizontal="center" vertical="center"/>
    </xf>
    <xf numFmtId="0" fontId="158" fillId="0" borderId="4" xfId="8" quotePrefix="1" applyFont="1" applyBorder="1" applyAlignment="1">
      <alignment horizontal="center" vertical="center"/>
    </xf>
    <xf numFmtId="192" fontId="157" fillId="0" borderId="4" xfId="8" applyNumberFormat="1" applyFont="1" applyBorder="1" applyAlignment="1">
      <alignment horizontal="center" vertical="center"/>
    </xf>
    <xf numFmtId="41" fontId="110" fillId="0" borderId="4" xfId="3" quotePrefix="1" applyFont="1" applyBorder="1" applyAlignment="1">
      <alignment horizontal="center" vertical="center"/>
    </xf>
    <xf numFmtId="198" fontId="157" fillId="0" borderId="0" xfId="8" applyNumberFormat="1" applyFont="1">
      <alignment vertical="center"/>
    </xf>
    <xf numFmtId="41" fontId="110" fillId="0" borderId="0" xfId="3" applyFont="1" applyAlignment="1">
      <alignment horizontal="center" vertical="center"/>
    </xf>
    <xf numFmtId="198" fontId="152" fillId="0" borderId="0" xfId="3" applyNumberFormat="1" applyFont="1" applyAlignment="1">
      <alignment horizontal="center" vertical="center"/>
    </xf>
    <xf numFmtId="176" fontId="157" fillId="0" borderId="0" xfId="8" applyNumberFormat="1" applyFont="1" applyAlignment="1">
      <alignment horizontal="center" vertical="center"/>
    </xf>
    <xf numFmtId="0" fontId="109" fillId="0" borderId="0" xfId="8" applyFont="1">
      <alignment vertical="center"/>
    </xf>
    <xf numFmtId="199" fontId="152" fillId="0" borderId="0" xfId="8" applyNumberFormat="1">
      <alignment vertical="center"/>
    </xf>
    <xf numFmtId="0" fontId="108" fillId="0" borderId="0" xfId="8" quotePrefix="1" applyFont="1">
      <alignment vertical="center"/>
    </xf>
    <xf numFmtId="0" fontId="107" fillId="0" borderId="0" xfId="8" applyFont="1">
      <alignment vertical="center"/>
    </xf>
    <xf numFmtId="176" fontId="176" fillId="0" borderId="0" xfId="8" quotePrefix="1" applyNumberFormat="1" applyFont="1" applyAlignment="1">
      <alignment vertical="center"/>
    </xf>
    <xf numFmtId="186" fontId="176" fillId="0" borderId="0" xfId="8" quotePrefix="1" applyNumberFormat="1" applyFont="1" applyAlignment="1">
      <alignment vertical="center"/>
    </xf>
    <xf numFmtId="2" fontId="152" fillId="0" borderId="0" xfId="8" quotePrefix="1" applyNumberFormat="1" applyFont="1">
      <alignment vertical="center"/>
    </xf>
    <xf numFmtId="0" fontId="106" fillId="0" borderId="0" xfId="8" applyFont="1">
      <alignment vertical="center"/>
    </xf>
    <xf numFmtId="0" fontId="106" fillId="0" borderId="4" xfId="8" applyFon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52" fillId="0" borderId="1" xfId="8" applyNumberFormat="1" applyBorder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161" fillId="0" borderId="0" xfId="8" applyFont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176" fontId="152" fillId="0" borderId="2" xfId="8" applyNumberFormat="1" applyBorder="1" applyAlignment="1">
      <alignment horizontal="center" vertical="center"/>
    </xf>
    <xf numFmtId="0" fontId="118" fillId="0" borderId="0" xfId="8" applyFont="1" applyAlignment="1">
      <alignment horizontal="center" vertical="center"/>
    </xf>
    <xf numFmtId="0" fontId="157" fillId="0" borderId="0" xfId="8" applyFont="1" applyAlignment="1">
      <alignment horizontal="center" vertical="center"/>
    </xf>
    <xf numFmtId="0" fontId="105" fillId="0" borderId="0" xfId="8" applyFont="1">
      <alignment vertical="center"/>
    </xf>
    <xf numFmtId="0" fontId="105" fillId="0" borderId="4" xfId="8" applyFont="1" applyBorder="1" applyAlignment="1">
      <alignment horizontal="center" vertical="center"/>
    </xf>
    <xf numFmtId="0" fontId="164" fillId="0" borderId="0" xfId="8" applyFont="1" applyAlignment="1">
      <alignment horizontal="center" vertical="center"/>
    </xf>
    <xf numFmtId="186" fontId="165" fillId="0" borderId="0" xfId="8" applyNumberFormat="1" applyFont="1" applyAlignment="1">
      <alignment horizontal="center" vertical="center"/>
    </xf>
    <xf numFmtId="176" fontId="152" fillId="0" borderId="0" xfId="8" applyNumberFormat="1" applyFont="1" applyAlignment="1">
      <alignment horizontal="center" vertical="center"/>
    </xf>
    <xf numFmtId="0" fontId="104" fillId="0" borderId="0" xfId="8" applyFont="1">
      <alignment vertical="center"/>
    </xf>
    <xf numFmtId="0" fontId="104" fillId="0" borderId="4" xfId="8" applyFont="1" applyBorder="1" applyAlignment="1">
      <alignment horizontal="center" vertical="center"/>
    </xf>
    <xf numFmtId="0" fontId="103" fillId="0" borderId="0" xfId="8" applyFont="1" applyAlignment="1">
      <alignment horizontal="center" vertical="center"/>
    </xf>
    <xf numFmtId="0" fontId="103" fillId="0" borderId="2" xfId="8" quotePrefix="1" applyFont="1" applyBorder="1" applyAlignment="1">
      <alignment horizontal="center" vertical="center"/>
    </xf>
    <xf numFmtId="0" fontId="110" fillId="0" borderId="6" xfId="8" quotePrefix="1" applyFont="1" applyBorder="1" applyAlignment="1">
      <alignment horizontal="center" vertical="center"/>
    </xf>
    <xf numFmtId="0" fontId="158" fillId="0" borderId="6" xfId="8" quotePrefix="1" applyFont="1" applyBorder="1" applyAlignment="1">
      <alignment horizontal="center" vertical="center"/>
    </xf>
    <xf numFmtId="1" fontId="158" fillId="0" borderId="22" xfId="8" applyNumberFormat="1" applyFont="1" applyBorder="1" applyAlignment="1">
      <alignment horizontal="center" vertical="center"/>
    </xf>
    <xf numFmtId="0" fontId="152" fillId="0" borderId="22" xfId="8" applyBorder="1" applyAlignment="1">
      <alignment horizontal="center" vertical="center"/>
    </xf>
    <xf numFmtId="0" fontId="102" fillId="0" borderId="22" xfId="8" applyFont="1" applyBorder="1" applyAlignment="1">
      <alignment horizontal="center" vertical="center"/>
    </xf>
    <xf numFmtId="2" fontId="158" fillId="0" borderId="22" xfId="8" applyNumberFormat="1" applyFont="1" applyBorder="1" applyAlignment="1">
      <alignment horizontal="center" vertical="center"/>
    </xf>
    <xf numFmtId="181" fontId="102" fillId="0" borderId="0" xfId="8" quotePrefix="1" applyNumberFormat="1" applyFont="1" applyAlignment="1">
      <alignment horizontal="center" vertical="center"/>
    </xf>
    <xf numFmtId="41" fontId="163" fillId="0" borderId="0" xfId="3" quotePrefix="1" applyFont="1">
      <alignment vertical="center"/>
    </xf>
    <xf numFmtId="177" fontId="152" fillId="0" borderId="4" xfId="8" applyNumberFormat="1" applyBorder="1" applyAlignment="1">
      <alignment horizontal="center" vertical="center"/>
    </xf>
    <xf numFmtId="177" fontId="152" fillId="0" borderId="6" xfId="8" applyNumberFormat="1" applyBorder="1" applyAlignment="1">
      <alignment horizontal="center" vertical="center"/>
    </xf>
    <xf numFmtId="181" fontId="171" fillId="0" borderId="0" xfId="8" quotePrefix="1" applyNumberFormat="1" applyFont="1" applyAlignment="1">
      <alignment horizontal="left" vertical="center"/>
    </xf>
    <xf numFmtId="0" fontId="101" fillId="0" borderId="4" xfId="8" quotePrefix="1" applyFont="1" applyBorder="1" applyAlignment="1">
      <alignment horizontal="center" vertical="center"/>
    </xf>
    <xf numFmtId="190" fontId="101" fillId="0" borderId="0" xfId="8" applyNumberFormat="1" applyFont="1">
      <alignment vertical="center"/>
    </xf>
    <xf numFmtId="180" fontId="101" fillId="0" borderId="0" xfId="8" quotePrefix="1" applyNumberFormat="1" applyFont="1" applyAlignment="1">
      <alignment horizontal="center" vertical="center"/>
    </xf>
    <xf numFmtId="182" fontId="152" fillId="0" borderId="0" xfId="8" applyNumberFormat="1" applyAlignment="1">
      <alignment horizontal="center" vertical="center"/>
    </xf>
    <xf numFmtId="182" fontId="101" fillId="0" borderId="0" xfId="8" quotePrefix="1" applyNumberFormat="1" applyFont="1" applyAlignment="1">
      <alignment horizontal="center" vertical="center"/>
    </xf>
    <xf numFmtId="181" fontId="101" fillId="0" borderId="0" xfId="8" quotePrefix="1" applyNumberFormat="1" applyFont="1" applyAlignment="1">
      <alignment horizontal="center" vertical="center"/>
    </xf>
    <xf numFmtId="0" fontId="100" fillId="0" borderId="4" xfId="8" applyFont="1" applyBorder="1" applyAlignment="1">
      <alignment horizontal="center" vertical="center"/>
    </xf>
    <xf numFmtId="0" fontId="99" fillId="0" borderId="0" xfId="8" applyFont="1">
      <alignment vertical="center"/>
    </xf>
    <xf numFmtId="0" fontId="99" fillId="0" borderId="0" xfId="8" applyFont="1" applyAlignment="1">
      <alignment horizontal="right" vertical="center"/>
    </xf>
    <xf numFmtId="177" fontId="149" fillId="0" borderId="0" xfId="8" applyNumberFormat="1" applyFont="1">
      <alignment vertical="center"/>
    </xf>
    <xf numFmtId="0" fontId="99" fillId="0" borderId="0" xfId="8" quotePrefix="1" applyFont="1" applyAlignment="1">
      <alignment horizontal="center" vertical="center"/>
    </xf>
    <xf numFmtId="0" fontId="98" fillId="0" borderId="0" xfId="8" applyFont="1">
      <alignment vertical="center"/>
    </xf>
    <xf numFmtId="180" fontId="98" fillId="0" borderId="0" xfId="8" quotePrefix="1" applyNumberFormat="1" applyFont="1">
      <alignment vertical="center"/>
    </xf>
    <xf numFmtId="176" fontId="164" fillId="0" borderId="0" xfId="8" applyNumberFormat="1" applyFont="1" applyAlignment="1">
      <alignment horizontal="center" vertical="center"/>
    </xf>
    <xf numFmtId="0" fontId="97" fillId="0" borderId="0" xfId="8" applyFont="1">
      <alignment vertical="center"/>
    </xf>
    <xf numFmtId="176" fontId="152" fillId="0" borderId="0" xfId="8" applyNumberFormat="1" applyFont="1" applyBorder="1">
      <alignment vertical="center"/>
    </xf>
    <xf numFmtId="176" fontId="158" fillId="0" borderId="0" xfId="3" applyNumberFormat="1" applyFont="1" applyAlignment="1">
      <alignment horizontal="center" vertical="center"/>
    </xf>
    <xf numFmtId="0" fontId="97" fillId="0" borderId="0" xfId="8" applyFont="1" applyAlignment="1">
      <alignment horizontal="center" vertical="center"/>
    </xf>
    <xf numFmtId="198" fontId="152" fillId="0" borderId="0" xfId="3" applyNumberFormat="1" applyFont="1" applyAlignment="1">
      <alignment vertical="center"/>
    </xf>
    <xf numFmtId="0" fontId="96" fillId="0" borderId="0" xfId="8" applyFont="1" applyAlignment="1">
      <alignment horizontal="center" vertical="center"/>
    </xf>
    <xf numFmtId="186" fontId="96" fillId="0" borderId="0" xfId="8" applyNumberFormat="1" applyFont="1" applyAlignment="1">
      <alignment horizontal="center" vertical="center"/>
    </xf>
    <xf numFmtId="0" fontId="157" fillId="0" borderId="0" xfId="8" applyFont="1" applyAlignment="1">
      <alignment horizontal="center" vertical="center"/>
    </xf>
    <xf numFmtId="176" fontId="152" fillId="0" borderId="2" xfId="8" applyNumberForma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52" fillId="0" borderId="1" xfId="8" applyNumberFormat="1" applyBorder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0" fontId="152" fillId="0" borderId="6" xfId="8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95" fillId="0" borderId="4" xfId="8" quotePrefix="1" applyFont="1" applyBorder="1" applyAlignment="1">
      <alignment horizontal="center" vertical="center"/>
    </xf>
    <xf numFmtId="0" fontId="95" fillId="0" borderId="4" xfId="8" applyFont="1" applyBorder="1" applyAlignment="1">
      <alignment horizontal="center" vertical="center"/>
    </xf>
    <xf numFmtId="0" fontId="95" fillId="0" borderId="0" xfId="8" applyFont="1">
      <alignment vertical="center"/>
    </xf>
    <xf numFmtId="0" fontId="93" fillId="0" borderId="0" xfId="8" applyFont="1" applyAlignment="1">
      <alignment horizontal="center" vertical="center"/>
    </xf>
    <xf numFmtId="0" fontId="93" fillId="0" borderId="0" xfId="8" applyFont="1" applyFill="1" applyBorder="1" applyAlignment="1">
      <alignment horizontal="left" vertical="center"/>
    </xf>
    <xf numFmtId="0" fontId="93" fillId="0" borderId="2" xfId="8" quotePrefix="1" applyFont="1" applyBorder="1" applyAlignment="1">
      <alignment horizontal="center" vertical="center"/>
    </xf>
    <xf numFmtId="0" fontId="92" fillId="0" borderId="4" xfId="8" quotePrefix="1" applyFont="1" applyBorder="1" applyAlignment="1">
      <alignment horizontal="center" vertical="center"/>
    </xf>
    <xf numFmtId="0" fontId="90" fillId="0" borderId="4" xfId="8" quotePrefix="1" applyFont="1" applyBorder="1" applyAlignment="1">
      <alignment horizontal="center" vertical="center"/>
    </xf>
    <xf numFmtId="0" fontId="89" fillId="0" borderId="0" xfId="8" applyFont="1">
      <alignment vertical="center"/>
    </xf>
    <xf numFmtId="0" fontId="157" fillId="0" borderId="0" xfId="0" quotePrefix="1" applyFont="1"/>
    <xf numFmtId="176" fontId="158" fillId="0" borderId="0" xfId="3" applyNumberFormat="1" applyFont="1">
      <alignment vertical="center"/>
    </xf>
    <xf numFmtId="176" fontId="159" fillId="0" borderId="0" xfId="3" applyNumberFormat="1" applyFont="1">
      <alignment vertical="center"/>
    </xf>
    <xf numFmtId="176" fontId="182" fillId="0" borderId="0" xfId="8" applyNumberFormat="1" applyFont="1" applyAlignment="1">
      <alignment horizontal="center" vertical="center"/>
    </xf>
    <xf numFmtId="176" fontId="182" fillId="0" borderId="0" xfId="3" applyNumberFormat="1" applyFont="1" applyAlignment="1">
      <alignment horizontal="center" vertical="center"/>
    </xf>
    <xf numFmtId="0" fontId="88" fillId="0" borderId="0" xfId="8" applyFont="1">
      <alignment vertical="center"/>
    </xf>
    <xf numFmtId="0" fontId="88" fillId="0" borderId="4" xfId="8" quotePrefix="1" applyFont="1" applyBorder="1" applyAlignment="1">
      <alignment horizontal="center" vertical="center"/>
    </xf>
    <xf numFmtId="0" fontId="87" fillId="0" borderId="0" xfId="8" applyFont="1">
      <alignment vertical="center"/>
    </xf>
    <xf numFmtId="180" fontId="152" fillId="0" borderId="0" xfId="8" quotePrefix="1" applyNumberFormat="1" applyFont="1">
      <alignment vertical="center"/>
    </xf>
    <xf numFmtId="2" fontId="87" fillId="0" borderId="0" xfId="8" quotePrefix="1" applyNumberFormat="1" applyFont="1">
      <alignment vertical="center"/>
    </xf>
    <xf numFmtId="41" fontId="158" fillId="0" borderId="0" xfId="3" applyFont="1" applyBorder="1">
      <alignment vertical="center"/>
    </xf>
    <xf numFmtId="41" fontId="158" fillId="0" borderId="0" xfId="3" applyFont="1">
      <alignment vertical="center"/>
    </xf>
    <xf numFmtId="0" fontId="86" fillId="0" borderId="4" xfId="8" quotePrefix="1" applyFont="1" applyBorder="1" applyAlignment="1">
      <alignment horizontal="center" vertical="center"/>
    </xf>
    <xf numFmtId="0" fontId="85" fillId="0" borderId="0" xfId="8" applyFont="1">
      <alignment vertical="center"/>
    </xf>
    <xf numFmtId="0" fontId="85" fillId="0" borderId="4" xfId="8" applyFont="1" applyBorder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84" fillId="0" borderId="4" xfId="8" quotePrefix="1" applyFont="1" applyBorder="1" applyAlignment="1">
      <alignment horizontal="center" vertical="center"/>
    </xf>
    <xf numFmtId="0" fontId="84" fillId="0" borderId="0" xfId="8" applyFont="1">
      <alignment vertical="center"/>
    </xf>
    <xf numFmtId="0" fontId="167" fillId="0" borderId="4" xfId="0" applyFont="1" applyBorder="1" applyAlignment="1">
      <alignment horizontal="center"/>
    </xf>
    <xf numFmtId="0" fontId="157" fillId="0" borderId="0" xfId="8" applyFont="1" applyAlignment="1">
      <alignment horizontal="center" vertical="center"/>
    </xf>
    <xf numFmtId="176" fontId="152" fillId="0" borderId="2" xfId="8" applyNumberForma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52" fillId="0" borderId="1" xfId="8" applyNumberFormat="1" applyBorder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0" fontId="152" fillId="0" borderId="6" xfId="8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91" fillId="0" borderId="4" xfId="8" applyFont="1" applyBorder="1" applyAlignment="1">
      <alignment horizontal="center" vertical="center"/>
    </xf>
    <xf numFmtId="0" fontId="83" fillId="0" borderId="0" xfId="8" applyFont="1">
      <alignment vertical="center"/>
    </xf>
    <xf numFmtId="186" fontId="181" fillId="0" borderId="0" xfId="8" applyNumberFormat="1" applyFont="1">
      <alignment vertical="center"/>
    </xf>
    <xf numFmtId="0" fontId="82" fillId="0" borderId="0" xfId="8" applyFont="1">
      <alignment vertical="center"/>
    </xf>
    <xf numFmtId="41" fontId="82" fillId="0" borderId="0" xfId="3" applyNumberFormat="1" applyFont="1" applyAlignment="1">
      <alignment horizontal="center" vertical="center"/>
    </xf>
    <xf numFmtId="182" fontId="152" fillId="0" borderId="0" xfId="8" applyNumberFormat="1" applyBorder="1" applyAlignment="1">
      <alignment horizontal="center" vertical="center"/>
    </xf>
    <xf numFmtId="0" fontId="157" fillId="0" borderId="4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76" fontId="163" fillId="0" borderId="0" xfId="3" applyNumberFormat="1" applyFont="1" applyAlignment="1">
      <alignment horizontal="center" vertical="center"/>
    </xf>
    <xf numFmtId="0" fontId="82" fillId="0" borderId="0" xfId="8" quotePrefix="1" applyFont="1">
      <alignment vertical="center"/>
    </xf>
    <xf numFmtId="41" fontId="82" fillId="0" borderId="0" xfId="3" quotePrefix="1" applyFont="1">
      <alignment vertical="center"/>
    </xf>
    <xf numFmtId="181" fontId="183" fillId="0" borderId="0" xfId="8" quotePrefix="1" applyNumberFormat="1" applyFont="1" applyAlignment="1">
      <alignment horizontal="center" vertical="center"/>
    </xf>
    <xf numFmtId="200" fontId="152" fillId="0" borderId="0" xfId="3" applyNumberFormat="1" applyFont="1" applyAlignment="1">
      <alignment horizontal="center" vertical="center"/>
    </xf>
    <xf numFmtId="0" fontId="158" fillId="0" borderId="0" xfId="8" quotePrefix="1" applyFont="1">
      <alignment vertical="center"/>
    </xf>
    <xf numFmtId="0" fontId="82" fillId="0" borderId="0" xfId="8" applyFont="1" applyAlignment="1">
      <alignment horizontal="left" vertical="center"/>
    </xf>
    <xf numFmtId="0" fontId="158" fillId="0" borderId="0" xfId="8" applyFont="1" applyAlignment="1">
      <alignment horizontal="center" vertical="center"/>
    </xf>
    <xf numFmtId="0" fontId="80" fillId="0" borderId="0" xfId="8" quotePrefix="1" applyFont="1">
      <alignment vertical="center"/>
    </xf>
    <xf numFmtId="0" fontId="80" fillId="0" borderId="0" xfId="8" applyFont="1">
      <alignment vertical="center"/>
    </xf>
    <xf numFmtId="0" fontId="79" fillId="0" borderId="0" xfId="8" applyFont="1">
      <alignment vertical="center"/>
    </xf>
    <xf numFmtId="0" fontId="111" fillId="0" borderId="0" xfId="8" applyFont="1" applyAlignment="1">
      <alignment horizontal="center" vertical="center"/>
    </xf>
    <xf numFmtId="0" fontId="78" fillId="0" borderId="0" xfId="8" applyFont="1">
      <alignment vertical="center"/>
    </xf>
    <xf numFmtId="186" fontId="165" fillId="0" borderId="4" xfId="8" applyNumberFormat="1" applyFont="1" applyBorder="1">
      <alignment vertical="center"/>
    </xf>
    <xf numFmtId="0" fontId="114" fillId="0" borderId="6" xfId="8" applyFont="1" applyBorder="1" applyAlignment="1">
      <alignment horizontal="center" vertical="center"/>
    </xf>
    <xf numFmtId="186" fontId="165" fillId="0" borderId="6" xfId="8" applyNumberFormat="1" applyFont="1" applyBorder="1">
      <alignment vertical="center"/>
    </xf>
    <xf numFmtId="186" fontId="165" fillId="0" borderId="60" xfId="8" applyNumberFormat="1" applyFont="1" applyBorder="1">
      <alignment vertical="center"/>
    </xf>
    <xf numFmtId="0" fontId="91" fillId="0" borderId="60" xfId="8" applyFont="1" applyBorder="1" applyAlignment="1">
      <alignment horizontal="center" vertical="center"/>
    </xf>
    <xf numFmtId="185" fontId="152" fillId="0" borderId="0" xfId="8" applyNumberFormat="1">
      <alignment vertical="center"/>
    </xf>
    <xf numFmtId="176" fontId="159" fillId="0" borderId="0" xfId="3" applyNumberFormat="1" applyFont="1" applyAlignment="1">
      <alignment horizontal="center" vertical="center"/>
    </xf>
    <xf numFmtId="176" fontId="152" fillId="0" borderId="0" xfId="8" applyNumberFormat="1" applyFont="1" applyBorder="1" applyAlignment="1">
      <alignment horizontal="center" vertical="center"/>
    </xf>
    <xf numFmtId="0" fontId="77" fillId="0" borderId="0" xfId="8" applyFont="1">
      <alignment vertical="center"/>
    </xf>
    <xf numFmtId="0" fontId="77" fillId="0" borderId="4" xfId="8" quotePrefix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185" fontId="184" fillId="0" borderId="0" xfId="8" quotePrefix="1" applyNumberFormat="1" applyFont="1">
      <alignment vertical="center"/>
    </xf>
    <xf numFmtId="0" fontId="184" fillId="0" borderId="0" xfId="8" applyFont="1">
      <alignment vertical="center"/>
    </xf>
    <xf numFmtId="2" fontId="184" fillId="0" borderId="0" xfId="8" applyNumberFormat="1" applyFont="1">
      <alignment vertical="center"/>
    </xf>
    <xf numFmtId="180" fontId="184" fillId="0" borderId="0" xfId="8" applyNumberFormat="1" applyFont="1">
      <alignment vertical="center"/>
    </xf>
    <xf numFmtId="186" fontId="77" fillId="0" borderId="0" xfId="8" applyNumberFormat="1" applyFont="1" applyAlignment="1">
      <alignment horizontal="center" vertical="center"/>
    </xf>
    <xf numFmtId="176" fontId="84" fillId="0" borderId="0" xfId="3" applyNumberFormat="1" applyFont="1" applyAlignment="1">
      <alignment horizontal="center" vertical="center"/>
    </xf>
    <xf numFmtId="180" fontId="158" fillId="0" borderId="0" xfId="8" quotePrefix="1" applyNumberFormat="1" applyFont="1">
      <alignment vertical="center"/>
    </xf>
    <xf numFmtId="190" fontId="184" fillId="0" borderId="0" xfId="8" quotePrefix="1" applyNumberFormat="1" applyFont="1">
      <alignment vertical="center"/>
    </xf>
    <xf numFmtId="0" fontId="76" fillId="0" borderId="0" xfId="8" applyFont="1" applyFill="1" applyBorder="1" applyAlignment="1">
      <alignment horizontal="left" vertical="center"/>
    </xf>
    <xf numFmtId="0" fontId="75" fillId="0" borderId="0" xfId="8" applyFont="1">
      <alignment vertical="center"/>
    </xf>
    <xf numFmtId="181" fontId="152" fillId="0" borderId="0" xfId="3" quotePrefix="1" applyNumberFormat="1" applyFont="1">
      <alignment vertical="center"/>
    </xf>
    <xf numFmtId="0" fontId="74" fillId="0" borderId="4" xfId="8" quotePrefix="1" applyFont="1" applyBorder="1" applyAlignment="1">
      <alignment horizontal="center" vertical="center"/>
    </xf>
    <xf numFmtId="0" fontId="172" fillId="0" borderId="0" xfId="8" applyFont="1" applyAlignment="1">
      <alignment horizontal="center" vertical="center"/>
    </xf>
    <xf numFmtId="0" fontId="73" fillId="0" borderId="0" xfId="8" applyFont="1">
      <alignment vertical="center"/>
    </xf>
    <xf numFmtId="186" fontId="73" fillId="0" borderId="0" xfId="8" applyNumberFormat="1" applyFont="1" applyAlignment="1">
      <alignment vertical="center"/>
    </xf>
    <xf numFmtId="176" fontId="77" fillId="0" borderId="0" xfId="3" applyNumberFormat="1" applyFont="1" applyAlignment="1">
      <alignment horizontal="center" vertical="center"/>
    </xf>
    <xf numFmtId="0" fontId="73" fillId="0" borderId="0" xfId="8" applyFont="1" applyAlignment="1">
      <alignment horizontal="center" vertical="center"/>
    </xf>
    <xf numFmtId="0" fontId="152" fillId="0" borderId="0" xfId="8" applyAlignment="1">
      <alignment horizontal="left" vertical="center"/>
    </xf>
    <xf numFmtId="0" fontId="82" fillId="0" borderId="0" xfId="8" applyFont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2" fillId="0" borderId="4" xfId="8" quotePrefix="1" applyFont="1" applyBorder="1" applyAlignment="1">
      <alignment horizontal="center" vertical="center"/>
    </xf>
    <xf numFmtId="180" fontId="184" fillId="0" borderId="0" xfId="8" quotePrefix="1" applyNumberFormat="1" applyFont="1">
      <alignment vertical="center"/>
    </xf>
    <xf numFmtId="185" fontId="158" fillId="0" borderId="0" xfId="8" quotePrefix="1" applyNumberFormat="1" applyFont="1" applyAlignment="1">
      <alignment horizontal="center" vertical="center"/>
    </xf>
    <xf numFmtId="198" fontId="71" fillId="0" borderId="0" xfId="3" applyNumberFormat="1" applyFont="1" applyAlignment="1">
      <alignment horizontal="center" vertical="center"/>
    </xf>
    <xf numFmtId="41" fontId="184" fillId="0" borderId="0" xfId="3" quotePrefix="1" applyFont="1">
      <alignment vertical="center"/>
    </xf>
    <xf numFmtId="0" fontId="70" fillId="0" borderId="3" xfId="8" applyFont="1" applyBorder="1" applyAlignment="1">
      <alignment horizontal="center" vertical="center"/>
    </xf>
    <xf numFmtId="0" fontId="70" fillId="0" borderId="61" xfId="8" applyFont="1" applyBorder="1" applyAlignment="1">
      <alignment horizontal="center" vertical="center"/>
    </xf>
    <xf numFmtId="176" fontId="108" fillId="0" borderId="0" xfId="8" quotePrefix="1" applyNumberFormat="1" applyFont="1">
      <alignment vertical="center"/>
    </xf>
    <xf numFmtId="0" fontId="69" fillId="0" borderId="0" xfId="8" quotePrefix="1" applyFont="1">
      <alignment vertical="center"/>
    </xf>
    <xf numFmtId="0" fontId="157" fillId="0" borderId="0" xfId="0" applyFont="1" applyAlignment="1">
      <alignment vertical="center"/>
    </xf>
    <xf numFmtId="0" fontId="68" fillId="0" borderId="4" xfId="8" quotePrefix="1" applyFont="1" applyBorder="1" applyAlignment="1">
      <alignment horizontal="center" vertical="center"/>
    </xf>
    <xf numFmtId="0" fontId="67" fillId="0" borderId="0" xfId="8" applyFont="1">
      <alignment vertical="center"/>
    </xf>
    <xf numFmtId="0" fontId="157" fillId="0" borderId="0" xfId="8" quotePrefix="1" applyFont="1" applyAlignment="1">
      <alignment horizontal="center" vertical="center"/>
    </xf>
    <xf numFmtId="186" fontId="165" fillId="0" borderId="1" xfId="8" applyNumberFormat="1" applyFont="1" applyBorder="1" applyAlignment="1">
      <alignment horizontal="center" vertical="center"/>
    </xf>
    <xf numFmtId="0" fontId="66" fillId="0" borderId="0" xfId="8" applyFont="1">
      <alignment vertical="center"/>
    </xf>
    <xf numFmtId="0" fontId="65" fillId="0" borderId="0" xfId="8" applyFont="1">
      <alignment vertical="center"/>
    </xf>
    <xf numFmtId="1" fontId="168" fillId="0" borderId="0" xfId="0" applyNumberFormat="1" applyFont="1" applyAlignment="1">
      <alignment horizontal="center" vertical="center"/>
    </xf>
    <xf numFmtId="0" fontId="152" fillId="0" borderId="6" xfId="8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52" fillId="0" borderId="3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0" fontId="167" fillId="0" borderId="4" xfId="0" applyFont="1" applyBorder="1" applyAlignment="1">
      <alignment horizontal="center"/>
    </xf>
    <xf numFmtId="0" fontId="157" fillId="0" borderId="0" xfId="8" applyFont="1" applyAlignment="1">
      <alignment horizontal="center" vertical="center"/>
    </xf>
    <xf numFmtId="0" fontId="81" fillId="0" borderId="4" xfId="8" quotePrefix="1" applyFont="1" applyBorder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176" fontId="152" fillId="0" borderId="61" xfId="8" applyNumberFormat="1" applyBorder="1" applyAlignment="1">
      <alignment horizontal="center" vertical="center"/>
    </xf>
    <xf numFmtId="0" fontId="174" fillId="0" borderId="3" xfId="0" applyFont="1" applyBorder="1" applyAlignment="1">
      <alignment vertical="center"/>
    </xf>
    <xf numFmtId="0" fontId="62" fillId="0" borderId="4" xfId="8" quotePrefix="1" applyFont="1" applyBorder="1" applyAlignment="1">
      <alignment horizontal="center" vertical="center"/>
    </xf>
    <xf numFmtId="180" fontId="62" fillId="0" borderId="0" xfId="8" applyNumberFormat="1" applyFont="1">
      <alignment vertical="center"/>
    </xf>
    <xf numFmtId="0" fontId="110" fillId="0" borderId="3" xfId="8" quotePrefix="1" applyFont="1" applyBorder="1" applyAlignment="1">
      <alignment horizontal="center" vertical="center"/>
    </xf>
    <xf numFmtId="0" fontId="158" fillId="0" borderId="3" xfId="8" quotePrefix="1" applyFont="1" applyBorder="1" applyAlignment="1">
      <alignment horizontal="center" vertical="center"/>
    </xf>
    <xf numFmtId="177" fontId="152" fillId="0" borderId="3" xfId="8" applyNumberFormat="1" applyBorder="1" applyAlignment="1">
      <alignment horizontal="center" vertical="center"/>
    </xf>
    <xf numFmtId="186" fontId="165" fillId="0" borderId="0" xfId="8" quotePrefix="1" applyNumberFormat="1" applyFont="1">
      <alignment vertical="center"/>
    </xf>
    <xf numFmtId="186" fontId="165" fillId="0" borderId="3" xfId="8" applyNumberFormat="1" applyFont="1" applyBorder="1" applyAlignment="1">
      <alignment horizontal="center" vertical="center"/>
    </xf>
    <xf numFmtId="186" fontId="165" fillId="0" borderId="61" xfId="8" applyNumberFormat="1" applyFont="1" applyBorder="1" applyAlignment="1">
      <alignment horizontal="center" vertical="center"/>
    </xf>
    <xf numFmtId="0" fontId="61" fillId="0" borderId="0" xfId="8" applyFont="1">
      <alignment vertical="center"/>
    </xf>
    <xf numFmtId="186" fontId="165" fillId="0" borderId="60" xfId="8" applyNumberFormat="1" applyFont="1" applyBorder="1" applyAlignment="1">
      <alignment horizontal="center" vertical="center"/>
    </xf>
    <xf numFmtId="186" fontId="165" fillId="0" borderId="6" xfId="8" applyNumberFormat="1" applyFont="1" applyBorder="1" applyAlignment="1">
      <alignment horizontal="center" vertical="center"/>
    </xf>
    <xf numFmtId="0" fontId="59" fillId="0" borderId="0" xfId="8" applyFont="1">
      <alignment vertical="center"/>
    </xf>
    <xf numFmtId="176" fontId="152" fillId="0" borderId="62" xfId="8" applyNumberFormat="1" applyBorder="1" applyAlignment="1">
      <alignment horizontal="center" vertical="center"/>
    </xf>
    <xf numFmtId="0" fontId="58" fillId="0" borderId="61" xfId="8" applyFont="1" applyBorder="1" applyAlignment="1">
      <alignment horizontal="center" vertical="center"/>
    </xf>
    <xf numFmtId="0" fontId="58" fillId="0" borderId="62" xfId="8" applyFont="1" applyBorder="1" applyAlignment="1">
      <alignment horizontal="center" vertical="center"/>
    </xf>
    <xf numFmtId="186" fontId="165" fillId="0" borderId="62" xfId="8" applyNumberFormat="1" applyFont="1" applyBorder="1" applyAlignment="1">
      <alignment horizontal="center" vertical="center"/>
    </xf>
    <xf numFmtId="0" fontId="58" fillId="0" borderId="60" xfId="8" applyFont="1" applyBorder="1" applyAlignment="1">
      <alignment horizontal="center" vertical="center"/>
    </xf>
    <xf numFmtId="195" fontId="152" fillId="0" borderId="0" xfId="3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7" fillId="0" borderId="0" xfId="8" applyFont="1">
      <alignment vertical="center"/>
    </xf>
    <xf numFmtId="176" fontId="0" fillId="0" borderId="0" xfId="0" applyNumberFormat="1"/>
    <xf numFmtId="189" fontId="152" fillId="0" borderId="0" xfId="8" quotePrefix="1" applyNumberFormat="1" applyFont="1">
      <alignment vertical="center"/>
    </xf>
    <xf numFmtId="189" fontId="158" fillId="0" borderId="0" xfId="8" quotePrefix="1" applyNumberFormat="1" applyFont="1">
      <alignment vertical="center"/>
    </xf>
    <xf numFmtId="201" fontId="157" fillId="0" borderId="0" xfId="8" quotePrefix="1" applyNumberFormat="1" applyFont="1">
      <alignment vertical="center"/>
    </xf>
    <xf numFmtId="0" fontId="57" fillId="0" borderId="0" xfId="8" applyFont="1" applyFill="1" applyBorder="1" applyAlignment="1">
      <alignment horizontal="left" vertical="center"/>
    </xf>
    <xf numFmtId="1" fontId="133" fillId="0" borderId="0" xfId="8" applyNumberFormat="1" applyFont="1">
      <alignment vertical="center"/>
    </xf>
    <xf numFmtId="0" fontId="152" fillId="0" borderId="6" xfId="8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3" xfId="8" applyBorder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52" fillId="0" borderId="3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0" fontId="167" fillId="0" borderId="4" xfId="0" applyFont="1" applyBorder="1" applyAlignment="1">
      <alignment horizontal="center"/>
    </xf>
    <xf numFmtId="0" fontId="157" fillId="0" borderId="0" xfId="8" applyFont="1" applyAlignment="1">
      <alignment horizontal="center" vertical="center"/>
    </xf>
    <xf numFmtId="176" fontId="152" fillId="0" borderId="61" xfId="8" applyNumberFormat="1" applyBorder="1" applyAlignment="1">
      <alignment horizontal="center" vertical="center"/>
    </xf>
    <xf numFmtId="0" fontId="81" fillId="0" borderId="4" xfId="8" quotePrefix="1" applyFont="1" applyBorder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0" fontId="55" fillId="0" borderId="0" xfId="8" applyFont="1">
      <alignment vertical="center"/>
    </xf>
    <xf numFmtId="0" fontId="55" fillId="0" borderId="0" xfId="8" quotePrefix="1" applyFont="1">
      <alignment vertical="center"/>
    </xf>
    <xf numFmtId="0" fontId="54" fillId="0" borderId="0" xfId="8" applyFont="1">
      <alignment vertical="center"/>
    </xf>
    <xf numFmtId="0" fontId="0" fillId="0" borderId="0" xfId="0" quotePrefix="1"/>
    <xf numFmtId="1" fontId="0" fillId="0" borderId="0" xfId="0" applyNumberFormat="1"/>
    <xf numFmtId="0" fontId="0" fillId="0" borderId="0" xfId="0" applyAlignment="1">
      <alignment horizontal="center" vertical="center"/>
    </xf>
    <xf numFmtId="0" fontId="53" fillId="0" borderId="60" xfId="8" applyFont="1" applyBorder="1" applyAlignment="1">
      <alignment horizontal="center" vertical="center"/>
    </xf>
    <xf numFmtId="179" fontId="52" fillId="0" borderId="4" xfId="8" quotePrefix="1" applyNumberFormat="1" applyFont="1" applyBorder="1" applyAlignment="1">
      <alignment horizontal="center" vertical="center"/>
    </xf>
    <xf numFmtId="179" fontId="52" fillId="0" borderId="4" xfId="8" applyNumberFormat="1" applyFont="1" applyBorder="1" applyAlignment="1">
      <alignment horizontal="center" vertical="center"/>
    </xf>
    <xf numFmtId="0" fontId="52" fillId="0" borderId="4" xfId="8" applyFont="1" applyBorder="1" applyAlignment="1">
      <alignment horizontal="center" vertical="center"/>
    </xf>
    <xf numFmtId="0" fontId="18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7" fontId="152" fillId="0" borderId="4" xfId="8" applyNumberFormat="1" applyFont="1" applyBorder="1" applyAlignment="1">
      <alignment horizontal="center" vertical="center"/>
    </xf>
    <xf numFmtId="0" fontId="51" fillId="0" borderId="0" xfId="8" applyFont="1">
      <alignment vertical="center"/>
    </xf>
    <xf numFmtId="183" fontId="157" fillId="0" borderId="0" xfId="8" quotePrefix="1" applyNumberFormat="1" applyFont="1">
      <alignment vertical="center"/>
    </xf>
    <xf numFmtId="0" fontId="50" fillId="0" borderId="62" xfId="8" applyFont="1" applyBorder="1" applyAlignment="1">
      <alignment horizontal="center" vertical="center"/>
    </xf>
    <xf numFmtId="0" fontId="49" fillId="0" borderId="0" xfId="8" applyFont="1">
      <alignment vertical="center"/>
    </xf>
    <xf numFmtId="186" fontId="49" fillId="0" borderId="0" xfId="8" applyNumberFormat="1" applyFont="1" applyAlignment="1">
      <alignment vertical="center"/>
    </xf>
    <xf numFmtId="0" fontId="152" fillId="0" borderId="6" xfId="8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3" xfId="8" applyBorder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0" fontId="167" fillId="0" borderId="4" xfId="0" applyFont="1" applyBorder="1" applyAlignment="1">
      <alignment horizontal="center"/>
    </xf>
    <xf numFmtId="0" fontId="157" fillId="0" borderId="0" xfId="8" applyFont="1" applyAlignment="1">
      <alignment horizontal="center" vertical="center"/>
    </xf>
    <xf numFmtId="0" fontId="81" fillId="0" borderId="4" xfId="8" quotePrefix="1" applyFont="1" applyBorder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182" fontId="168" fillId="0" borderId="66" xfId="0" applyNumberFormat="1" applyFont="1" applyBorder="1" applyAlignment="1">
      <alignment horizontal="center" vertical="center"/>
    </xf>
    <xf numFmtId="182" fontId="168" fillId="0" borderId="70" xfId="0" applyNumberFormat="1" applyFont="1" applyBorder="1" applyAlignment="1">
      <alignment horizontal="center" vertical="center"/>
    </xf>
    <xf numFmtId="182" fontId="168" fillId="0" borderId="72" xfId="0" applyNumberFormat="1" applyFont="1" applyBorder="1" applyAlignment="1">
      <alignment horizontal="center" vertical="center"/>
    </xf>
    <xf numFmtId="182" fontId="168" fillId="0" borderId="74" xfId="0" applyNumberFormat="1" applyFont="1" applyBorder="1" applyAlignment="1">
      <alignment horizontal="center" vertical="center"/>
    </xf>
    <xf numFmtId="179" fontId="48" fillId="0" borderId="4" xfId="8" quotePrefix="1" applyNumberFormat="1" applyFont="1" applyBorder="1" applyAlignment="1">
      <alignment horizontal="center" vertical="center"/>
    </xf>
    <xf numFmtId="0" fontId="48" fillId="0" borderId="62" xfId="8" applyFont="1" applyBorder="1" applyAlignment="1">
      <alignment horizontal="center" vertical="center"/>
    </xf>
    <xf numFmtId="0" fontId="47" fillId="0" borderId="62" xfId="8" applyFont="1" applyBorder="1" applyAlignment="1">
      <alignment horizontal="center" vertical="center"/>
    </xf>
    <xf numFmtId="0" fontId="159" fillId="0" borderId="7" xfId="0" applyFont="1" applyBorder="1" applyAlignment="1">
      <alignment horizontal="center" vertical="center"/>
    </xf>
    <xf numFmtId="0" fontId="159" fillId="0" borderId="2" xfId="0" applyFont="1" applyBorder="1" applyAlignment="1">
      <alignment horizontal="center" vertical="center"/>
    </xf>
    <xf numFmtId="0" fontId="159" fillId="0" borderId="0" xfId="0" applyFont="1"/>
    <xf numFmtId="0" fontId="158" fillId="0" borderId="3" xfId="0" applyFont="1" applyBorder="1" applyAlignment="1">
      <alignment horizontal="center" vertical="center"/>
    </xf>
    <xf numFmtId="0" fontId="158" fillId="0" borderId="6" xfId="0" applyFont="1" applyBorder="1" applyAlignment="1">
      <alignment horizontal="center" vertical="center"/>
    </xf>
    <xf numFmtId="176" fontId="158" fillId="0" borderId="7" xfId="0" applyNumberFormat="1" applyFont="1" applyBorder="1" applyAlignment="1">
      <alignment horizontal="center" vertical="center"/>
    </xf>
    <xf numFmtId="0" fontId="158" fillId="0" borderId="0" xfId="0" applyFont="1"/>
    <xf numFmtId="176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59" fillId="0" borderId="2" xfId="0" quotePrefix="1" applyFont="1" applyBorder="1" applyAlignment="1">
      <alignment horizontal="center" vertical="center"/>
    </xf>
    <xf numFmtId="0" fontId="158" fillId="0" borderId="0" xfId="8" quotePrefix="1" applyFont="1" applyAlignment="1">
      <alignment horizontal="center" vertical="center"/>
    </xf>
    <xf numFmtId="1" fontId="166" fillId="0" borderId="0" xfId="8" applyNumberFormat="1" applyFont="1">
      <alignment vertical="center"/>
    </xf>
    <xf numFmtId="0" fontId="166" fillId="0" borderId="0" xfId="8" quotePrefix="1" applyFont="1">
      <alignment vertical="center"/>
    </xf>
    <xf numFmtId="0" fontId="166" fillId="0" borderId="0" xfId="8" quotePrefix="1" applyFont="1" applyAlignment="1">
      <alignment horizontal="center" vertical="center"/>
    </xf>
    <xf numFmtId="0" fontId="44" fillId="0" borderId="62" xfId="8" applyFont="1" applyBorder="1" applyAlignment="1">
      <alignment horizontal="center" vertical="center"/>
    </xf>
    <xf numFmtId="0" fontId="43" fillId="0" borderId="0" xfId="8" quotePrefix="1" applyFont="1" applyAlignment="1">
      <alignment horizontal="center" vertical="center"/>
    </xf>
    <xf numFmtId="0" fontId="43" fillId="0" borderId="0" xfId="8" quotePrefix="1" applyFont="1">
      <alignment vertical="center"/>
    </xf>
    <xf numFmtId="0" fontId="42" fillId="0" borderId="0" xfId="8" applyFont="1">
      <alignment vertical="center"/>
    </xf>
    <xf numFmtId="0" fontId="42" fillId="0" borderId="0" xfId="8" applyFont="1" applyFill="1" applyBorder="1" applyAlignment="1">
      <alignment horizontal="left" vertical="center"/>
    </xf>
    <xf numFmtId="41" fontId="0" fillId="0" borderId="0" xfId="9" applyFont="1" applyBorder="1" applyAlignment="1">
      <alignment horizontal="right" vertical="center"/>
    </xf>
    <xf numFmtId="0" fontId="41" fillId="0" borderId="0" xfId="8" applyFont="1">
      <alignment vertical="center"/>
    </xf>
    <xf numFmtId="0" fontId="40" fillId="0" borderId="0" xfId="8" applyFont="1" applyBorder="1" applyAlignment="1">
      <alignment horizontal="left" vertical="center"/>
    </xf>
    <xf numFmtId="187" fontId="0" fillId="0" borderId="0" xfId="9" applyNumberFormat="1" applyFont="1" applyBorder="1" applyAlignment="1">
      <alignment horizontal="center" vertical="center"/>
    </xf>
    <xf numFmtId="187" fontId="165" fillId="0" borderId="0" xfId="8" applyNumberFormat="1" applyFont="1" applyAlignment="1">
      <alignment horizontal="center" vertical="center"/>
    </xf>
    <xf numFmtId="0" fontId="39" fillId="0" borderId="0" xfId="8" applyFont="1">
      <alignment vertical="center"/>
    </xf>
    <xf numFmtId="0" fontId="38" fillId="0" borderId="0" xfId="8" applyFont="1">
      <alignment vertical="center"/>
    </xf>
    <xf numFmtId="0" fontId="37" fillId="0" borderId="0" xfId="8" quotePrefix="1" applyFont="1">
      <alignment vertical="center"/>
    </xf>
    <xf numFmtId="0" fontId="37" fillId="0" borderId="0" xfId="8" applyFont="1">
      <alignment vertical="center"/>
    </xf>
    <xf numFmtId="0" fontId="36" fillId="0" borderId="62" xfId="8" applyFont="1" applyBorder="1" applyAlignment="1">
      <alignment horizontal="center" vertical="center"/>
    </xf>
    <xf numFmtId="0" fontId="35" fillId="0" borderId="0" xfId="8" applyFont="1">
      <alignment vertical="center"/>
    </xf>
    <xf numFmtId="179" fontId="34" fillId="0" borderId="4" xfId="8" quotePrefix="1" applyNumberFormat="1" applyFont="1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0" fontId="157" fillId="0" borderId="0" xfId="8" applyFont="1" applyAlignment="1">
      <alignment horizontal="center" vertical="center"/>
    </xf>
    <xf numFmtId="0" fontId="81" fillId="0" borderId="4" xfId="8" quotePrefix="1" applyFont="1" applyBorder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0" fontId="32" fillId="0" borderId="0" xfId="8" quotePrefix="1" applyFont="1">
      <alignment vertical="center"/>
    </xf>
    <xf numFmtId="0" fontId="194" fillId="0" borderId="4" xfId="0" quotePrefix="1" applyFont="1" applyBorder="1" applyAlignment="1">
      <alignment horizontal="center" vertical="center"/>
    </xf>
    <xf numFmtId="0" fontId="30" fillId="0" borderId="4" xfId="8" quotePrefix="1" applyFont="1" applyBorder="1" applyAlignment="1">
      <alignment horizontal="center" vertical="center"/>
    </xf>
    <xf numFmtId="0" fontId="29" fillId="0" borderId="0" xfId="8" quotePrefix="1" applyFont="1">
      <alignment vertical="center"/>
    </xf>
    <xf numFmtId="0" fontId="28" fillId="0" borderId="60" xfId="8" applyFont="1" applyBorder="1" applyAlignment="1">
      <alignment horizontal="center" vertical="center"/>
    </xf>
    <xf numFmtId="0" fontId="27" fillId="0" borderId="60" xfId="8" applyFont="1" applyBorder="1" applyAlignment="1">
      <alignment horizontal="center" vertical="center"/>
    </xf>
    <xf numFmtId="0" fontId="26" fillId="0" borderId="3" xfId="8" applyFont="1" applyBorder="1" applyAlignment="1">
      <alignment horizontal="center" vertical="center"/>
    </xf>
    <xf numFmtId="202" fontId="82" fillId="0" borderId="0" xfId="8" quotePrefix="1" applyNumberFormat="1" applyFont="1">
      <alignment vertical="center"/>
    </xf>
    <xf numFmtId="0" fontId="25" fillId="0" borderId="0" xfId="8" applyFont="1">
      <alignment vertical="center"/>
    </xf>
    <xf numFmtId="0" fontId="24" fillId="0" borderId="0" xfId="8" quotePrefix="1" applyFont="1">
      <alignment vertical="center"/>
    </xf>
    <xf numFmtId="0" fontId="23" fillId="0" borderId="60" xfId="8" applyFont="1" applyBorder="1" applyAlignment="1">
      <alignment horizontal="center" vertical="center"/>
    </xf>
    <xf numFmtId="176" fontId="22" fillId="0" borderId="0" xfId="8" quotePrefix="1" applyNumberFormat="1" applyFont="1" applyAlignment="1">
      <alignment horizontal="left" vertical="center"/>
    </xf>
    <xf numFmtId="0" fontId="22" fillId="0" borderId="60" xfId="8" applyFont="1" applyBorder="1" applyAlignment="1">
      <alignment horizontal="center" vertical="center"/>
    </xf>
    <xf numFmtId="0" fontId="21" fillId="0" borderId="0" xfId="8" applyFont="1">
      <alignment vertical="center"/>
    </xf>
    <xf numFmtId="0" fontId="21" fillId="0" borderId="0" xfId="8" quotePrefix="1" applyFont="1">
      <alignment vertical="center"/>
    </xf>
    <xf numFmtId="0" fontId="157" fillId="0" borderId="0" xfId="8" applyFont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52" fillId="0" borderId="3" xfId="8" applyNumberFormat="1" applyBorder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81" fillId="0" borderId="4" xfId="8" quotePrefix="1" applyFont="1" applyBorder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179" fontId="20" fillId="0" borderId="4" xfId="8" quotePrefix="1" applyNumberFormat="1" applyFont="1" applyBorder="1" applyAlignment="1">
      <alignment horizontal="center" vertical="center"/>
    </xf>
    <xf numFmtId="0" fontId="19" fillId="0" borderId="0" xfId="8" applyFont="1" applyFill="1" applyBorder="1" applyAlignment="1">
      <alignment horizontal="left" vertical="center"/>
    </xf>
    <xf numFmtId="176" fontId="19" fillId="0" borderId="0" xfId="8" quotePrefix="1" applyNumberFormat="1" applyFont="1" applyAlignment="1">
      <alignment horizontal="left" vertical="center"/>
    </xf>
    <xf numFmtId="176" fontId="19" fillId="0" borderId="4" xfId="8" quotePrefix="1" applyNumberFormat="1" applyFont="1" applyBorder="1" applyAlignment="1">
      <alignment horizontal="center" vertical="center"/>
    </xf>
    <xf numFmtId="176" fontId="19" fillId="0" borderId="7" xfId="8" applyNumberFormat="1" applyFont="1" applyBorder="1" applyAlignment="1">
      <alignment horizontal="center" vertical="center"/>
    </xf>
    <xf numFmtId="176" fontId="19" fillId="0" borderId="4" xfId="8" applyNumberFormat="1" applyFont="1" applyBorder="1" applyAlignment="1">
      <alignment horizontal="center" vertical="center"/>
    </xf>
    <xf numFmtId="176" fontId="19" fillId="0" borderId="2" xfId="8" applyNumberFormat="1" applyFont="1" applyBorder="1" applyAlignment="1">
      <alignment horizontal="center" vertical="center"/>
    </xf>
    <xf numFmtId="0" fontId="157" fillId="0" borderId="0" xfId="8" quotePrefix="1" applyFont="1" applyAlignment="1">
      <alignment horizontal="left" vertical="center"/>
    </xf>
    <xf numFmtId="176" fontId="18" fillId="0" borderId="4" xfId="8" quotePrefix="1" applyNumberFormat="1" applyFont="1" applyBorder="1" applyAlignment="1">
      <alignment horizontal="center" vertical="center"/>
    </xf>
    <xf numFmtId="0" fontId="17" fillId="0" borderId="62" xfId="8" applyFont="1" applyBorder="1" applyAlignment="1">
      <alignment horizontal="center" vertical="center"/>
    </xf>
    <xf numFmtId="0" fontId="17" fillId="0" borderId="0" xfId="8" quotePrefix="1" applyFont="1">
      <alignment vertical="center"/>
    </xf>
    <xf numFmtId="0" fontId="16" fillId="0" borderId="0" xfId="8" applyFont="1">
      <alignment vertical="center"/>
    </xf>
    <xf numFmtId="0" fontId="15" fillId="0" borderId="62" xfId="8" applyFont="1" applyBorder="1" applyAlignment="1">
      <alignment horizontal="center" vertical="center"/>
    </xf>
    <xf numFmtId="0" fontId="14" fillId="0" borderId="60" xfId="8" applyFont="1" applyBorder="1" applyAlignment="1">
      <alignment horizontal="center" vertical="center"/>
    </xf>
    <xf numFmtId="0" fontId="13" fillId="0" borderId="0" xfId="8" quotePrefix="1" applyFont="1">
      <alignment vertical="center"/>
    </xf>
    <xf numFmtId="0" fontId="12" fillId="0" borderId="0" xfId="8" applyFont="1">
      <alignment vertical="center"/>
    </xf>
    <xf numFmtId="176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9" fillId="0" borderId="9" xfId="0" quotePrefix="1" applyFont="1" applyBorder="1" applyAlignment="1">
      <alignment horizontal="center" vertical="center"/>
    </xf>
    <xf numFmtId="0" fontId="159" fillId="0" borderId="1" xfId="0" quotePrefix="1" applyFont="1" applyBorder="1" applyAlignment="1">
      <alignment horizontal="center" vertical="center"/>
    </xf>
    <xf numFmtId="0" fontId="195" fillId="0" borderId="1" xfId="0" quotePrefix="1" applyFont="1" applyBorder="1" applyAlignment="1">
      <alignment horizontal="center" vertical="center"/>
    </xf>
    <xf numFmtId="176" fontId="158" fillId="0" borderId="77" xfId="0" applyNumberFormat="1" applyFont="1" applyBorder="1" applyAlignment="1">
      <alignment horizontal="center" vertical="center"/>
    </xf>
    <xf numFmtId="0" fontId="196" fillId="0" borderId="0" xfId="0" applyFont="1" applyAlignment="1">
      <alignment vertical="center"/>
    </xf>
    <xf numFmtId="41" fontId="178" fillId="0" borderId="0" xfId="3" applyFont="1" applyAlignment="1">
      <alignment vertical="center"/>
    </xf>
    <xf numFmtId="0" fontId="178" fillId="0" borderId="0" xfId="0" applyFont="1" applyAlignment="1">
      <alignment vertical="center"/>
    </xf>
    <xf numFmtId="0" fontId="178" fillId="0" borderId="0" xfId="0" applyFont="1"/>
    <xf numFmtId="0" fontId="196" fillId="0" borderId="0" xfId="0" applyFont="1" applyAlignment="1">
      <alignment horizontal="center" vertical="center"/>
    </xf>
    <xf numFmtId="0" fontId="178" fillId="0" borderId="0" xfId="0" applyFont="1" applyAlignment="1">
      <alignment horizontal="left" vertical="center"/>
    </xf>
    <xf numFmtId="176" fontId="196" fillId="0" borderId="0" xfId="0" applyNumberFormat="1" applyFont="1" applyAlignment="1">
      <alignment vertical="center"/>
    </xf>
    <xf numFmtId="0" fontId="196" fillId="0" borderId="0" xfId="0" applyFont="1"/>
    <xf numFmtId="0" fontId="11" fillId="0" borderId="62" xfId="8" applyFont="1" applyBorder="1" applyAlignment="1">
      <alignment horizontal="center" vertical="center"/>
    </xf>
    <xf numFmtId="0" fontId="11" fillId="0" borderId="6" xfId="8" quotePrefix="1" applyFont="1" applyBorder="1" applyAlignment="1">
      <alignment horizontal="center" vertical="center"/>
    </xf>
    <xf numFmtId="185" fontId="11" fillId="0" borderId="0" xfId="8" quotePrefix="1" applyNumberFormat="1" applyFont="1">
      <alignment vertical="center"/>
    </xf>
    <xf numFmtId="0" fontId="157" fillId="0" borderId="0" xfId="8" applyFont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179" fontId="10" fillId="0" borderId="4" xfId="8" quotePrefix="1" applyNumberFormat="1" applyFont="1" applyBorder="1" applyAlignment="1">
      <alignment horizontal="center" vertical="center"/>
    </xf>
    <xf numFmtId="0" fontId="157" fillId="0" borderId="0" xfId="8" applyFont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179" fontId="9" fillId="0" borderId="4" xfId="8" quotePrefix="1" applyNumberFormat="1" applyFont="1" applyBorder="1" applyAlignment="1">
      <alignment horizontal="center" vertical="center"/>
    </xf>
    <xf numFmtId="0" fontId="9" fillId="0" borderId="0" xfId="8" applyFont="1" applyFill="1" applyBorder="1" applyAlignment="1">
      <alignment horizontal="left" vertical="center"/>
    </xf>
    <xf numFmtId="178" fontId="159" fillId="0" borderId="0" xfId="3" applyNumberFormat="1" applyFont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0" fontId="157" fillId="0" borderId="0" xfId="8" applyFont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179" fontId="8" fillId="0" borderId="4" xfId="8" quotePrefix="1" applyNumberFormat="1" applyFont="1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0" fontId="157" fillId="0" borderId="0" xfId="8" applyFont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0" fontId="171" fillId="0" borderId="1" xfId="0" quotePrefix="1" applyFont="1" applyBorder="1" applyAlignment="1">
      <alignment horizontal="center" vertical="center"/>
    </xf>
    <xf numFmtId="179" fontId="7" fillId="0" borderId="4" xfId="8" quotePrefix="1" applyNumberFormat="1" applyFont="1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0" fontId="157" fillId="0" borderId="0" xfId="8" applyFont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0" fontId="157" fillId="0" borderId="0" xfId="8" applyFont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179" fontId="6" fillId="0" borderId="4" xfId="8" quotePrefix="1" applyNumberFormat="1" applyFont="1" applyBorder="1" applyAlignment="1">
      <alignment horizontal="center" vertical="center"/>
    </xf>
    <xf numFmtId="179" fontId="5" fillId="0" borderId="4" xfId="8" quotePrefix="1" applyNumberFormat="1" applyFont="1" applyBorder="1" applyAlignment="1">
      <alignment horizontal="center" vertical="center"/>
    </xf>
    <xf numFmtId="0" fontId="157" fillId="0" borderId="0" xfId="8" applyFont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0" fontId="157" fillId="0" borderId="0" xfId="8" applyFont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179" fontId="4" fillId="0" borderId="4" xfId="8" quotePrefix="1" applyNumberFormat="1" applyFont="1" applyBorder="1" applyAlignment="1">
      <alignment horizontal="center" vertical="center"/>
    </xf>
    <xf numFmtId="0" fontId="4" fillId="0" borderId="0" xfId="8" applyFont="1">
      <alignment vertical="center"/>
    </xf>
    <xf numFmtId="0" fontId="4" fillId="0" borderId="0" xfId="8" applyFont="1" applyAlignment="1">
      <alignment horizontal="center" vertical="center"/>
    </xf>
    <xf numFmtId="0" fontId="4" fillId="0" borderId="0" xfId="8" quotePrefix="1" applyFont="1" applyAlignment="1">
      <alignment horizontal="center" vertical="center"/>
    </xf>
    <xf numFmtId="0" fontId="55" fillId="0" borderId="0" xfId="8" quotePrefix="1" applyFont="1" applyAlignment="1">
      <alignment horizontal="center" vertical="center"/>
    </xf>
    <xf numFmtId="0" fontId="16" fillId="0" borderId="0" xfId="8" applyFont="1" applyAlignment="1">
      <alignment horizontal="center" vertical="center"/>
    </xf>
    <xf numFmtId="180" fontId="152" fillId="0" borderId="0" xfId="8" applyNumberFormat="1" applyAlignment="1">
      <alignment horizontal="center" vertical="center"/>
    </xf>
    <xf numFmtId="189" fontId="152" fillId="0" borderId="0" xfId="8" quotePrefix="1" applyNumberFormat="1" applyFont="1" applyAlignment="1">
      <alignment horizontal="center" vertical="center"/>
    </xf>
    <xf numFmtId="189" fontId="158" fillId="0" borderId="0" xfId="8" quotePrefix="1" applyNumberFormat="1" applyFont="1" applyAlignment="1">
      <alignment horizontal="center" vertical="center"/>
    </xf>
    <xf numFmtId="183" fontId="157" fillId="0" borderId="0" xfId="8" quotePrefix="1" applyNumberFormat="1" applyFont="1" applyAlignment="1">
      <alignment horizontal="center" vertical="center"/>
    </xf>
    <xf numFmtId="190" fontId="184" fillId="0" borderId="0" xfId="8" quotePrefix="1" applyNumberFormat="1" applyFont="1" applyAlignment="1">
      <alignment horizontal="center" vertical="center"/>
    </xf>
    <xf numFmtId="179" fontId="3" fillId="0" borderId="4" xfId="8" quotePrefix="1" applyNumberFormat="1" applyFont="1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0" fontId="157" fillId="0" borderId="0" xfId="8" applyFont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179" fontId="2" fillId="0" borderId="4" xfId="8" quotePrefix="1" applyNumberFormat="1" applyFont="1" applyBorder="1" applyAlignment="1">
      <alignment horizontal="center" vertical="center"/>
    </xf>
    <xf numFmtId="0" fontId="2" fillId="0" borderId="60" xfId="8" applyFont="1" applyBorder="1" applyAlignment="1">
      <alignment horizontal="center" vertical="center"/>
    </xf>
    <xf numFmtId="0" fontId="2" fillId="0" borderId="0" xfId="8" applyFont="1">
      <alignment vertical="center"/>
    </xf>
    <xf numFmtId="0" fontId="152" fillId="0" borderId="6" xfId="8" applyBorder="1" applyAlignment="1">
      <alignment horizontal="center" vertical="center"/>
    </xf>
    <xf numFmtId="0" fontId="152" fillId="0" borderId="1" xfId="8" applyBorder="1" applyAlignment="1">
      <alignment horizontal="center" vertical="center"/>
    </xf>
    <xf numFmtId="0" fontId="152" fillId="0" borderId="5" xfId="8" applyBorder="1" applyAlignment="1">
      <alignment horizontal="center" vertical="center"/>
    </xf>
    <xf numFmtId="0" fontId="152" fillId="0" borderId="13" xfId="8" applyBorder="1" applyAlignment="1">
      <alignment horizontal="center" vertical="center"/>
    </xf>
    <xf numFmtId="0" fontId="152" fillId="0" borderId="11" xfId="8" applyBorder="1" applyAlignment="1">
      <alignment horizontal="center" vertical="center"/>
    </xf>
    <xf numFmtId="0" fontId="152" fillId="0" borderId="14" xfId="8" applyBorder="1" applyAlignment="1">
      <alignment horizontal="center" vertical="center"/>
    </xf>
    <xf numFmtId="0" fontId="152" fillId="0" borderId="12" xfId="8" applyBorder="1" applyAlignment="1">
      <alignment horizontal="center" vertical="center"/>
    </xf>
    <xf numFmtId="0" fontId="152" fillId="0" borderId="38" xfId="8" applyBorder="1" applyAlignment="1">
      <alignment horizontal="center" vertical="center"/>
    </xf>
    <xf numFmtId="0" fontId="152" fillId="0" borderId="5" xfId="8" applyFont="1" applyBorder="1" applyAlignment="1">
      <alignment horizontal="center" vertical="center" wrapText="1"/>
    </xf>
    <xf numFmtId="0" fontId="152" fillId="0" borderId="12" xfId="8" applyFont="1" applyBorder="1" applyAlignment="1">
      <alignment horizontal="center" vertical="center" wrapText="1"/>
    </xf>
    <xf numFmtId="0" fontId="152" fillId="0" borderId="13" xfId="8" applyFont="1" applyBorder="1" applyAlignment="1">
      <alignment horizontal="center" vertical="center" wrapText="1"/>
    </xf>
    <xf numFmtId="0" fontId="152" fillId="0" borderId="38" xfId="8" applyFont="1" applyBorder="1" applyAlignment="1">
      <alignment horizontal="center" vertical="center" wrapText="1"/>
    </xf>
    <xf numFmtId="0" fontId="118" fillId="0" borderId="4" xfId="8" applyFont="1" applyBorder="1" applyAlignment="1">
      <alignment horizontal="center" vertical="center"/>
    </xf>
    <xf numFmtId="0" fontId="146" fillId="0" borderId="4" xfId="8" applyFont="1" applyBorder="1" applyAlignment="1">
      <alignment horizontal="center" vertical="center"/>
    </xf>
    <xf numFmtId="178" fontId="159" fillId="0" borderId="0" xfId="3" applyNumberFormat="1" applyFont="1" applyAlignment="1">
      <alignment horizontal="center" vertical="center"/>
    </xf>
    <xf numFmtId="0" fontId="104" fillId="0" borderId="6" xfId="8" applyFont="1" applyBorder="1" applyAlignment="1">
      <alignment horizontal="center" vertical="center"/>
    </xf>
    <xf numFmtId="0" fontId="146" fillId="0" borderId="6" xfId="8" applyFont="1" applyBorder="1" applyAlignment="1">
      <alignment horizontal="center" vertical="center"/>
    </xf>
    <xf numFmtId="180" fontId="152" fillId="0" borderId="34" xfId="8" applyNumberFormat="1" applyBorder="1" applyAlignment="1">
      <alignment horizontal="center" vertical="center"/>
    </xf>
    <xf numFmtId="180" fontId="152" fillId="0" borderId="35" xfId="8" applyNumberFormat="1" applyBorder="1" applyAlignment="1">
      <alignment horizontal="center" vertical="center"/>
    </xf>
    <xf numFmtId="179" fontId="152" fillId="0" borderId="34" xfId="8" applyNumberFormat="1" applyBorder="1" applyAlignment="1">
      <alignment horizontal="center" vertical="center"/>
    </xf>
    <xf numFmtId="179" fontId="152" fillId="0" borderId="35" xfId="8" applyNumberFormat="1" applyBorder="1" applyAlignment="1">
      <alignment horizontal="center" vertical="center"/>
    </xf>
    <xf numFmtId="0" fontId="152" fillId="0" borderId="40" xfId="8" applyBorder="1" applyAlignment="1">
      <alignment horizontal="center" vertical="center"/>
    </xf>
    <xf numFmtId="0" fontId="161" fillId="0" borderId="0" xfId="8" applyFont="1" applyAlignment="1">
      <alignment horizontal="center" vertical="center"/>
    </xf>
    <xf numFmtId="0" fontId="106" fillId="0" borderId="6" xfId="8" applyFont="1" applyBorder="1" applyAlignment="1">
      <alignment horizontal="center" vertical="center" wrapText="1"/>
    </xf>
    <xf numFmtId="0" fontId="152" fillId="0" borderId="3" xfId="8" applyBorder="1" applyAlignment="1">
      <alignment horizontal="center" vertical="center"/>
    </xf>
    <xf numFmtId="0" fontId="104" fillId="0" borderId="0" xfId="8" applyFont="1" applyAlignment="1">
      <alignment horizontal="left" vertical="center"/>
    </xf>
    <xf numFmtId="0" fontId="143" fillId="0" borderId="0" xfId="8" applyFont="1" applyAlignment="1">
      <alignment horizontal="left" vertical="center"/>
    </xf>
    <xf numFmtId="0" fontId="152" fillId="0" borderId="18" xfId="8" applyBorder="1" applyAlignment="1">
      <alignment horizontal="center" vertical="center"/>
    </xf>
    <xf numFmtId="0" fontId="152" fillId="0" borderId="19" xfId="8" applyBorder="1" applyAlignment="1">
      <alignment horizontal="center" vertical="center"/>
    </xf>
    <xf numFmtId="0" fontId="152" fillId="0" borderId="39" xfId="8" applyBorder="1" applyAlignment="1">
      <alignment horizontal="center" vertical="center"/>
    </xf>
    <xf numFmtId="0" fontId="152" fillId="0" borderId="8" xfId="8" applyBorder="1" applyAlignment="1">
      <alignment horizontal="center" vertical="center"/>
    </xf>
    <xf numFmtId="0" fontId="152" fillId="0" borderId="2" xfId="8" applyBorder="1" applyAlignment="1">
      <alignment horizontal="center" vertical="center"/>
    </xf>
    <xf numFmtId="0" fontId="152" fillId="0" borderId="4" xfId="8" applyBorder="1" applyAlignment="1">
      <alignment horizontal="center" vertical="center"/>
    </xf>
    <xf numFmtId="0" fontId="152" fillId="0" borderId="25" xfId="8" applyBorder="1" applyAlignment="1">
      <alignment horizontal="center" vertical="center"/>
    </xf>
    <xf numFmtId="0" fontId="152" fillId="0" borderId="20" xfId="8" applyBorder="1" applyAlignment="1">
      <alignment horizontal="center" vertical="center"/>
    </xf>
    <xf numFmtId="180" fontId="152" fillId="0" borderId="7" xfId="8" applyNumberFormat="1" applyBorder="1" applyAlignment="1">
      <alignment horizontal="center" vertical="center"/>
    </xf>
    <xf numFmtId="180" fontId="152" fillId="0" borderId="2" xfId="8" applyNumberFormat="1" applyBorder="1" applyAlignment="1">
      <alignment horizontal="center" vertical="center"/>
    </xf>
    <xf numFmtId="179" fontId="152" fillId="0" borderId="7" xfId="8" applyNumberFormat="1" applyBorder="1" applyAlignment="1">
      <alignment horizontal="center" vertical="center"/>
    </xf>
    <xf numFmtId="179" fontId="152" fillId="0" borderId="2" xfId="8" applyNumberFormat="1" applyBorder="1" applyAlignment="1">
      <alignment horizontal="center" vertical="center"/>
    </xf>
    <xf numFmtId="176" fontId="152" fillId="0" borderId="3" xfId="3" quotePrefix="1" applyNumberFormat="1" applyFont="1" applyBorder="1" applyAlignment="1">
      <alignment horizontal="center" vertical="center"/>
    </xf>
    <xf numFmtId="180" fontId="0" fillId="0" borderId="7" xfId="9" applyNumberFormat="1" applyFont="1" applyBorder="1" applyAlignment="1">
      <alignment horizontal="center" vertical="center"/>
    </xf>
    <xf numFmtId="180" fontId="0" fillId="0" borderId="2" xfId="9" applyNumberFormat="1" applyFont="1" applyBorder="1" applyAlignment="1">
      <alignment horizontal="center" vertical="center"/>
    </xf>
    <xf numFmtId="3" fontId="138" fillId="0" borderId="1" xfId="8" quotePrefix="1" applyNumberFormat="1" applyFont="1" applyBorder="1" applyAlignment="1">
      <alignment horizontal="center" vertical="center"/>
    </xf>
    <xf numFmtId="3" fontId="143" fillId="0" borderId="1" xfId="8" quotePrefix="1" applyNumberFormat="1" applyFont="1" applyBorder="1" applyAlignment="1">
      <alignment horizontal="center" vertical="center"/>
    </xf>
    <xf numFmtId="0" fontId="152" fillId="0" borderId="26" xfId="8" applyBorder="1" applyAlignment="1">
      <alignment horizontal="center" vertical="center"/>
    </xf>
    <xf numFmtId="180" fontId="152" fillId="0" borderId="22" xfId="3" applyNumberFormat="1" applyFont="1" applyBorder="1" applyAlignment="1">
      <alignment horizontal="center" vertical="center"/>
    </xf>
    <xf numFmtId="184" fontId="152" fillId="0" borderId="22" xfId="8" applyNumberFormat="1" applyBorder="1" applyAlignment="1">
      <alignment horizontal="center" vertical="center"/>
    </xf>
    <xf numFmtId="180" fontId="152" fillId="0" borderId="4" xfId="8" applyNumberFormat="1" applyFont="1" applyBorder="1" applyAlignment="1">
      <alignment horizontal="center" vertical="center"/>
    </xf>
    <xf numFmtId="184" fontId="152" fillId="0" borderId="4" xfId="8" applyNumberFormat="1" applyBorder="1" applyAlignment="1">
      <alignment horizontal="center" vertical="center"/>
    </xf>
    <xf numFmtId="180" fontId="152" fillId="0" borderId="42" xfId="8" applyNumberFormat="1" applyBorder="1" applyAlignment="1">
      <alignment horizontal="center" vertical="center"/>
    </xf>
    <xf numFmtId="180" fontId="152" fillId="0" borderId="23" xfId="8" applyNumberFormat="1" applyBorder="1" applyAlignment="1">
      <alignment horizontal="center" vertical="center"/>
    </xf>
    <xf numFmtId="180" fontId="152" fillId="0" borderId="43" xfId="8" applyNumberFormat="1" applyBorder="1" applyAlignment="1">
      <alignment horizontal="center" vertical="center"/>
    </xf>
    <xf numFmtId="180" fontId="152" fillId="0" borderId="44" xfId="8" applyNumberFormat="1" applyBorder="1" applyAlignment="1">
      <alignment horizontal="center" vertical="center"/>
    </xf>
    <xf numFmtId="180" fontId="163" fillId="0" borderId="43" xfId="8" applyNumberFormat="1" applyFont="1" applyBorder="1" applyAlignment="1">
      <alignment horizontal="center" vertical="center"/>
    </xf>
    <xf numFmtId="180" fontId="163" fillId="0" borderId="44" xfId="8" applyNumberFormat="1" applyFont="1" applyBorder="1" applyAlignment="1">
      <alignment horizontal="center" vertical="center"/>
    </xf>
    <xf numFmtId="180" fontId="163" fillId="0" borderId="9" xfId="8" applyNumberFormat="1" applyFont="1" applyBorder="1" applyAlignment="1">
      <alignment horizontal="center" vertical="center"/>
    </xf>
    <xf numFmtId="180" fontId="163" fillId="0" borderId="16" xfId="8" applyNumberFormat="1" applyFont="1" applyBorder="1" applyAlignment="1">
      <alignment horizontal="center" vertical="center"/>
    </xf>
    <xf numFmtId="176" fontId="163" fillId="0" borderId="40" xfId="8" applyNumberFormat="1" applyFont="1" applyBorder="1" applyAlignment="1">
      <alignment horizontal="center" vertical="center"/>
    </xf>
    <xf numFmtId="176" fontId="163" fillId="0" borderId="1" xfId="8" applyNumberFormat="1" applyFont="1" applyBorder="1" applyAlignment="1">
      <alignment horizontal="center" vertical="center"/>
    </xf>
    <xf numFmtId="176" fontId="152" fillId="0" borderId="40" xfId="8" applyNumberFormat="1" applyBorder="1" applyAlignment="1">
      <alignment horizontal="center" vertical="center"/>
    </xf>
    <xf numFmtId="176" fontId="152" fillId="0" borderId="1" xfId="8" applyNumberFormat="1" applyBorder="1" applyAlignment="1">
      <alignment horizontal="center" vertical="center"/>
    </xf>
    <xf numFmtId="180" fontId="152" fillId="0" borderId="48" xfId="8" applyNumberFormat="1" applyBorder="1" applyAlignment="1">
      <alignment horizontal="center" vertical="center"/>
    </xf>
    <xf numFmtId="180" fontId="152" fillId="0" borderId="49" xfId="8" applyNumberFormat="1" applyBorder="1" applyAlignment="1">
      <alignment horizontal="center" vertical="center"/>
    </xf>
    <xf numFmtId="179" fontId="0" fillId="0" borderId="7" xfId="9" applyNumberFormat="1" applyFont="1" applyBorder="1" applyAlignment="1">
      <alignment horizontal="center" vertical="center"/>
    </xf>
    <xf numFmtId="179" fontId="0" fillId="0" borderId="2" xfId="9" applyNumberFormat="1" applyFont="1" applyBorder="1" applyAlignment="1">
      <alignment horizontal="center" vertical="center"/>
    </xf>
    <xf numFmtId="180" fontId="0" fillId="0" borderId="4" xfId="9" applyNumberFormat="1" applyFont="1" applyBorder="1" applyAlignment="1">
      <alignment horizontal="center" vertical="center"/>
    </xf>
    <xf numFmtId="184" fontId="0" fillId="0" borderId="4" xfId="9" applyNumberFormat="1" applyFont="1" applyBorder="1" applyAlignment="1">
      <alignment horizontal="center" vertical="center"/>
    </xf>
    <xf numFmtId="176" fontId="163" fillId="0" borderId="6" xfId="8" applyNumberFormat="1" applyFont="1" applyBorder="1" applyAlignment="1">
      <alignment horizontal="center" vertical="center"/>
    </xf>
    <xf numFmtId="176" fontId="163" fillId="0" borderId="3" xfId="8" applyNumberFormat="1" applyFont="1" applyBorder="1" applyAlignment="1">
      <alignment horizontal="center" vertical="center"/>
    </xf>
    <xf numFmtId="176" fontId="152" fillId="0" borderId="6" xfId="8" applyNumberFormat="1" applyBorder="1" applyAlignment="1">
      <alignment horizontal="center" vertical="center"/>
    </xf>
    <xf numFmtId="176" fontId="152" fillId="0" borderId="3" xfId="8" applyNumberFormat="1" applyBorder="1" applyAlignment="1">
      <alignment horizontal="center" vertical="center"/>
    </xf>
    <xf numFmtId="180" fontId="152" fillId="0" borderId="10" xfId="8" applyNumberFormat="1" applyBorder="1" applyAlignment="1">
      <alignment horizontal="center" vertical="center" wrapText="1"/>
    </xf>
    <xf numFmtId="180" fontId="152" fillId="0" borderId="54" xfId="8" applyNumberFormat="1" applyBorder="1" applyAlignment="1">
      <alignment horizontal="center" vertical="center" wrapText="1"/>
    </xf>
    <xf numFmtId="180" fontId="152" fillId="0" borderId="48" xfId="8" applyNumberFormat="1" applyBorder="1" applyAlignment="1">
      <alignment horizontal="center" vertical="center" wrapText="1"/>
    </xf>
    <xf numFmtId="180" fontId="152" fillId="0" borderId="49" xfId="8" applyNumberFormat="1" applyBorder="1" applyAlignment="1">
      <alignment horizontal="center" vertical="center" wrapText="1"/>
    </xf>
    <xf numFmtId="180" fontId="163" fillId="0" borderId="48" xfId="8" applyNumberFormat="1" applyFont="1" applyBorder="1" applyAlignment="1">
      <alignment horizontal="center" vertical="center"/>
    </xf>
    <xf numFmtId="180" fontId="163" fillId="0" borderId="49" xfId="8" applyNumberFormat="1" applyFont="1" applyBorder="1" applyAlignment="1">
      <alignment horizontal="center" vertical="center"/>
    </xf>
    <xf numFmtId="180" fontId="152" fillId="0" borderId="11" xfId="8" applyNumberFormat="1" applyBorder="1" applyAlignment="1">
      <alignment horizontal="center" vertical="center"/>
    </xf>
    <xf numFmtId="180" fontId="152" fillId="0" borderId="33" xfId="8" applyNumberFormat="1" applyBorder="1" applyAlignment="1">
      <alignment horizontal="center" vertical="center"/>
    </xf>
    <xf numFmtId="180" fontId="152" fillId="0" borderId="50" xfId="8" applyNumberFormat="1" applyBorder="1" applyAlignment="1">
      <alignment horizontal="center" vertical="center" wrapText="1"/>
    </xf>
    <xf numFmtId="180" fontId="152" fillId="0" borderId="51" xfId="8" applyNumberFormat="1" applyBorder="1" applyAlignment="1">
      <alignment horizontal="center" vertical="center" wrapText="1"/>
    </xf>
    <xf numFmtId="180" fontId="163" fillId="0" borderId="5" xfId="8" applyNumberFormat="1" applyFont="1" applyBorder="1" applyAlignment="1">
      <alignment horizontal="center" vertical="center"/>
    </xf>
    <xf numFmtId="180" fontId="163" fillId="0" borderId="12" xfId="8" applyNumberFormat="1" applyFont="1" applyBorder="1" applyAlignment="1">
      <alignment horizontal="center" vertical="center"/>
    </xf>
    <xf numFmtId="180" fontId="163" fillId="0" borderId="32" xfId="8" applyNumberFormat="1" applyFont="1" applyBorder="1" applyAlignment="1">
      <alignment horizontal="center" vertical="center"/>
    </xf>
    <xf numFmtId="180" fontId="163" fillId="0" borderId="27" xfId="8" applyNumberFormat="1" applyFont="1" applyBorder="1" applyAlignment="1">
      <alignment horizontal="center" vertical="center"/>
    </xf>
    <xf numFmtId="180" fontId="152" fillId="0" borderId="32" xfId="8" applyNumberFormat="1" applyBorder="1" applyAlignment="1">
      <alignment horizontal="center" vertical="center" wrapText="1"/>
    </xf>
    <xf numFmtId="180" fontId="152" fillId="0" borderId="27" xfId="8" applyNumberFormat="1" applyBorder="1" applyAlignment="1">
      <alignment horizontal="center" vertical="center" wrapText="1"/>
    </xf>
    <xf numFmtId="180" fontId="152" fillId="0" borderId="31" xfId="8" applyNumberFormat="1" applyBorder="1" applyAlignment="1">
      <alignment horizontal="center" vertical="center"/>
    </xf>
    <xf numFmtId="180" fontId="152" fillId="0" borderId="30" xfId="8" applyNumberFormat="1" applyBorder="1" applyAlignment="1">
      <alignment horizontal="center" vertical="center"/>
    </xf>
    <xf numFmtId="180" fontId="152" fillId="0" borderId="5" xfId="8" applyNumberFormat="1" applyBorder="1" applyAlignment="1">
      <alignment horizontal="center" vertical="center"/>
    </xf>
    <xf numFmtId="180" fontId="152" fillId="0" borderId="12" xfId="8" applyNumberFormat="1" applyBorder="1" applyAlignment="1">
      <alignment horizontal="center" vertical="center"/>
    </xf>
    <xf numFmtId="180" fontId="152" fillId="0" borderId="36" xfId="8" applyNumberFormat="1" applyBorder="1" applyAlignment="1">
      <alignment horizontal="center" vertical="center"/>
    </xf>
    <xf numFmtId="180" fontId="152" fillId="0" borderId="37" xfId="8" applyNumberFormat="1" applyBorder="1" applyAlignment="1">
      <alignment horizontal="center" vertical="center"/>
    </xf>
    <xf numFmtId="180" fontId="163" fillId="0" borderId="36" xfId="8" applyNumberFormat="1" applyFont="1" applyBorder="1" applyAlignment="1">
      <alignment horizontal="center" vertical="center"/>
    </xf>
    <xf numFmtId="180" fontId="163" fillId="0" borderId="37" xfId="8" applyNumberFormat="1" applyFont="1" applyBorder="1" applyAlignment="1">
      <alignment horizontal="center" vertical="center"/>
    </xf>
    <xf numFmtId="180" fontId="152" fillId="0" borderId="5" xfId="8" applyNumberFormat="1" applyBorder="1" applyAlignment="1">
      <alignment horizontal="center" vertical="center" wrapText="1"/>
    </xf>
    <xf numFmtId="180" fontId="152" fillId="0" borderId="12" xfId="8" applyNumberFormat="1" applyBorder="1" applyAlignment="1">
      <alignment horizontal="center" vertical="center" wrapText="1"/>
    </xf>
    <xf numFmtId="180" fontId="163" fillId="0" borderId="55" xfId="8" applyNumberFormat="1" applyFont="1" applyBorder="1" applyAlignment="1">
      <alignment horizontal="center" vertical="center"/>
    </xf>
    <xf numFmtId="180" fontId="163" fillId="0" borderId="56" xfId="8" applyNumberFormat="1" applyFont="1" applyBorder="1" applyAlignment="1">
      <alignment horizontal="center" vertical="center"/>
    </xf>
    <xf numFmtId="0" fontId="126" fillId="0" borderId="6" xfId="8" applyFont="1" applyBorder="1" applyAlignment="1">
      <alignment horizontal="center" vertical="center"/>
    </xf>
    <xf numFmtId="0" fontId="126" fillId="0" borderId="1" xfId="8" applyFont="1" applyBorder="1" applyAlignment="1">
      <alignment horizontal="center" vertical="center"/>
    </xf>
    <xf numFmtId="176" fontId="123" fillId="0" borderId="5" xfId="8" applyNumberFormat="1" applyFont="1" applyBorder="1" applyAlignment="1">
      <alignment horizontal="center" vertical="center"/>
    </xf>
    <xf numFmtId="176" fontId="125" fillId="0" borderId="12" xfId="8" applyNumberFormat="1" applyFont="1" applyBorder="1" applyAlignment="1">
      <alignment horizontal="center" vertical="center"/>
    </xf>
    <xf numFmtId="176" fontId="123" fillId="0" borderId="7" xfId="8" applyNumberFormat="1" applyFont="1" applyBorder="1" applyAlignment="1">
      <alignment horizontal="center" vertical="center"/>
    </xf>
    <xf numFmtId="176" fontId="126" fillId="0" borderId="2" xfId="8" applyNumberFormat="1" applyFont="1" applyBorder="1" applyAlignment="1">
      <alignment horizontal="center" vertical="center"/>
    </xf>
    <xf numFmtId="176" fontId="125" fillId="0" borderId="5" xfId="8" applyNumberFormat="1" applyFont="1" applyBorder="1" applyAlignment="1">
      <alignment horizontal="center" vertical="center"/>
    </xf>
    <xf numFmtId="176" fontId="125" fillId="0" borderId="9" xfId="8" applyNumberFormat="1" applyFont="1" applyBorder="1" applyAlignment="1">
      <alignment horizontal="center" vertical="center"/>
    </xf>
    <xf numFmtId="176" fontId="125" fillId="0" borderId="16" xfId="8" applyNumberFormat="1" applyFont="1" applyBorder="1" applyAlignment="1">
      <alignment horizontal="center" vertical="center"/>
    </xf>
    <xf numFmtId="0" fontId="152" fillId="0" borderId="4" xfId="8" applyFont="1" applyBorder="1" applyAlignment="1">
      <alignment horizontal="center" vertical="center"/>
    </xf>
    <xf numFmtId="0" fontId="152" fillId="0" borderId="7" xfId="8" applyFont="1" applyBorder="1" applyAlignment="1">
      <alignment horizontal="center" vertical="center"/>
    </xf>
    <xf numFmtId="0" fontId="152" fillId="0" borderId="2" xfId="8" applyFont="1" applyBorder="1" applyAlignment="1">
      <alignment horizontal="center" vertical="center"/>
    </xf>
    <xf numFmtId="176" fontId="152" fillId="0" borderId="4" xfId="8" applyNumberFormat="1" applyBorder="1" applyAlignment="1">
      <alignment horizontal="center" vertical="center"/>
    </xf>
    <xf numFmtId="176" fontId="152" fillId="0" borderId="7" xfId="8" applyNumberFormat="1" applyBorder="1" applyAlignment="1">
      <alignment horizontal="center" vertical="center"/>
    </xf>
    <xf numFmtId="176" fontId="152" fillId="0" borderId="2" xfId="8" applyNumberFormat="1" applyBorder="1" applyAlignment="1">
      <alignment horizontal="center" vertical="center"/>
    </xf>
    <xf numFmtId="0" fontId="167" fillId="0" borderId="4" xfId="0" applyFont="1" applyBorder="1" applyAlignment="1">
      <alignment horizontal="center"/>
    </xf>
    <xf numFmtId="0" fontId="175" fillId="0" borderId="4" xfId="0" quotePrefix="1" applyFont="1" applyBorder="1" applyAlignment="1">
      <alignment horizontal="center"/>
    </xf>
    <xf numFmtId="0" fontId="175" fillId="0" borderId="7" xfId="0" applyFont="1" applyBorder="1" applyAlignment="1">
      <alignment horizontal="center"/>
    </xf>
    <xf numFmtId="0" fontId="175" fillId="0" borderId="58" xfId="0" applyFont="1" applyBorder="1" applyAlignment="1">
      <alignment horizontal="center"/>
    </xf>
    <xf numFmtId="0" fontId="175" fillId="0" borderId="59" xfId="0" applyFont="1" applyBorder="1" applyAlignment="1">
      <alignment horizontal="center"/>
    </xf>
    <xf numFmtId="0" fontId="175" fillId="0" borderId="2" xfId="0" applyFont="1" applyBorder="1" applyAlignment="1">
      <alignment horizontal="center"/>
    </xf>
    <xf numFmtId="0" fontId="157" fillId="0" borderId="0" xfId="8" applyFont="1" applyAlignment="1">
      <alignment horizontal="center" vertical="center"/>
    </xf>
    <xf numFmtId="177" fontId="167" fillId="0" borderId="4" xfId="0" applyNumberFormat="1" applyFont="1" applyBorder="1" applyAlignment="1">
      <alignment horizontal="center"/>
    </xf>
    <xf numFmtId="177" fontId="175" fillId="0" borderId="59" xfId="0" applyNumberFormat="1" applyFont="1" applyBorder="1" applyAlignment="1">
      <alignment horizontal="center"/>
    </xf>
    <xf numFmtId="177" fontId="175" fillId="0" borderId="2" xfId="0" applyNumberFormat="1" applyFont="1" applyBorder="1" applyAlignment="1">
      <alignment horizontal="center"/>
    </xf>
    <xf numFmtId="0" fontId="175" fillId="0" borderId="2" xfId="0" quotePrefix="1" applyFont="1" applyBorder="1" applyAlignment="1">
      <alignment horizontal="center"/>
    </xf>
    <xf numFmtId="176" fontId="175" fillId="0" borderId="4" xfId="0" applyNumberFormat="1" applyFont="1" applyBorder="1" applyAlignment="1">
      <alignment horizontal="center"/>
    </xf>
    <xf numFmtId="176" fontId="175" fillId="0" borderId="7" xfId="0" applyNumberFormat="1" applyFont="1" applyBorder="1" applyAlignment="1">
      <alignment horizontal="center"/>
    </xf>
    <xf numFmtId="176" fontId="175" fillId="0" borderId="58" xfId="0" applyNumberFormat="1" applyFont="1" applyBorder="1" applyAlignment="1">
      <alignment horizontal="center"/>
    </xf>
    <xf numFmtId="176" fontId="175" fillId="0" borderId="59" xfId="0" applyNumberFormat="1" applyFont="1" applyBorder="1" applyAlignment="1">
      <alignment horizontal="center"/>
    </xf>
    <xf numFmtId="176" fontId="175" fillId="0" borderId="2" xfId="0" applyNumberFormat="1" applyFont="1" applyBorder="1" applyAlignment="1">
      <alignment horizontal="center"/>
    </xf>
    <xf numFmtId="0" fontId="177" fillId="0" borderId="0" xfId="8" applyFont="1" applyAlignment="1">
      <alignment horizontal="left" vertical="center"/>
    </xf>
    <xf numFmtId="0" fontId="178" fillId="0" borderId="0" xfId="8" applyFont="1" applyAlignment="1">
      <alignment horizontal="left" vertical="center"/>
    </xf>
    <xf numFmtId="0" fontId="94" fillId="0" borderId="0" xfId="8" applyFont="1" applyAlignment="1">
      <alignment horizontal="left" vertical="center"/>
    </xf>
    <xf numFmtId="0" fontId="91" fillId="0" borderId="4" xfId="8" applyFont="1" applyBorder="1" applyAlignment="1">
      <alignment horizontal="center" vertical="center"/>
    </xf>
    <xf numFmtId="0" fontId="173" fillId="0" borderId="0" xfId="8" applyFont="1" applyAlignment="1">
      <alignment horizontal="center" vertical="center"/>
    </xf>
    <xf numFmtId="0" fontId="110" fillId="0" borderId="6" xfId="8" applyFont="1" applyBorder="1" applyAlignment="1">
      <alignment horizontal="center" vertical="center"/>
    </xf>
    <xf numFmtId="0" fontId="110" fillId="0" borderId="1" xfId="8" applyFont="1" applyBorder="1" applyAlignment="1">
      <alignment horizontal="center" vertical="center"/>
    </xf>
    <xf numFmtId="0" fontId="102" fillId="0" borderId="6" xfId="8" applyFont="1" applyBorder="1" applyAlignment="1">
      <alignment horizontal="center" vertical="center" wrapText="1"/>
    </xf>
    <xf numFmtId="0" fontId="102" fillId="0" borderId="1" xfId="8" applyFont="1" applyBorder="1" applyAlignment="1">
      <alignment horizontal="center" vertical="center"/>
    </xf>
    <xf numFmtId="0" fontId="104" fillId="0" borderId="1" xfId="8" applyFont="1" applyBorder="1" applyAlignment="1">
      <alignment horizontal="center" vertical="center"/>
    </xf>
    <xf numFmtId="2" fontId="83" fillId="0" borderId="0" xfId="8" quotePrefix="1" applyNumberFormat="1" applyFont="1" applyAlignment="1">
      <alignment horizontal="center" vertical="center"/>
    </xf>
    <xf numFmtId="2" fontId="143" fillId="0" borderId="0" xfId="8" applyNumberFormat="1" applyFont="1" applyAlignment="1">
      <alignment horizontal="center" vertical="center"/>
    </xf>
    <xf numFmtId="0" fontId="93" fillId="0" borderId="4" xfId="8" applyFont="1" applyBorder="1" applyAlignment="1">
      <alignment horizontal="center" vertical="center"/>
    </xf>
    <xf numFmtId="0" fontId="83" fillId="0" borderId="6" xfId="8" applyFont="1" applyBorder="1" applyAlignment="1">
      <alignment horizontal="center" vertical="center"/>
    </xf>
    <xf numFmtId="176" fontId="152" fillId="0" borderId="61" xfId="8" applyNumberFormat="1" applyBorder="1" applyAlignment="1">
      <alignment horizontal="center" vertical="center"/>
    </xf>
    <xf numFmtId="176" fontId="152" fillId="0" borderId="48" xfId="8" applyNumberFormat="1" applyBorder="1" applyAlignment="1">
      <alignment horizontal="center" vertical="center"/>
    </xf>
    <xf numFmtId="176" fontId="152" fillId="0" borderId="49" xfId="8" applyNumberFormat="1" applyBorder="1" applyAlignment="1">
      <alignment horizontal="center" vertical="center"/>
    </xf>
    <xf numFmtId="176" fontId="152" fillId="0" borderId="5" xfId="8" applyNumberFormat="1" applyBorder="1" applyAlignment="1">
      <alignment horizontal="center" vertical="center"/>
    </xf>
    <xf numFmtId="176" fontId="152" fillId="0" borderId="12" xfId="8" applyNumberFormat="1" applyBorder="1" applyAlignment="1">
      <alignment horizontal="center" vertical="center"/>
    </xf>
    <xf numFmtId="176" fontId="152" fillId="0" borderId="10" xfId="8" applyNumberFormat="1" applyBorder="1" applyAlignment="1">
      <alignment horizontal="center" vertical="center"/>
    </xf>
    <xf numFmtId="176" fontId="152" fillId="0" borderId="54" xfId="8" applyNumberFormat="1" applyBorder="1" applyAlignment="1">
      <alignment horizontal="center" vertical="center"/>
    </xf>
    <xf numFmtId="176" fontId="152" fillId="0" borderId="32" xfId="8" applyNumberFormat="1" applyBorder="1" applyAlignment="1">
      <alignment horizontal="center" vertical="center"/>
    </xf>
    <xf numFmtId="176" fontId="152" fillId="0" borderId="27" xfId="8" applyNumberFormat="1" applyBorder="1" applyAlignment="1">
      <alignment horizontal="center" vertical="center"/>
    </xf>
    <xf numFmtId="0" fontId="78" fillId="0" borderId="4" xfId="8" quotePrefix="1" applyFont="1" applyBorder="1" applyAlignment="1">
      <alignment horizontal="center" vertical="center"/>
    </xf>
    <xf numFmtId="0" fontId="108" fillId="0" borderId="4" xfId="8" quotePrefix="1" applyFont="1" applyBorder="1" applyAlignment="1">
      <alignment horizontal="center" vertical="center"/>
    </xf>
    <xf numFmtId="0" fontId="81" fillId="0" borderId="4" xfId="8" quotePrefix="1" applyFont="1" applyBorder="1" applyAlignment="1">
      <alignment horizontal="center" vertical="center"/>
    </xf>
    <xf numFmtId="0" fontId="82" fillId="0" borderId="4" xfId="8" applyFont="1" applyBorder="1" applyAlignment="1">
      <alignment horizontal="center" vertical="center"/>
    </xf>
    <xf numFmtId="0" fontId="64" fillId="0" borderId="6" xfId="8" applyFont="1" applyBorder="1" applyAlignment="1">
      <alignment horizontal="center" vertical="center"/>
    </xf>
    <xf numFmtId="2" fontId="64" fillId="0" borderId="0" xfId="8" quotePrefix="1" applyNumberFormat="1" applyFont="1" applyAlignment="1">
      <alignment horizontal="right" vertical="center"/>
    </xf>
    <xf numFmtId="2" fontId="143" fillId="0" borderId="0" xfId="8" applyNumberFormat="1" applyFont="1" applyAlignment="1">
      <alignment horizontal="right" vertical="center"/>
    </xf>
    <xf numFmtId="176" fontId="152" fillId="0" borderId="63" xfId="8" applyNumberFormat="1" applyBorder="1" applyAlignment="1">
      <alignment horizontal="center" vertical="center"/>
    </xf>
    <xf numFmtId="176" fontId="152" fillId="0" borderId="64" xfId="8" applyNumberFormat="1" applyBorder="1" applyAlignment="1">
      <alignment horizontal="center" vertical="center"/>
    </xf>
    <xf numFmtId="176" fontId="152" fillId="0" borderId="60" xfId="8" applyNumberFormat="1" applyBorder="1" applyAlignment="1">
      <alignment horizontal="center" vertical="center"/>
    </xf>
    <xf numFmtId="0" fontId="60" fillId="0" borderId="4" xfId="8" quotePrefix="1" applyFont="1" applyBorder="1" applyAlignment="1">
      <alignment horizontal="center" vertical="center"/>
    </xf>
    <xf numFmtId="184" fontId="0" fillId="0" borderId="7" xfId="9" applyNumberFormat="1" applyFont="1" applyBorder="1" applyAlignment="1">
      <alignment horizontal="center" vertical="center"/>
    </xf>
    <xf numFmtId="184" fontId="0" fillId="0" borderId="2" xfId="9" applyNumberFormat="1" applyFont="1" applyBorder="1" applyAlignment="1">
      <alignment horizontal="center" vertical="center"/>
    </xf>
    <xf numFmtId="0" fontId="63" fillId="0" borderId="4" xfId="8" applyFont="1" applyBorder="1" applyAlignment="1">
      <alignment horizontal="center" vertical="center"/>
    </xf>
    <xf numFmtId="0" fontId="56" fillId="0" borderId="6" xfId="8" applyFont="1" applyBorder="1" applyAlignment="1">
      <alignment horizontal="center" vertical="center"/>
    </xf>
    <xf numFmtId="2" fontId="56" fillId="0" borderId="0" xfId="8" quotePrefix="1" applyNumberFormat="1" applyFont="1" applyAlignment="1">
      <alignment horizontal="right" vertical="center"/>
    </xf>
    <xf numFmtId="176" fontId="152" fillId="0" borderId="50" xfId="8" applyNumberFormat="1" applyBorder="1" applyAlignment="1">
      <alignment horizontal="center" vertical="center"/>
    </xf>
    <xf numFmtId="176" fontId="152" fillId="0" borderId="51" xfId="8" applyNumberFormat="1" applyBorder="1" applyAlignment="1">
      <alignment horizontal="center" vertical="center"/>
    </xf>
    <xf numFmtId="0" fontId="56" fillId="0" borderId="4" xfId="8" quotePrefix="1" applyFont="1" applyBorder="1" applyAlignment="1">
      <alignment horizontal="center" vertical="center"/>
    </xf>
    <xf numFmtId="182" fontId="193" fillId="0" borderId="29" xfId="0" applyNumberFormat="1" applyFont="1" applyBorder="1" applyAlignment="1">
      <alignment horizontal="center" vertical="center"/>
    </xf>
    <xf numFmtId="182" fontId="190" fillId="0" borderId="29" xfId="0" applyNumberFormat="1" applyFont="1" applyBorder="1" applyAlignment="1">
      <alignment horizontal="center" vertical="center"/>
    </xf>
    <xf numFmtId="182" fontId="190" fillId="0" borderId="75" xfId="0" applyNumberFormat="1" applyFont="1" applyBorder="1" applyAlignment="1">
      <alignment horizontal="center" vertical="center"/>
    </xf>
    <xf numFmtId="182" fontId="192" fillId="0" borderId="4" xfId="0" applyNumberFormat="1" applyFont="1" applyBorder="1" applyAlignment="1">
      <alignment horizontal="center" vertical="center"/>
    </xf>
    <xf numFmtId="182" fontId="192" fillId="0" borderId="73" xfId="0" applyNumberFormat="1" applyFont="1" applyBorder="1" applyAlignment="1">
      <alignment horizontal="center" vertical="center"/>
    </xf>
    <xf numFmtId="182" fontId="189" fillId="0" borderId="30" xfId="0" applyNumberFormat="1" applyFont="1" applyBorder="1" applyAlignment="1">
      <alignment horizontal="center" vertical="center"/>
    </xf>
    <xf numFmtId="182" fontId="189" fillId="0" borderId="29" xfId="0" applyNumberFormat="1" applyFont="1" applyBorder="1" applyAlignment="1">
      <alignment horizontal="center" vertical="center"/>
    </xf>
    <xf numFmtId="182" fontId="189" fillId="0" borderId="2" xfId="0" applyNumberFormat="1" applyFont="1" applyBorder="1" applyAlignment="1">
      <alignment horizontal="center" vertical="center"/>
    </xf>
    <xf numFmtId="182" fontId="189" fillId="0" borderId="4" xfId="0" applyNumberFormat="1" applyFont="1" applyBorder="1" applyAlignment="1">
      <alignment horizontal="center" vertical="center"/>
    </xf>
    <xf numFmtId="182" fontId="189" fillId="0" borderId="16" xfId="0" applyNumberFormat="1" applyFont="1" applyBorder="1" applyAlignment="1">
      <alignment horizontal="center" vertical="center"/>
    </xf>
    <xf numFmtId="182" fontId="189" fillId="0" borderId="1" xfId="0" applyNumberFormat="1" applyFont="1" applyBorder="1" applyAlignment="1">
      <alignment horizontal="center" vertical="center"/>
    </xf>
    <xf numFmtId="182" fontId="168" fillId="0" borderId="1" xfId="0" applyNumberFormat="1" applyFont="1" applyBorder="1" applyAlignment="1">
      <alignment horizontal="center" vertical="center"/>
    </xf>
    <xf numFmtId="182" fontId="190" fillId="0" borderId="1" xfId="0" applyNumberFormat="1" applyFont="1" applyBorder="1" applyAlignment="1">
      <alignment horizontal="center" vertical="center"/>
    </xf>
    <xf numFmtId="182" fontId="190" fillId="0" borderId="71" xfId="0" applyNumberFormat="1" applyFont="1" applyBorder="1" applyAlignment="1">
      <alignment horizontal="center" vertical="center"/>
    </xf>
    <xf numFmtId="182" fontId="191" fillId="0" borderId="4" xfId="0" applyNumberFormat="1" applyFont="1" applyBorder="1" applyAlignment="1">
      <alignment horizontal="center" vertical="center"/>
    </xf>
    <xf numFmtId="182" fontId="190" fillId="0" borderId="4" xfId="0" applyNumberFormat="1" applyFont="1" applyBorder="1" applyAlignment="1">
      <alignment horizontal="center" vertical="center"/>
    </xf>
    <xf numFmtId="182" fontId="190" fillId="0" borderId="73" xfId="0" applyNumberFormat="1" applyFont="1" applyBorder="1" applyAlignment="1">
      <alignment horizontal="center" vertical="center"/>
    </xf>
    <xf numFmtId="182" fontId="192" fillId="0" borderId="2" xfId="0" applyNumberFormat="1" applyFont="1" applyBorder="1" applyAlignment="1">
      <alignment horizontal="center" vertical="center"/>
    </xf>
    <xf numFmtId="182" fontId="187" fillId="0" borderId="67" xfId="0" applyNumberFormat="1" applyFont="1" applyBorder="1" applyAlignment="1">
      <alignment horizontal="center" vertical="center"/>
    </xf>
    <xf numFmtId="182" fontId="187" fillId="0" borderId="68" xfId="0" applyNumberFormat="1" applyFont="1" applyBorder="1" applyAlignment="1">
      <alignment horizontal="center" vertical="center"/>
    </xf>
    <xf numFmtId="182" fontId="157" fillId="0" borderId="68" xfId="0" applyNumberFormat="1" applyFont="1" applyBorder="1" applyAlignment="1">
      <alignment horizontal="center" vertical="center"/>
    </xf>
    <xf numFmtId="182" fontId="188" fillId="0" borderId="68" xfId="0" applyNumberFormat="1" applyFont="1" applyBorder="1" applyAlignment="1">
      <alignment horizontal="center" vertical="center"/>
    </xf>
    <xf numFmtId="182" fontId="188" fillId="0" borderId="69" xfId="0" applyNumberFormat="1" applyFont="1" applyBorder="1" applyAlignment="1">
      <alignment horizontal="center" vertical="center"/>
    </xf>
    <xf numFmtId="182" fontId="186" fillId="0" borderId="65" xfId="0" applyNumberFormat="1" applyFont="1" applyBorder="1" applyAlignment="1">
      <alignment horizontal="center" vertical="center"/>
    </xf>
    <xf numFmtId="2" fontId="48" fillId="0" borderId="0" xfId="8" quotePrefix="1" applyNumberFormat="1" applyFont="1" applyAlignment="1">
      <alignment horizontal="right" vertical="center"/>
    </xf>
    <xf numFmtId="0" fontId="56" fillId="0" borderId="4" xfId="8" applyFont="1" applyBorder="1" applyAlignment="1">
      <alignment horizontal="center" vertical="center"/>
    </xf>
    <xf numFmtId="0" fontId="48" fillId="0" borderId="6" xfId="8" applyFont="1" applyBorder="1" applyAlignment="1">
      <alignment horizontal="center" vertical="center"/>
    </xf>
    <xf numFmtId="0" fontId="45" fillId="0" borderId="4" xfId="8" quotePrefix="1" applyFont="1" applyBorder="1" applyAlignment="1">
      <alignment horizontal="center" vertical="center"/>
    </xf>
    <xf numFmtId="186" fontId="0" fillId="0" borderId="76" xfId="9" applyNumberFormat="1" applyFont="1" applyBorder="1" applyAlignment="1">
      <alignment horizontal="center" vertical="center"/>
    </xf>
    <xf numFmtId="0" fontId="46" fillId="0" borderId="6" xfId="8" applyFont="1" applyBorder="1" applyAlignment="1">
      <alignment horizontal="center" vertical="center"/>
    </xf>
    <xf numFmtId="2" fontId="33" fillId="0" borderId="0" xfId="8" quotePrefix="1" applyNumberFormat="1" applyFont="1" applyAlignment="1">
      <alignment horizontal="right" vertical="center"/>
    </xf>
    <xf numFmtId="0" fontId="39" fillId="0" borderId="11" xfId="8" applyFont="1" applyBorder="1" applyAlignment="1">
      <alignment horizontal="center" vertical="center" wrapText="1"/>
    </xf>
    <xf numFmtId="0" fontId="46" fillId="0" borderId="4" xfId="8" applyFont="1" applyBorder="1" applyAlignment="1">
      <alignment horizontal="center" vertical="center"/>
    </xf>
    <xf numFmtId="2" fontId="20" fillId="0" borderId="0" xfId="8" quotePrefix="1" applyNumberFormat="1" applyFont="1" applyAlignment="1">
      <alignment horizontal="right" vertical="center"/>
    </xf>
    <xf numFmtId="0" fontId="31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52" fillId="0" borderId="5" xfId="8" applyFont="1" applyBorder="1" applyAlignment="1">
      <alignment horizontal="center" vertical="center"/>
    </xf>
    <xf numFmtId="0" fontId="152" fillId="0" borderId="12" xfId="8" applyFont="1" applyBorder="1" applyAlignment="1">
      <alignment horizontal="center" vertical="center"/>
    </xf>
    <xf numFmtId="0" fontId="152" fillId="0" borderId="9" xfId="8" applyFont="1" applyBorder="1" applyAlignment="1">
      <alignment horizontal="center" vertical="center"/>
    </xf>
    <xf numFmtId="0" fontId="152" fillId="0" borderId="16" xfId="8" applyFont="1" applyBorder="1" applyAlignment="1">
      <alignment horizontal="center" vertical="center"/>
    </xf>
    <xf numFmtId="176" fontId="152" fillId="0" borderId="9" xfId="8" applyNumberFormat="1" applyBorder="1" applyAlignment="1">
      <alignment horizontal="center" vertical="center"/>
    </xf>
    <xf numFmtId="176" fontId="152" fillId="0" borderId="16" xfId="8" applyNumberFormat="1" applyBorder="1" applyAlignment="1">
      <alignment horizontal="center" vertical="center"/>
    </xf>
    <xf numFmtId="176" fontId="152" fillId="0" borderId="55" xfId="8" applyNumberFormat="1" applyBorder="1" applyAlignment="1">
      <alignment horizontal="center" vertical="center"/>
    </xf>
    <xf numFmtId="176" fontId="152" fillId="0" borderId="56" xfId="8" applyNumberFormat="1" applyBorder="1" applyAlignment="1">
      <alignment horizontal="center" vertical="center"/>
    </xf>
    <xf numFmtId="2" fontId="10" fillId="0" borderId="0" xfId="8" quotePrefix="1" applyNumberFormat="1" applyFont="1" applyAlignment="1">
      <alignment horizontal="right" vertical="center"/>
    </xf>
    <xf numFmtId="0" fontId="19" fillId="0" borderId="4" xfId="8" applyFont="1" applyBorder="1" applyAlignment="1">
      <alignment horizontal="center" vertical="center"/>
    </xf>
    <xf numFmtId="0" fontId="10" fillId="0" borderId="6" xfId="8" applyFont="1" applyBorder="1" applyAlignment="1">
      <alignment horizontal="center" vertical="center"/>
    </xf>
    <xf numFmtId="2" fontId="9" fillId="0" borderId="0" xfId="8" quotePrefix="1" applyNumberFormat="1" applyFont="1" applyAlignment="1">
      <alignment horizontal="right" vertical="center"/>
    </xf>
    <xf numFmtId="0" fontId="9" fillId="0" borderId="4" xfId="8" applyFont="1" applyBorder="1" applyAlignment="1">
      <alignment horizontal="center" vertical="center"/>
    </xf>
    <xf numFmtId="0" fontId="9" fillId="0" borderId="6" xfId="8" applyFont="1" applyBorder="1" applyAlignment="1">
      <alignment horizontal="center" vertical="center"/>
    </xf>
    <xf numFmtId="2" fontId="8" fillId="0" borderId="0" xfId="8" quotePrefix="1" applyNumberFormat="1" applyFont="1" applyAlignment="1">
      <alignment horizontal="right" vertical="center"/>
    </xf>
    <xf numFmtId="2" fontId="7" fillId="0" borderId="0" xfId="8" quotePrefix="1" applyNumberFormat="1" applyFont="1" applyAlignment="1">
      <alignment horizontal="right" vertical="center"/>
    </xf>
    <xf numFmtId="2" fontId="6" fillId="0" borderId="0" xfId="8" quotePrefix="1" applyNumberFormat="1" applyFont="1" applyAlignment="1">
      <alignment horizontal="right" vertical="center"/>
    </xf>
    <xf numFmtId="2" fontId="5" fillId="0" borderId="0" xfId="8" quotePrefix="1" applyNumberFormat="1" applyFont="1" applyAlignment="1">
      <alignment horizontal="right" vertical="center"/>
    </xf>
    <xf numFmtId="2" fontId="4" fillId="0" borderId="0" xfId="8" quotePrefix="1" applyNumberFormat="1" applyFont="1" applyAlignment="1">
      <alignment horizontal="right" vertical="center"/>
    </xf>
    <xf numFmtId="2" fontId="3" fillId="0" borderId="0" xfId="8" quotePrefix="1" applyNumberFormat="1" applyFont="1" applyAlignment="1">
      <alignment horizontal="right" vertical="center"/>
    </xf>
    <xf numFmtId="2" fontId="2" fillId="0" borderId="0" xfId="8" quotePrefix="1" applyNumberFormat="1" applyFont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196" fillId="0" borderId="0" xfId="3" applyFont="1" applyAlignment="1">
      <alignment horizontal="left"/>
    </xf>
    <xf numFmtId="176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4">
    <cellStyle name="백분율" xfId="10" builtinId="5"/>
    <cellStyle name="쉼표 [0]" xfId="3" builtinId="6"/>
    <cellStyle name="쉼표 [0] 2" xfId="2" xr:uid="{00000000-0005-0000-0000-000002000000}"/>
    <cellStyle name="쉼표 [0] 2 2" xfId="5" xr:uid="{00000000-0005-0000-0000-000003000000}"/>
    <cellStyle name="쉼표 [0] 2 2 2" xfId="7" xr:uid="{00000000-0005-0000-0000-000004000000}"/>
    <cellStyle name="쉼표 [0] 2 2 2 2" xfId="9" xr:uid="{00000000-0005-0000-0000-000005000000}"/>
    <cellStyle name="쉼표 [0] 3" xfId="11" xr:uid="{00000000-0005-0000-0000-000006000000}"/>
    <cellStyle name="쉼표 [0] 4" xfId="13" xr:uid="{00000000-0005-0000-0000-000007000000}"/>
    <cellStyle name="표준" xfId="0" builtinId="0"/>
    <cellStyle name="표준 2" xfId="1" xr:uid="{00000000-0005-0000-0000-000009000000}"/>
    <cellStyle name="표준 2 2" xfId="4" xr:uid="{00000000-0005-0000-0000-00000A000000}"/>
    <cellStyle name="표준 2 2 2" xfId="6" xr:uid="{00000000-0005-0000-0000-00000B000000}"/>
    <cellStyle name="표준 2 2 2 2" xfId="8" xr:uid="{00000000-0005-0000-0000-00000C000000}"/>
    <cellStyle name="표준 3" xfId="1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</a:t>
            </a:r>
            <a:r>
              <a:rPr lang="ko-KR" altLang="en-US"/>
              <a:t>년 </a:t>
            </a:r>
            <a:r>
              <a:rPr lang="en-US" altLang="ko-KR"/>
              <a:t>1</a:t>
            </a:r>
            <a:r>
              <a:rPr lang="ko-KR" altLang="en-US"/>
              <a:t>월도 공정 온도 및 스라그 수분 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'2.28'!$AV$21</c:f>
              <c:strCache>
                <c:ptCount val="1"/>
                <c:pt idx="0">
                  <c:v>버너
설정온도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'2.28'!$AS$23:$AS$41</c:f>
              <c:strCache>
                <c:ptCount val="19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1/6</c:v>
                </c:pt>
                <c:pt idx="5">
                  <c:v>1/7</c:v>
                </c:pt>
                <c:pt idx="6">
                  <c:v>1/8</c:v>
                </c:pt>
                <c:pt idx="7">
                  <c:v>1/9</c:v>
                </c:pt>
                <c:pt idx="8">
                  <c:v>1/10</c:v>
                </c:pt>
                <c:pt idx="9">
                  <c:v>1/11</c:v>
                </c:pt>
                <c:pt idx="10">
                  <c:v>1/12</c:v>
                </c:pt>
                <c:pt idx="11">
                  <c:v>1/13</c:v>
                </c:pt>
                <c:pt idx="12">
                  <c:v>1/14</c:v>
                </c:pt>
                <c:pt idx="13">
                  <c:v>1/18</c:v>
                </c:pt>
                <c:pt idx="14">
                  <c:v>1/19</c:v>
                </c:pt>
                <c:pt idx="15">
                  <c:v>1/20</c:v>
                </c:pt>
                <c:pt idx="16">
                  <c:v>1/21</c:v>
                </c:pt>
                <c:pt idx="17">
                  <c:v>1/22</c:v>
                </c:pt>
                <c:pt idx="18">
                  <c:v>1/31</c:v>
                </c:pt>
              </c:strCache>
            </c:strRef>
          </c:cat>
          <c:val>
            <c:numRef>
              <c:f>'2.28'!$AV$23:$AV$41</c:f>
              <c:numCache>
                <c:formatCode>General</c:formatCode>
                <c:ptCount val="19"/>
                <c:pt idx="0">
                  <c:v>650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400</c:v>
                </c:pt>
                <c:pt idx="14">
                  <c:v>400</c:v>
                </c:pt>
                <c:pt idx="15">
                  <c:v>350</c:v>
                </c:pt>
                <c:pt idx="16">
                  <c:v>300</c:v>
                </c:pt>
                <c:pt idx="17">
                  <c:v>700</c:v>
                </c:pt>
                <c:pt idx="18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2-4ECC-8746-5AAC9BDEE7D2}"/>
            </c:ext>
          </c:extLst>
        </c:ser>
        <c:ser>
          <c:idx val="3"/>
          <c:order val="2"/>
          <c:tx>
            <c:strRef>
              <c:f>'2.28'!$AW$21</c:f>
              <c:strCache>
                <c:ptCount val="1"/>
                <c:pt idx="0">
                  <c:v>B/F
온도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'2.28'!$AS$23:$AS$41</c:f>
              <c:strCache>
                <c:ptCount val="19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1/6</c:v>
                </c:pt>
                <c:pt idx="5">
                  <c:v>1/7</c:v>
                </c:pt>
                <c:pt idx="6">
                  <c:v>1/8</c:v>
                </c:pt>
                <c:pt idx="7">
                  <c:v>1/9</c:v>
                </c:pt>
                <c:pt idx="8">
                  <c:v>1/10</c:v>
                </c:pt>
                <c:pt idx="9">
                  <c:v>1/11</c:v>
                </c:pt>
                <c:pt idx="10">
                  <c:v>1/12</c:v>
                </c:pt>
                <c:pt idx="11">
                  <c:v>1/13</c:v>
                </c:pt>
                <c:pt idx="12">
                  <c:v>1/14</c:v>
                </c:pt>
                <c:pt idx="13">
                  <c:v>1/18</c:v>
                </c:pt>
                <c:pt idx="14">
                  <c:v>1/19</c:v>
                </c:pt>
                <c:pt idx="15">
                  <c:v>1/20</c:v>
                </c:pt>
                <c:pt idx="16">
                  <c:v>1/21</c:v>
                </c:pt>
                <c:pt idx="17">
                  <c:v>1/22</c:v>
                </c:pt>
                <c:pt idx="18">
                  <c:v>1/31</c:v>
                </c:pt>
              </c:strCache>
            </c:strRef>
          </c:cat>
          <c:val>
            <c:numRef>
              <c:f>'2.28'!$AW$23:$AW$41</c:f>
              <c:numCache>
                <c:formatCode>General</c:formatCode>
                <c:ptCount val="19"/>
                <c:pt idx="0">
                  <c:v>79</c:v>
                </c:pt>
                <c:pt idx="1">
                  <c:v>83</c:v>
                </c:pt>
                <c:pt idx="2">
                  <c:v>79</c:v>
                </c:pt>
                <c:pt idx="3">
                  <c:v>79</c:v>
                </c:pt>
                <c:pt idx="4">
                  <c:v>78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77</c:v>
                </c:pt>
                <c:pt idx="13">
                  <c:v>85</c:v>
                </c:pt>
                <c:pt idx="14">
                  <c:v>83</c:v>
                </c:pt>
                <c:pt idx="15">
                  <c:v>82</c:v>
                </c:pt>
                <c:pt idx="16">
                  <c:v>84</c:v>
                </c:pt>
                <c:pt idx="17">
                  <c:v>77</c:v>
                </c:pt>
                <c:pt idx="1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2-4ECC-8746-5AAC9BDEE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21784"/>
        <c:axId val="234322168"/>
      </c:lineChart>
      <c:lineChart>
        <c:grouping val="stacked"/>
        <c:varyColors val="0"/>
        <c:ser>
          <c:idx val="1"/>
          <c:order val="0"/>
          <c:tx>
            <c:strRef>
              <c:f>'2.28'!$AU$21</c:f>
              <c:strCache>
                <c:ptCount val="1"/>
                <c:pt idx="0">
                  <c:v>Slag
수분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899976433720288E-2"/>
                  <c:y val="2.3530174719923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A2-4ECC-8746-5AAC9BDEE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'2.28'!$AS$23:$AS$41</c:f>
              <c:strCache>
                <c:ptCount val="19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1/6</c:v>
                </c:pt>
                <c:pt idx="5">
                  <c:v>1/7</c:v>
                </c:pt>
                <c:pt idx="6">
                  <c:v>1/8</c:v>
                </c:pt>
                <c:pt idx="7">
                  <c:v>1/9</c:v>
                </c:pt>
                <c:pt idx="8">
                  <c:v>1/10</c:v>
                </c:pt>
                <c:pt idx="9">
                  <c:v>1/11</c:v>
                </c:pt>
                <c:pt idx="10">
                  <c:v>1/12</c:v>
                </c:pt>
                <c:pt idx="11">
                  <c:v>1/13</c:v>
                </c:pt>
                <c:pt idx="12">
                  <c:v>1/14</c:v>
                </c:pt>
                <c:pt idx="13">
                  <c:v>1/18</c:v>
                </c:pt>
                <c:pt idx="14">
                  <c:v>1/19</c:v>
                </c:pt>
                <c:pt idx="15">
                  <c:v>1/20</c:v>
                </c:pt>
                <c:pt idx="16">
                  <c:v>1/21</c:v>
                </c:pt>
                <c:pt idx="17">
                  <c:v>1/22</c:v>
                </c:pt>
                <c:pt idx="18">
                  <c:v>1/31</c:v>
                </c:pt>
              </c:strCache>
            </c:strRef>
          </c:cat>
          <c:val>
            <c:numRef>
              <c:f>'2.28'!$AU$23:$AU$41</c:f>
              <c:numCache>
                <c:formatCode>0.0</c:formatCode>
                <c:ptCount val="19"/>
                <c:pt idx="0">
                  <c:v>7.17</c:v>
                </c:pt>
                <c:pt idx="1">
                  <c:v>7.15</c:v>
                </c:pt>
                <c:pt idx="2">
                  <c:v>7.14</c:v>
                </c:pt>
                <c:pt idx="3">
                  <c:v>7.1</c:v>
                </c:pt>
                <c:pt idx="4">
                  <c:v>7.03</c:v>
                </c:pt>
                <c:pt idx="5">
                  <c:v>7.02</c:v>
                </c:pt>
                <c:pt idx="6">
                  <c:v>6.94</c:v>
                </c:pt>
                <c:pt idx="7">
                  <c:v>7.01</c:v>
                </c:pt>
                <c:pt idx="8">
                  <c:v>6.85</c:v>
                </c:pt>
                <c:pt idx="9">
                  <c:v>6.93</c:v>
                </c:pt>
                <c:pt idx="10">
                  <c:v>6.96</c:v>
                </c:pt>
                <c:pt idx="11">
                  <c:v>7.08</c:v>
                </c:pt>
                <c:pt idx="12">
                  <c:v>7.09</c:v>
                </c:pt>
                <c:pt idx="13">
                  <c:v>6.09</c:v>
                </c:pt>
                <c:pt idx="14">
                  <c:v>5.86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6.48</c:v>
                </c:pt>
                <c:pt idx="18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2-4ECC-8746-5AAC9BDEE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33176"/>
        <c:axId val="234322552"/>
      </c:lineChart>
      <c:catAx>
        <c:axId val="23432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322168"/>
        <c:crosses val="autoZero"/>
        <c:auto val="1"/>
        <c:lblAlgn val="ctr"/>
        <c:lblOffset val="100"/>
        <c:noMultiLvlLbl val="0"/>
      </c:catAx>
      <c:valAx>
        <c:axId val="2343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321784"/>
        <c:crosses val="autoZero"/>
        <c:crossBetween val="between"/>
      </c:valAx>
      <c:valAx>
        <c:axId val="234322552"/>
        <c:scaling>
          <c:orientation val="minMax"/>
          <c:max val="1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333176"/>
        <c:crosses val="max"/>
        <c:crossBetween val="between"/>
      </c:valAx>
      <c:catAx>
        <c:axId val="234333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322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2019</a:t>
            </a:r>
            <a:r>
              <a:rPr lang="ko-KR" altLang="en-US"/>
              <a:t>년 </a:t>
            </a:r>
            <a:r>
              <a:rPr lang="en-US" altLang="ko-KR"/>
              <a:t>1</a:t>
            </a:r>
            <a:r>
              <a:rPr lang="ko-KR" altLang="en-US"/>
              <a:t>월도 공정온도 및 스라그 수분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'6.30'!$AR$21</c:f>
              <c:strCache>
                <c:ptCount val="1"/>
                <c:pt idx="0">
                  <c:v>버너
설정온도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278334444257785E-2"/>
                  <c:y val="-1.4117162241512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D7-46AE-AF1A-30A2E2CD0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'6.30'!$AO$22:$AO$44</c:f>
              <c:strCache>
                <c:ptCount val="23"/>
                <c:pt idx="1">
                  <c:v>1/2</c:v>
                </c:pt>
                <c:pt idx="2">
                  <c:v>1/3</c:v>
                </c:pt>
                <c:pt idx="3">
                  <c:v>1/4</c:v>
                </c:pt>
                <c:pt idx="4">
                  <c:v>1/5</c:v>
                </c:pt>
                <c:pt idx="5">
                  <c:v>1/6</c:v>
                </c:pt>
                <c:pt idx="6">
                  <c:v>1/15</c:v>
                </c:pt>
                <c:pt idx="7">
                  <c:v>1/16</c:v>
                </c:pt>
                <c:pt idx="8">
                  <c:v>1/17</c:v>
                </c:pt>
                <c:pt idx="9">
                  <c:v>1/18</c:v>
                </c:pt>
                <c:pt idx="10">
                  <c:v>1/19</c:v>
                </c:pt>
                <c:pt idx="11">
                  <c:v>1/20</c:v>
                </c:pt>
                <c:pt idx="12">
                  <c:v>79</c:v>
                </c:pt>
                <c:pt idx="13">
                  <c:v>77</c:v>
                </c:pt>
                <c:pt idx="14">
                  <c:v>74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72</c:v>
                </c:pt>
                <c:pt idx="22">
                  <c:v>77</c:v>
                </c:pt>
              </c:strCache>
            </c:strRef>
          </c:cat>
          <c:val>
            <c:numRef>
              <c:f>'6.30'!$AR$22:$AR$44</c:f>
              <c:numCache>
                <c:formatCode>General</c:formatCode>
                <c:ptCount val="23"/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450</c:v>
                </c:pt>
                <c:pt idx="6">
                  <c:v>250</c:v>
                </c:pt>
                <c:pt idx="7">
                  <c:v>70</c:v>
                </c:pt>
                <c:pt idx="8">
                  <c:v>80</c:v>
                </c:pt>
                <c:pt idx="9">
                  <c:v>70</c:v>
                </c:pt>
                <c:pt idx="10">
                  <c:v>280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7-46AE-AF1A-30A2E2CD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90744"/>
        <c:axId val="235791136"/>
      </c:lineChart>
      <c:lineChart>
        <c:grouping val="stacked"/>
        <c:varyColors val="0"/>
        <c:ser>
          <c:idx val="1"/>
          <c:order val="0"/>
          <c:tx>
            <c:strRef>
              <c:f>'6.30'!$AQ$21</c:f>
              <c:strCache>
                <c:ptCount val="1"/>
                <c:pt idx="0">
                  <c:v>Slag
수분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7736315307455116E-2"/>
                  <c:y val="-2.1821564757235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D7-46AE-AF1A-30A2E2CD0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'6.30'!$AO$22:$AO$44</c:f>
              <c:strCache>
                <c:ptCount val="23"/>
                <c:pt idx="1">
                  <c:v>1/2</c:v>
                </c:pt>
                <c:pt idx="2">
                  <c:v>1/3</c:v>
                </c:pt>
                <c:pt idx="3">
                  <c:v>1/4</c:v>
                </c:pt>
                <c:pt idx="4">
                  <c:v>1/5</c:v>
                </c:pt>
                <c:pt idx="5">
                  <c:v>1/6</c:v>
                </c:pt>
                <c:pt idx="6">
                  <c:v>1/15</c:v>
                </c:pt>
                <c:pt idx="7">
                  <c:v>1/16</c:v>
                </c:pt>
                <c:pt idx="8">
                  <c:v>1/17</c:v>
                </c:pt>
                <c:pt idx="9">
                  <c:v>1/18</c:v>
                </c:pt>
                <c:pt idx="10">
                  <c:v>1/19</c:v>
                </c:pt>
                <c:pt idx="11">
                  <c:v>1/20</c:v>
                </c:pt>
                <c:pt idx="12">
                  <c:v>79</c:v>
                </c:pt>
                <c:pt idx="13">
                  <c:v>77</c:v>
                </c:pt>
                <c:pt idx="14">
                  <c:v>74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72</c:v>
                </c:pt>
                <c:pt idx="22">
                  <c:v>77</c:v>
                </c:pt>
              </c:strCache>
            </c:strRef>
          </c:cat>
          <c:val>
            <c:numRef>
              <c:f>'6.30'!$AQ$22:$AQ$44</c:f>
              <c:numCache>
                <c:formatCode>0.0</c:formatCode>
                <c:ptCount val="23"/>
                <c:pt idx="1">
                  <c:v>6.31</c:v>
                </c:pt>
                <c:pt idx="2">
                  <c:v>5.93</c:v>
                </c:pt>
                <c:pt idx="3">
                  <c:v>7.05</c:v>
                </c:pt>
                <c:pt idx="4">
                  <c:v>6.56</c:v>
                </c:pt>
                <c:pt idx="5">
                  <c:v>6.4</c:v>
                </c:pt>
                <c:pt idx="6">
                  <c:v>4.8</c:v>
                </c:pt>
                <c:pt idx="7">
                  <c:v>5.09</c:v>
                </c:pt>
                <c:pt idx="8">
                  <c:v>5.33</c:v>
                </c:pt>
                <c:pt idx="9">
                  <c:v>5.8</c:v>
                </c:pt>
                <c:pt idx="10">
                  <c:v>5.39</c:v>
                </c:pt>
                <c:pt idx="11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7-46AE-AF1A-30A2E2CD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91920"/>
        <c:axId val="235791528"/>
      </c:lineChart>
      <c:catAx>
        <c:axId val="23579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91136"/>
        <c:crosses val="autoZero"/>
        <c:auto val="1"/>
        <c:lblAlgn val="ctr"/>
        <c:lblOffset val="100"/>
        <c:noMultiLvlLbl val="0"/>
      </c:catAx>
      <c:valAx>
        <c:axId val="235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90744"/>
        <c:crosses val="autoZero"/>
        <c:crossBetween val="between"/>
      </c:valAx>
      <c:valAx>
        <c:axId val="235791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91920"/>
        <c:crosses val="max"/>
        <c:crossBetween val="between"/>
      </c:valAx>
      <c:catAx>
        <c:axId val="23579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791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2019</a:t>
            </a:r>
            <a:r>
              <a:rPr lang="ko-KR" altLang="en-US" sz="1800"/>
              <a:t>년 </a:t>
            </a:r>
            <a:r>
              <a:rPr lang="en-US" altLang="ko-KR" sz="1800"/>
              <a:t>10</a:t>
            </a:r>
            <a:r>
              <a:rPr lang="ko-KR" altLang="en-US" sz="1800"/>
              <a:t>월 제품 재고 추이</a:t>
            </a:r>
            <a:r>
              <a:rPr lang="en-US" altLang="ko-KR" sz="1800"/>
              <a:t>(</a:t>
            </a:r>
            <a:r>
              <a:rPr lang="ko-KR" altLang="en-US" sz="1800"/>
              <a:t>추정</a:t>
            </a:r>
            <a:r>
              <a:rPr lang="en-US" altLang="ko-KR" sz="1800"/>
              <a:t>)</a:t>
            </a:r>
            <a:endParaRPr lang="ko-KR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'10월 계획(0930)'!$B$19</c:f>
              <c:strCache>
                <c:ptCount val="1"/>
                <c:pt idx="0">
                  <c:v>S 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'10월 계획(0930)'!$C$18:$AI$18</c:f>
              <c:strCache>
                <c:ptCount val="33"/>
                <c:pt idx="1">
                  <c:v>9/30</c:v>
                </c:pt>
                <c:pt idx="2">
                  <c:v>19.10/1</c:v>
                </c:pt>
                <c:pt idx="3">
                  <c:v>10/2</c:v>
                </c:pt>
                <c:pt idx="4">
                  <c:v>10/3</c:v>
                </c:pt>
                <c:pt idx="5">
                  <c:v>10/4</c:v>
                </c:pt>
                <c:pt idx="6">
                  <c:v>10/5</c:v>
                </c:pt>
                <c:pt idx="7">
                  <c:v>10/6</c:v>
                </c:pt>
                <c:pt idx="8">
                  <c:v>10/7</c:v>
                </c:pt>
                <c:pt idx="9">
                  <c:v>10/8</c:v>
                </c:pt>
                <c:pt idx="10">
                  <c:v>10/9</c:v>
                </c:pt>
                <c:pt idx="11">
                  <c:v>10/10</c:v>
                </c:pt>
                <c:pt idx="12">
                  <c:v>10/11</c:v>
                </c:pt>
                <c:pt idx="13">
                  <c:v>10/12</c:v>
                </c:pt>
                <c:pt idx="14">
                  <c:v>10/13</c:v>
                </c:pt>
                <c:pt idx="15">
                  <c:v>10/14</c:v>
                </c:pt>
                <c:pt idx="16">
                  <c:v>10/15</c:v>
                </c:pt>
                <c:pt idx="17">
                  <c:v>10/16</c:v>
                </c:pt>
                <c:pt idx="18">
                  <c:v>10/17</c:v>
                </c:pt>
                <c:pt idx="19">
                  <c:v>10/18</c:v>
                </c:pt>
                <c:pt idx="20">
                  <c:v>10/19</c:v>
                </c:pt>
                <c:pt idx="21">
                  <c:v>10/20</c:v>
                </c:pt>
                <c:pt idx="22">
                  <c:v>10/21</c:v>
                </c:pt>
                <c:pt idx="23">
                  <c:v>10/22</c:v>
                </c:pt>
                <c:pt idx="24">
                  <c:v>10/23</c:v>
                </c:pt>
                <c:pt idx="25">
                  <c:v>10/24</c:v>
                </c:pt>
                <c:pt idx="26">
                  <c:v>10/25</c:v>
                </c:pt>
                <c:pt idx="27">
                  <c:v>10/26</c:v>
                </c:pt>
                <c:pt idx="28">
                  <c:v>10/27</c:v>
                </c:pt>
                <c:pt idx="29">
                  <c:v>10/28</c:v>
                </c:pt>
                <c:pt idx="30">
                  <c:v>10/29</c:v>
                </c:pt>
                <c:pt idx="31">
                  <c:v>10/30</c:v>
                </c:pt>
                <c:pt idx="32">
                  <c:v>10/31</c:v>
                </c:pt>
              </c:strCache>
            </c:strRef>
          </c:cat>
          <c:val>
            <c:numRef>
              <c:f>'10월 계획(0930)'!$C$19:$AI$19</c:f>
              <c:numCache>
                <c:formatCode>#,##0_ </c:formatCode>
                <c:ptCount val="33"/>
                <c:pt idx="1">
                  <c:v>21106</c:v>
                </c:pt>
                <c:pt idx="2">
                  <c:v>19258</c:v>
                </c:pt>
                <c:pt idx="3">
                  <c:v>17527</c:v>
                </c:pt>
                <c:pt idx="4">
                  <c:v>19400</c:v>
                </c:pt>
                <c:pt idx="5">
                  <c:v>18595</c:v>
                </c:pt>
                <c:pt idx="6">
                  <c:v>19811</c:v>
                </c:pt>
                <c:pt idx="7">
                  <c:v>21362</c:v>
                </c:pt>
                <c:pt idx="8">
                  <c:v>20814</c:v>
                </c:pt>
                <c:pt idx="9">
                  <c:v>19038</c:v>
                </c:pt>
                <c:pt idx="10">
                  <c:v>19302</c:v>
                </c:pt>
                <c:pt idx="11">
                  <c:v>19469</c:v>
                </c:pt>
                <c:pt idx="12">
                  <c:v>19050</c:v>
                </c:pt>
                <c:pt idx="13">
                  <c:v>18819</c:v>
                </c:pt>
                <c:pt idx="14">
                  <c:v>20712</c:v>
                </c:pt>
                <c:pt idx="15">
                  <c:v>20815</c:v>
                </c:pt>
                <c:pt idx="16">
                  <c:v>18639</c:v>
                </c:pt>
                <c:pt idx="17">
                  <c:v>16839</c:v>
                </c:pt>
                <c:pt idx="18">
                  <c:v>14812</c:v>
                </c:pt>
                <c:pt idx="19">
                  <c:v>14185</c:v>
                </c:pt>
                <c:pt idx="20">
                  <c:v>15485</c:v>
                </c:pt>
                <c:pt idx="21">
                  <c:v>17485</c:v>
                </c:pt>
                <c:pt idx="22">
                  <c:v>17458</c:v>
                </c:pt>
                <c:pt idx="23">
                  <c:v>17431</c:v>
                </c:pt>
                <c:pt idx="24">
                  <c:v>16704</c:v>
                </c:pt>
                <c:pt idx="25">
                  <c:v>16677</c:v>
                </c:pt>
                <c:pt idx="26">
                  <c:v>15950</c:v>
                </c:pt>
                <c:pt idx="27">
                  <c:v>15223</c:v>
                </c:pt>
                <c:pt idx="28">
                  <c:v>17023</c:v>
                </c:pt>
                <c:pt idx="29">
                  <c:v>16996</c:v>
                </c:pt>
                <c:pt idx="30">
                  <c:v>16969</c:v>
                </c:pt>
                <c:pt idx="31">
                  <c:v>16242</c:v>
                </c:pt>
                <c:pt idx="32">
                  <c:v>16215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2-48B6-BF65-00F0AFBAEDA5}"/>
            </c:ext>
          </c:extLst>
        </c:ser>
        <c:ser>
          <c:idx val="1"/>
          <c:order val="1"/>
          <c:tx>
            <c:strRef>
              <c:f>'10월 계획(0930)'!$B$20</c:f>
              <c:strCache>
                <c:ptCount val="1"/>
                <c:pt idx="0">
                  <c:v>S/C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'10월 계획(0930)'!$C$18:$AI$18</c:f>
              <c:strCache>
                <c:ptCount val="33"/>
                <c:pt idx="1">
                  <c:v>9/30</c:v>
                </c:pt>
                <c:pt idx="2">
                  <c:v>19.10/1</c:v>
                </c:pt>
                <c:pt idx="3">
                  <c:v>10/2</c:v>
                </c:pt>
                <c:pt idx="4">
                  <c:v>10/3</c:v>
                </c:pt>
                <c:pt idx="5">
                  <c:v>10/4</c:v>
                </c:pt>
                <c:pt idx="6">
                  <c:v>10/5</c:v>
                </c:pt>
                <c:pt idx="7">
                  <c:v>10/6</c:v>
                </c:pt>
                <c:pt idx="8">
                  <c:v>10/7</c:v>
                </c:pt>
                <c:pt idx="9">
                  <c:v>10/8</c:v>
                </c:pt>
                <c:pt idx="10">
                  <c:v>10/9</c:v>
                </c:pt>
                <c:pt idx="11">
                  <c:v>10/10</c:v>
                </c:pt>
                <c:pt idx="12">
                  <c:v>10/11</c:v>
                </c:pt>
                <c:pt idx="13">
                  <c:v>10/12</c:v>
                </c:pt>
                <c:pt idx="14">
                  <c:v>10/13</c:v>
                </c:pt>
                <c:pt idx="15">
                  <c:v>10/14</c:v>
                </c:pt>
                <c:pt idx="16">
                  <c:v>10/15</c:v>
                </c:pt>
                <c:pt idx="17">
                  <c:v>10/16</c:v>
                </c:pt>
                <c:pt idx="18">
                  <c:v>10/17</c:v>
                </c:pt>
                <c:pt idx="19">
                  <c:v>10/18</c:v>
                </c:pt>
                <c:pt idx="20">
                  <c:v>10/19</c:v>
                </c:pt>
                <c:pt idx="21">
                  <c:v>10/20</c:v>
                </c:pt>
                <c:pt idx="22">
                  <c:v>10/21</c:v>
                </c:pt>
                <c:pt idx="23">
                  <c:v>10/22</c:v>
                </c:pt>
                <c:pt idx="24">
                  <c:v>10/23</c:v>
                </c:pt>
                <c:pt idx="25">
                  <c:v>10/24</c:v>
                </c:pt>
                <c:pt idx="26">
                  <c:v>10/25</c:v>
                </c:pt>
                <c:pt idx="27">
                  <c:v>10/26</c:v>
                </c:pt>
                <c:pt idx="28">
                  <c:v>10/27</c:v>
                </c:pt>
                <c:pt idx="29">
                  <c:v>10/28</c:v>
                </c:pt>
                <c:pt idx="30">
                  <c:v>10/29</c:v>
                </c:pt>
                <c:pt idx="31">
                  <c:v>10/30</c:v>
                </c:pt>
                <c:pt idx="32">
                  <c:v>10/31</c:v>
                </c:pt>
              </c:strCache>
            </c:strRef>
          </c:cat>
          <c:val>
            <c:numRef>
              <c:f>'10월 계획(0930)'!$C$20:$AI$20</c:f>
              <c:numCache>
                <c:formatCode>#,##0_ </c:formatCode>
                <c:ptCount val="33"/>
                <c:pt idx="1">
                  <c:v>852</c:v>
                </c:pt>
                <c:pt idx="2">
                  <c:v>499</c:v>
                </c:pt>
                <c:pt idx="3">
                  <c:v>739</c:v>
                </c:pt>
                <c:pt idx="4">
                  <c:v>737</c:v>
                </c:pt>
                <c:pt idx="5">
                  <c:v>911</c:v>
                </c:pt>
                <c:pt idx="6">
                  <c:v>882</c:v>
                </c:pt>
                <c:pt idx="7">
                  <c:v>882</c:v>
                </c:pt>
                <c:pt idx="8">
                  <c:v>872</c:v>
                </c:pt>
                <c:pt idx="9">
                  <c:v>412</c:v>
                </c:pt>
                <c:pt idx="10">
                  <c:v>532</c:v>
                </c:pt>
                <c:pt idx="11">
                  <c:v>951</c:v>
                </c:pt>
                <c:pt idx="12">
                  <c:v>846</c:v>
                </c:pt>
                <c:pt idx="13">
                  <c:v>868</c:v>
                </c:pt>
                <c:pt idx="14">
                  <c:v>868</c:v>
                </c:pt>
                <c:pt idx="15">
                  <c:v>807</c:v>
                </c:pt>
                <c:pt idx="16">
                  <c:v>689</c:v>
                </c:pt>
                <c:pt idx="17">
                  <c:v>661</c:v>
                </c:pt>
                <c:pt idx="18">
                  <c:v>633</c:v>
                </c:pt>
                <c:pt idx="19">
                  <c:v>405</c:v>
                </c:pt>
                <c:pt idx="20">
                  <c:v>405</c:v>
                </c:pt>
                <c:pt idx="21">
                  <c:v>405</c:v>
                </c:pt>
                <c:pt idx="22">
                  <c:v>377</c:v>
                </c:pt>
                <c:pt idx="23">
                  <c:v>349</c:v>
                </c:pt>
                <c:pt idx="24">
                  <c:v>321</c:v>
                </c:pt>
                <c:pt idx="25">
                  <c:v>293</c:v>
                </c:pt>
                <c:pt idx="26">
                  <c:v>265</c:v>
                </c:pt>
                <c:pt idx="27">
                  <c:v>237</c:v>
                </c:pt>
                <c:pt idx="28">
                  <c:v>637</c:v>
                </c:pt>
                <c:pt idx="29">
                  <c:v>609</c:v>
                </c:pt>
                <c:pt idx="30">
                  <c:v>581</c:v>
                </c:pt>
                <c:pt idx="31">
                  <c:v>581</c:v>
                </c:pt>
                <c:pt idx="32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2-48B6-BF65-00F0AFBA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2360"/>
        <c:axId val="236852752"/>
      </c:lineChart>
      <c:catAx>
        <c:axId val="2368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852752"/>
        <c:crosses val="autoZero"/>
        <c:auto val="1"/>
        <c:lblAlgn val="ctr"/>
        <c:lblOffset val="100"/>
        <c:noMultiLvlLbl val="0"/>
      </c:catAx>
      <c:valAx>
        <c:axId val="236852752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85236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2019</a:t>
            </a:r>
            <a:r>
              <a:rPr lang="ko-KR" altLang="en-US"/>
              <a:t>년 </a:t>
            </a:r>
            <a:r>
              <a:rPr lang="en-US" altLang="ko-KR"/>
              <a:t>1</a:t>
            </a:r>
            <a:r>
              <a:rPr lang="ko-KR" altLang="en-US"/>
              <a:t>월도 공정온도 및 스라그 수분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'2.28'!$AO$21</c:f>
              <c:strCache>
                <c:ptCount val="1"/>
                <c:pt idx="0">
                  <c:v>버너
설정온도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278334444257785E-2"/>
                  <c:y val="-1.4117162241512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13-4E58-AA1A-F2C03A993C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'2.28'!$AL$22:$AL$44</c:f>
              <c:strCache>
                <c:ptCount val="23"/>
                <c:pt idx="1">
                  <c:v>1/2</c:v>
                </c:pt>
                <c:pt idx="2">
                  <c:v>1/3</c:v>
                </c:pt>
                <c:pt idx="3">
                  <c:v>1/4</c:v>
                </c:pt>
                <c:pt idx="4">
                  <c:v>1/5</c:v>
                </c:pt>
                <c:pt idx="5">
                  <c:v>1/6</c:v>
                </c:pt>
                <c:pt idx="6">
                  <c:v>1/15</c:v>
                </c:pt>
                <c:pt idx="7">
                  <c:v>1/16</c:v>
                </c:pt>
                <c:pt idx="8">
                  <c:v>1/17</c:v>
                </c:pt>
                <c:pt idx="9">
                  <c:v>1/18</c:v>
                </c:pt>
                <c:pt idx="10">
                  <c:v>1/19</c:v>
                </c:pt>
                <c:pt idx="11">
                  <c:v>1/20</c:v>
                </c:pt>
                <c:pt idx="12">
                  <c:v>1/21</c:v>
                </c:pt>
                <c:pt idx="13">
                  <c:v>1/22</c:v>
                </c:pt>
                <c:pt idx="14">
                  <c:v>1/23</c:v>
                </c:pt>
                <c:pt idx="15">
                  <c:v>1/24</c:v>
                </c:pt>
                <c:pt idx="16">
                  <c:v>1/25</c:v>
                </c:pt>
                <c:pt idx="17">
                  <c:v>1/26</c:v>
                </c:pt>
                <c:pt idx="18">
                  <c:v>1/27</c:v>
                </c:pt>
                <c:pt idx="19">
                  <c:v>1/28</c:v>
                </c:pt>
                <c:pt idx="20">
                  <c:v>1/29</c:v>
                </c:pt>
                <c:pt idx="21">
                  <c:v>1/30</c:v>
                </c:pt>
                <c:pt idx="22">
                  <c:v>1/31</c:v>
                </c:pt>
              </c:strCache>
            </c:strRef>
          </c:cat>
          <c:val>
            <c:numRef>
              <c:f>'2.28'!$AO$22:$AO$44</c:f>
              <c:numCache>
                <c:formatCode>General</c:formatCode>
                <c:ptCount val="23"/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450</c:v>
                </c:pt>
                <c:pt idx="6">
                  <c:v>250</c:v>
                </c:pt>
                <c:pt idx="7">
                  <c:v>70</c:v>
                </c:pt>
                <c:pt idx="8">
                  <c:v>80</c:v>
                </c:pt>
                <c:pt idx="9">
                  <c:v>70</c:v>
                </c:pt>
                <c:pt idx="10">
                  <c:v>280</c:v>
                </c:pt>
                <c:pt idx="11">
                  <c:v>100</c:v>
                </c:pt>
                <c:pt idx="12">
                  <c:v>350</c:v>
                </c:pt>
                <c:pt idx="13">
                  <c:v>200</c:v>
                </c:pt>
                <c:pt idx="14">
                  <c:v>700</c:v>
                </c:pt>
                <c:pt idx="15">
                  <c:v>650</c:v>
                </c:pt>
                <c:pt idx="16">
                  <c:v>700</c:v>
                </c:pt>
                <c:pt idx="17">
                  <c:v>700</c:v>
                </c:pt>
                <c:pt idx="18">
                  <c:v>250</c:v>
                </c:pt>
                <c:pt idx="19">
                  <c:v>400</c:v>
                </c:pt>
                <c:pt idx="20">
                  <c:v>400</c:v>
                </c:pt>
                <c:pt idx="21">
                  <c:v>700</c:v>
                </c:pt>
                <c:pt idx="22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3-4E58-AA1A-F2C03A993CAB}"/>
            </c:ext>
          </c:extLst>
        </c:ser>
        <c:ser>
          <c:idx val="3"/>
          <c:order val="2"/>
          <c:tx>
            <c:strRef>
              <c:f>'2.28'!$AP$21</c:f>
              <c:strCache>
                <c:ptCount val="1"/>
                <c:pt idx="0">
                  <c:v>B/F
온도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1"/>
              <c:layout>
                <c:manualLayout>
                  <c:x val="-4.1379948807156328E-2"/>
                  <c:y val="-3.9791016688951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13-4E58-AA1A-F2C03A993C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'2.28'!$AL$22:$AL$44</c:f>
              <c:strCache>
                <c:ptCount val="23"/>
                <c:pt idx="1">
                  <c:v>1/2</c:v>
                </c:pt>
                <c:pt idx="2">
                  <c:v>1/3</c:v>
                </c:pt>
                <c:pt idx="3">
                  <c:v>1/4</c:v>
                </c:pt>
                <c:pt idx="4">
                  <c:v>1/5</c:v>
                </c:pt>
                <c:pt idx="5">
                  <c:v>1/6</c:v>
                </c:pt>
                <c:pt idx="6">
                  <c:v>1/15</c:v>
                </c:pt>
                <c:pt idx="7">
                  <c:v>1/16</c:v>
                </c:pt>
                <c:pt idx="8">
                  <c:v>1/17</c:v>
                </c:pt>
                <c:pt idx="9">
                  <c:v>1/18</c:v>
                </c:pt>
                <c:pt idx="10">
                  <c:v>1/19</c:v>
                </c:pt>
                <c:pt idx="11">
                  <c:v>1/20</c:v>
                </c:pt>
                <c:pt idx="12">
                  <c:v>1/21</c:v>
                </c:pt>
                <c:pt idx="13">
                  <c:v>1/22</c:v>
                </c:pt>
                <c:pt idx="14">
                  <c:v>1/23</c:v>
                </c:pt>
                <c:pt idx="15">
                  <c:v>1/24</c:v>
                </c:pt>
                <c:pt idx="16">
                  <c:v>1/25</c:v>
                </c:pt>
                <c:pt idx="17">
                  <c:v>1/26</c:v>
                </c:pt>
                <c:pt idx="18">
                  <c:v>1/27</c:v>
                </c:pt>
                <c:pt idx="19">
                  <c:v>1/28</c:v>
                </c:pt>
                <c:pt idx="20">
                  <c:v>1/29</c:v>
                </c:pt>
                <c:pt idx="21">
                  <c:v>1/30</c:v>
                </c:pt>
                <c:pt idx="22">
                  <c:v>1/31</c:v>
                </c:pt>
              </c:strCache>
            </c:strRef>
          </c:cat>
          <c:val>
            <c:numRef>
              <c:f>'2.28'!$AP$22:$AP$44</c:f>
              <c:numCache>
                <c:formatCode>General</c:formatCode>
                <c:ptCount val="23"/>
                <c:pt idx="1">
                  <c:v>77</c:v>
                </c:pt>
                <c:pt idx="2">
                  <c:v>78</c:v>
                </c:pt>
                <c:pt idx="3">
                  <c:v>75</c:v>
                </c:pt>
                <c:pt idx="4">
                  <c:v>77</c:v>
                </c:pt>
                <c:pt idx="5">
                  <c:v>77</c:v>
                </c:pt>
                <c:pt idx="6">
                  <c:v>83</c:v>
                </c:pt>
                <c:pt idx="7">
                  <c:v>90</c:v>
                </c:pt>
                <c:pt idx="8">
                  <c:v>89</c:v>
                </c:pt>
                <c:pt idx="9">
                  <c:v>81</c:v>
                </c:pt>
                <c:pt idx="10">
                  <c:v>82</c:v>
                </c:pt>
                <c:pt idx="11">
                  <c:v>80</c:v>
                </c:pt>
                <c:pt idx="12">
                  <c:v>79</c:v>
                </c:pt>
                <c:pt idx="13">
                  <c:v>77</c:v>
                </c:pt>
                <c:pt idx="14">
                  <c:v>74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72</c:v>
                </c:pt>
                <c:pt idx="2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3-4E58-AA1A-F2C03A99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68064"/>
        <c:axId val="234468448"/>
      </c:lineChart>
      <c:lineChart>
        <c:grouping val="stacked"/>
        <c:varyColors val="0"/>
        <c:ser>
          <c:idx val="1"/>
          <c:order val="0"/>
          <c:tx>
            <c:strRef>
              <c:f>'2.28'!$AN$21</c:f>
              <c:strCache>
                <c:ptCount val="1"/>
                <c:pt idx="0">
                  <c:v>Slag
수분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7736315307455116E-2"/>
                  <c:y val="-2.1821564757235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13-4E58-AA1A-F2C03A993C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'2.28'!$AL$22:$AL$44</c:f>
              <c:strCache>
                <c:ptCount val="23"/>
                <c:pt idx="1">
                  <c:v>1/2</c:v>
                </c:pt>
                <c:pt idx="2">
                  <c:v>1/3</c:v>
                </c:pt>
                <c:pt idx="3">
                  <c:v>1/4</c:v>
                </c:pt>
                <c:pt idx="4">
                  <c:v>1/5</c:v>
                </c:pt>
                <c:pt idx="5">
                  <c:v>1/6</c:v>
                </c:pt>
                <c:pt idx="6">
                  <c:v>1/15</c:v>
                </c:pt>
                <c:pt idx="7">
                  <c:v>1/16</c:v>
                </c:pt>
                <c:pt idx="8">
                  <c:v>1/17</c:v>
                </c:pt>
                <c:pt idx="9">
                  <c:v>1/18</c:v>
                </c:pt>
                <c:pt idx="10">
                  <c:v>1/19</c:v>
                </c:pt>
                <c:pt idx="11">
                  <c:v>1/20</c:v>
                </c:pt>
                <c:pt idx="12">
                  <c:v>1/21</c:v>
                </c:pt>
                <c:pt idx="13">
                  <c:v>1/22</c:v>
                </c:pt>
                <c:pt idx="14">
                  <c:v>1/23</c:v>
                </c:pt>
                <c:pt idx="15">
                  <c:v>1/24</c:v>
                </c:pt>
                <c:pt idx="16">
                  <c:v>1/25</c:v>
                </c:pt>
                <c:pt idx="17">
                  <c:v>1/26</c:v>
                </c:pt>
                <c:pt idx="18">
                  <c:v>1/27</c:v>
                </c:pt>
                <c:pt idx="19">
                  <c:v>1/28</c:v>
                </c:pt>
                <c:pt idx="20">
                  <c:v>1/29</c:v>
                </c:pt>
                <c:pt idx="21">
                  <c:v>1/30</c:v>
                </c:pt>
                <c:pt idx="22">
                  <c:v>1/31</c:v>
                </c:pt>
              </c:strCache>
            </c:strRef>
          </c:cat>
          <c:val>
            <c:numRef>
              <c:f>'2.28'!$AN$22:$AN$44</c:f>
              <c:numCache>
                <c:formatCode>0.0</c:formatCode>
                <c:ptCount val="23"/>
                <c:pt idx="1">
                  <c:v>6.31</c:v>
                </c:pt>
                <c:pt idx="2">
                  <c:v>5.93</c:v>
                </c:pt>
                <c:pt idx="3">
                  <c:v>7.05</c:v>
                </c:pt>
                <c:pt idx="4">
                  <c:v>6.56</c:v>
                </c:pt>
                <c:pt idx="5">
                  <c:v>6.4</c:v>
                </c:pt>
                <c:pt idx="6">
                  <c:v>4.8</c:v>
                </c:pt>
                <c:pt idx="7">
                  <c:v>5.09</c:v>
                </c:pt>
                <c:pt idx="8">
                  <c:v>5.33</c:v>
                </c:pt>
                <c:pt idx="9">
                  <c:v>5.8</c:v>
                </c:pt>
                <c:pt idx="10">
                  <c:v>5.39</c:v>
                </c:pt>
                <c:pt idx="11">
                  <c:v>6.67</c:v>
                </c:pt>
                <c:pt idx="12">
                  <c:v>6.43</c:v>
                </c:pt>
                <c:pt idx="13">
                  <c:v>6.45</c:v>
                </c:pt>
                <c:pt idx="14">
                  <c:v>6.62</c:v>
                </c:pt>
                <c:pt idx="15">
                  <c:v>6.84</c:v>
                </c:pt>
                <c:pt idx="16">
                  <c:v>7.33</c:v>
                </c:pt>
                <c:pt idx="17">
                  <c:v>7.48</c:v>
                </c:pt>
                <c:pt idx="18">
                  <c:v>6.48</c:v>
                </c:pt>
                <c:pt idx="19">
                  <c:v>6.3</c:v>
                </c:pt>
                <c:pt idx="20">
                  <c:v>6.53</c:v>
                </c:pt>
                <c:pt idx="21">
                  <c:v>8.6</c:v>
                </c:pt>
                <c:pt idx="22">
                  <c:v>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3-4E58-AA1A-F2C03A99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7920"/>
        <c:axId val="181707528"/>
      </c:lineChart>
      <c:catAx>
        <c:axId val="2344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468448"/>
        <c:crosses val="autoZero"/>
        <c:auto val="1"/>
        <c:lblAlgn val="ctr"/>
        <c:lblOffset val="100"/>
        <c:noMultiLvlLbl val="0"/>
      </c:catAx>
      <c:valAx>
        <c:axId val="234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468064"/>
        <c:crosses val="autoZero"/>
        <c:crossBetween val="between"/>
      </c:valAx>
      <c:valAx>
        <c:axId val="181707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07920"/>
        <c:crosses val="max"/>
        <c:crossBetween val="between"/>
      </c:valAx>
      <c:catAx>
        <c:axId val="18170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707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</a:t>
            </a:r>
            <a:r>
              <a:rPr lang="ko-KR" altLang="en-US"/>
              <a:t>년 </a:t>
            </a:r>
            <a:r>
              <a:rPr lang="en-US" altLang="ko-KR"/>
              <a:t>1</a:t>
            </a:r>
            <a:r>
              <a:rPr lang="ko-KR" altLang="en-US"/>
              <a:t>월도 공정 온도 및 스라그 수분 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'3.31'!$AY$21</c:f>
              <c:strCache>
                <c:ptCount val="1"/>
                <c:pt idx="0">
                  <c:v>버너
설정온도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'3.31'!$AV$23:$AV$41</c:f>
              <c:strCache>
                <c:ptCount val="19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1/6</c:v>
                </c:pt>
                <c:pt idx="5">
                  <c:v>1/7</c:v>
                </c:pt>
                <c:pt idx="6">
                  <c:v>1/8</c:v>
                </c:pt>
                <c:pt idx="7">
                  <c:v>1/9</c:v>
                </c:pt>
                <c:pt idx="8">
                  <c:v>1/10</c:v>
                </c:pt>
                <c:pt idx="9">
                  <c:v>1/11</c:v>
                </c:pt>
                <c:pt idx="10">
                  <c:v>1/12</c:v>
                </c:pt>
                <c:pt idx="11">
                  <c:v>76</c:v>
                </c:pt>
                <c:pt idx="12">
                  <c:v>77</c:v>
                </c:pt>
                <c:pt idx="13">
                  <c:v>85</c:v>
                </c:pt>
                <c:pt idx="14">
                  <c:v>83</c:v>
                </c:pt>
                <c:pt idx="15">
                  <c:v>82</c:v>
                </c:pt>
                <c:pt idx="16">
                  <c:v>84</c:v>
                </c:pt>
                <c:pt idx="17">
                  <c:v>77</c:v>
                </c:pt>
                <c:pt idx="18">
                  <c:v>70</c:v>
                </c:pt>
              </c:strCache>
            </c:strRef>
          </c:cat>
          <c:val>
            <c:numRef>
              <c:f>'3.31'!$AY$23:$AY$41</c:f>
              <c:numCache>
                <c:formatCode>General</c:formatCode>
                <c:ptCount val="19"/>
                <c:pt idx="0">
                  <c:v>650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8-48BA-9C61-5F45162D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8704"/>
        <c:axId val="181709096"/>
      </c:lineChart>
      <c:lineChart>
        <c:grouping val="stacked"/>
        <c:varyColors val="0"/>
        <c:ser>
          <c:idx val="1"/>
          <c:order val="0"/>
          <c:tx>
            <c:strRef>
              <c:f>'3.31'!$AX$21</c:f>
              <c:strCache>
                <c:ptCount val="1"/>
                <c:pt idx="0">
                  <c:v>Slag
수분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899976433720288E-2"/>
                  <c:y val="2.3530174719923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28-48BA-9C61-5F45162D1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'3.31'!$AV$23:$AV$41</c:f>
              <c:strCache>
                <c:ptCount val="19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1/6</c:v>
                </c:pt>
                <c:pt idx="5">
                  <c:v>1/7</c:v>
                </c:pt>
                <c:pt idx="6">
                  <c:v>1/8</c:v>
                </c:pt>
                <c:pt idx="7">
                  <c:v>1/9</c:v>
                </c:pt>
                <c:pt idx="8">
                  <c:v>1/10</c:v>
                </c:pt>
                <c:pt idx="9">
                  <c:v>1/11</c:v>
                </c:pt>
                <c:pt idx="10">
                  <c:v>1/12</c:v>
                </c:pt>
                <c:pt idx="11">
                  <c:v>76</c:v>
                </c:pt>
                <c:pt idx="12">
                  <c:v>77</c:v>
                </c:pt>
                <c:pt idx="13">
                  <c:v>85</c:v>
                </c:pt>
                <c:pt idx="14">
                  <c:v>83</c:v>
                </c:pt>
                <c:pt idx="15">
                  <c:v>82</c:v>
                </c:pt>
                <c:pt idx="16">
                  <c:v>84</c:v>
                </c:pt>
                <c:pt idx="17">
                  <c:v>77</c:v>
                </c:pt>
                <c:pt idx="18">
                  <c:v>70</c:v>
                </c:pt>
              </c:strCache>
            </c:strRef>
          </c:cat>
          <c:val>
            <c:numRef>
              <c:f>'3.31'!$AX$23:$AX$41</c:f>
              <c:numCache>
                <c:formatCode>0.0</c:formatCode>
                <c:ptCount val="19"/>
                <c:pt idx="0">
                  <c:v>7.17</c:v>
                </c:pt>
                <c:pt idx="1">
                  <c:v>7.15</c:v>
                </c:pt>
                <c:pt idx="2">
                  <c:v>7.14</c:v>
                </c:pt>
                <c:pt idx="3">
                  <c:v>7.1</c:v>
                </c:pt>
                <c:pt idx="4">
                  <c:v>7.03</c:v>
                </c:pt>
                <c:pt idx="5">
                  <c:v>7.02</c:v>
                </c:pt>
                <c:pt idx="6">
                  <c:v>6.94</c:v>
                </c:pt>
                <c:pt idx="7">
                  <c:v>7.01</c:v>
                </c:pt>
                <c:pt idx="8">
                  <c:v>6.85</c:v>
                </c:pt>
                <c:pt idx="9">
                  <c:v>6.93</c:v>
                </c:pt>
                <c:pt idx="10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8-48BA-9C61-5F45162D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9880"/>
        <c:axId val="181709488"/>
      </c:lineChart>
      <c:catAx>
        <c:axId val="18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09096"/>
        <c:crosses val="autoZero"/>
        <c:auto val="1"/>
        <c:lblAlgn val="ctr"/>
        <c:lblOffset val="100"/>
        <c:noMultiLvlLbl val="0"/>
      </c:catAx>
      <c:valAx>
        <c:axId val="18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08704"/>
        <c:crosses val="autoZero"/>
        <c:crossBetween val="between"/>
      </c:valAx>
      <c:valAx>
        <c:axId val="181709488"/>
        <c:scaling>
          <c:orientation val="minMax"/>
          <c:max val="1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09880"/>
        <c:crosses val="max"/>
        <c:crossBetween val="between"/>
      </c:valAx>
      <c:catAx>
        <c:axId val="18170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70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2019</a:t>
            </a:r>
            <a:r>
              <a:rPr lang="ko-KR" altLang="en-US"/>
              <a:t>년 </a:t>
            </a:r>
            <a:r>
              <a:rPr lang="en-US" altLang="ko-KR"/>
              <a:t>1</a:t>
            </a:r>
            <a:r>
              <a:rPr lang="ko-KR" altLang="en-US"/>
              <a:t>월도 공정온도 및 스라그 수분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'3.31'!$AR$21</c:f>
              <c:strCache>
                <c:ptCount val="1"/>
                <c:pt idx="0">
                  <c:v>버너
설정온도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278334444257785E-2"/>
                  <c:y val="-1.4117162241512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A9-463F-9EED-27782DCBE7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'3.31'!$AO$22:$AO$44</c:f>
              <c:strCache>
                <c:ptCount val="23"/>
                <c:pt idx="1">
                  <c:v>1/2</c:v>
                </c:pt>
                <c:pt idx="2">
                  <c:v>1/3</c:v>
                </c:pt>
                <c:pt idx="3">
                  <c:v>1/4</c:v>
                </c:pt>
                <c:pt idx="4">
                  <c:v>1/5</c:v>
                </c:pt>
                <c:pt idx="5">
                  <c:v>1/6</c:v>
                </c:pt>
                <c:pt idx="6">
                  <c:v>1/15</c:v>
                </c:pt>
                <c:pt idx="7">
                  <c:v>1/16</c:v>
                </c:pt>
                <c:pt idx="8">
                  <c:v>1/17</c:v>
                </c:pt>
                <c:pt idx="9">
                  <c:v>1/18</c:v>
                </c:pt>
                <c:pt idx="10">
                  <c:v>1/19</c:v>
                </c:pt>
                <c:pt idx="11">
                  <c:v>1/20</c:v>
                </c:pt>
                <c:pt idx="12">
                  <c:v>79</c:v>
                </c:pt>
                <c:pt idx="13">
                  <c:v>77</c:v>
                </c:pt>
                <c:pt idx="14">
                  <c:v>74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72</c:v>
                </c:pt>
                <c:pt idx="22">
                  <c:v>77</c:v>
                </c:pt>
              </c:strCache>
            </c:strRef>
          </c:cat>
          <c:val>
            <c:numRef>
              <c:f>'3.31'!$AR$22:$AR$44</c:f>
              <c:numCache>
                <c:formatCode>General</c:formatCode>
                <c:ptCount val="23"/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450</c:v>
                </c:pt>
                <c:pt idx="6">
                  <c:v>250</c:v>
                </c:pt>
                <c:pt idx="7">
                  <c:v>70</c:v>
                </c:pt>
                <c:pt idx="8">
                  <c:v>80</c:v>
                </c:pt>
                <c:pt idx="9">
                  <c:v>70</c:v>
                </c:pt>
                <c:pt idx="10">
                  <c:v>280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9-463F-9EED-27782DCB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10664"/>
        <c:axId val="181711056"/>
      </c:lineChart>
      <c:lineChart>
        <c:grouping val="stacked"/>
        <c:varyColors val="0"/>
        <c:ser>
          <c:idx val="1"/>
          <c:order val="0"/>
          <c:tx>
            <c:strRef>
              <c:f>'3.31'!$AQ$21</c:f>
              <c:strCache>
                <c:ptCount val="1"/>
                <c:pt idx="0">
                  <c:v>Slag
수분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7736315307455116E-2"/>
                  <c:y val="-2.1821564757235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A9-463F-9EED-27782DCBE7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'3.31'!$AO$22:$AO$44</c:f>
              <c:strCache>
                <c:ptCount val="23"/>
                <c:pt idx="1">
                  <c:v>1/2</c:v>
                </c:pt>
                <c:pt idx="2">
                  <c:v>1/3</c:v>
                </c:pt>
                <c:pt idx="3">
                  <c:v>1/4</c:v>
                </c:pt>
                <c:pt idx="4">
                  <c:v>1/5</c:v>
                </c:pt>
                <c:pt idx="5">
                  <c:v>1/6</c:v>
                </c:pt>
                <c:pt idx="6">
                  <c:v>1/15</c:v>
                </c:pt>
                <c:pt idx="7">
                  <c:v>1/16</c:v>
                </c:pt>
                <c:pt idx="8">
                  <c:v>1/17</c:v>
                </c:pt>
                <c:pt idx="9">
                  <c:v>1/18</c:v>
                </c:pt>
                <c:pt idx="10">
                  <c:v>1/19</c:v>
                </c:pt>
                <c:pt idx="11">
                  <c:v>1/20</c:v>
                </c:pt>
                <c:pt idx="12">
                  <c:v>79</c:v>
                </c:pt>
                <c:pt idx="13">
                  <c:v>77</c:v>
                </c:pt>
                <c:pt idx="14">
                  <c:v>74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72</c:v>
                </c:pt>
                <c:pt idx="22">
                  <c:v>77</c:v>
                </c:pt>
              </c:strCache>
            </c:strRef>
          </c:cat>
          <c:val>
            <c:numRef>
              <c:f>'3.31'!$AQ$22:$AQ$44</c:f>
              <c:numCache>
                <c:formatCode>0.0</c:formatCode>
                <c:ptCount val="23"/>
                <c:pt idx="1">
                  <c:v>6.31</c:v>
                </c:pt>
                <c:pt idx="2">
                  <c:v>5.93</c:v>
                </c:pt>
                <c:pt idx="3">
                  <c:v>7.05</c:v>
                </c:pt>
                <c:pt idx="4">
                  <c:v>6.56</c:v>
                </c:pt>
                <c:pt idx="5">
                  <c:v>6.4</c:v>
                </c:pt>
                <c:pt idx="6">
                  <c:v>4.8</c:v>
                </c:pt>
                <c:pt idx="7">
                  <c:v>5.09</c:v>
                </c:pt>
                <c:pt idx="8">
                  <c:v>5.33</c:v>
                </c:pt>
                <c:pt idx="9">
                  <c:v>5.8</c:v>
                </c:pt>
                <c:pt idx="10">
                  <c:v>5.39</c:v>
                </c:pt>
                <c:pt idx="11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9-463F-9EED-27782DCB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11840"/>
        <c:axId val="181711448"/>
      </c:lineChart>
      <c:catAx>
        <c:axId val="18171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11056"/>
        <c:crosses val="autoZero"/>
        <c:auto val="1"/>
        <c:lblAlgn val="ctr"/>
        <c:lblOffset val="100"/>
        <c:noMultiLvlLbl val="0"/>
      </c:catAx>
      <c:valAx>
        <c:axId val="1817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10664"/>
        <c:crosses val="autoZero"/>
        <c:crossBetween val="between"/>
      </c:valAx>
      <c:valAx>
        <c:axId val="181711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711840"/>
        <c:crosses val="max"/>
        <c:crossBetween val="between"/>
      </c:valAx>
      <c:catAx>
        <c:axId val="1817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711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</a:t>
            </a:r>
            <a:r>
              <a:rPr lang="ko-KR" altLang="en-US"/>
              <a:t>년 </a:t>
            </a:r>
            <a:r>
              <a:rPr lang="en-US" altLang="ko-KR"/>
              <a:t>1</a:t>
            </a:r>
            <a:r>
              <a:rPr lang="ko-KR" altLang="en-US"/>
              <a:t>월도 공정 온도 및 스라그 수분 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'4.30'!$AY$21</c:f>
              <c:strCache>
                <c:ptCount val="1"/>
                <c:pt idx="0">
                  <c:v>버너
설정온도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'4.30'!$AV$23:$AV$41</c:f>
              <c:strCache>
                <c:ptCount val="19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1/6</c:v>
                </c:pt>
                <c:pt idx="5">
                  <c:v>1/7</c:v>
                </c:pt>
                <c:pt idx="6">
                  <c:v>1/8</c:v>
                </c:pt>
                <c:pt idx="7">
                  <c:v>1/9</c:v>
                </c:pt>
                <c:pt idx="8">
                  <c:v>1/10</c:v>
                </c:pt>
                <c:pt idx="9">
                  <c:v>1/11</c:v>
                </c:pt>
                <c:pt idx="10">
                  <c:v>1/12</c:v>
                </c:pt>
                <c:pt idx="11">
                  <c:v>76</c:v>
                </c:pt>
                <c:pt idx="12">
                  <c:v>77</c:v>
                </c:pt>
                <c:pt idx="13">
                  <c:v>85</c:v>
                </c:pt>
                <c:pt idx="14">
                  <c:v>83</c:v>
                </c:pt>
                <c:pt idx="15">
                  <c:v>82</c:v>
                </c:pt>
                <c:pt idx="16">
                  <c:v>84</c:v>
                </c:pt>
                <c:pt idx="17">
                  <c:v>77</c:v>
                </c:pt>
                <c:pt idx="18">
                  <c:v>70</c:v>
                </c:pt>
              </c:strCache>
            </c:strRef>
          </c:cat>
          <c:val>
            <c:numRef>
              <c:f>'4.30'!$AY$23:$AY$41</c:f>
              <c:numCache>
                <c:formatCode>General</c:formatCode>
                <c:ptCount val="19"/>
                <c:pt idx="0">
                  <c:v>650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E-438D-9677-8E8CB74E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48200"/>
        <c:axId val="234048592"/>
      </c:lineChart>
      <c:lineChart>
        <c:grouping val="stacked"/>
        <c:varyColors val="0"/>
        <c:ser>
          <c:idx val="1"/>
          <c:order val="0"/>
          <c:tx>
            <c:strRef>
              <c:f>'4.30'!$AX$21</c:f>
              <c:strCache>
                <c:ptCount val="1"/>
                <c:pt idx="0">
                  <c:v>Slag
수분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899976433720288E-2"/>
                  <c:y val="2.3530174719923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AE-438D-9677-8E8CB74EDE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'4.30'!$AV$23:$AV$41</c:f>
              <c:strCache>
                <c:ptCount val="19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1/6</c:v>
                </c:pt>
                <c:pt idx="5">
                  <c:v>1/7</c:v>
                </c:pt>
                <c:pt idx="6">
                  <c:v>1/8</c:v>
                </c:pt>
                <c:pt idx="7">
                  <c:v>1/9</c:v>
                </c:pt>
                <c:pt idx="8">
                  <c:v>1/10</c:v>
                </c:pt>
                <c:pt idx="9">
                  <c:v>1/11</c:v>
                </c:pt>
                <c:pt idx="10">
                  <c:v>1/12</c:v>
                </c:pt>
                <c:pt idx="11">
                  <c:v>76</c:v>
                </c:pt>
                <c:pt idx="12">
                  <c:v>77</c:v>
                </c:pt>
                <c:pt idx="13">
                  <c:v>85</c:v>
                </c:pt>
                <c:pt idx="14">
                  <c:v>83</c:v>
                </c:pt>
                <c:pt idx="15">
                  <c:v>82</c:v>
                </c:pt>
                <c:pt idx="16">
                  <c:v>84</c:v>
                </c:pt>
                <c:pt idx="17">
                  <c:v>77</c:v>
                </c:pt>
                <c:pt idx="18">
                  <c:v>70</c:v>
                </c:pt>
              </c:strCache>
            </c:strRef>
          </c:cat>
          <c:val>
            <c:numRef>
              <c:f>'4.30'!$AX$23:$AX$41</c:f>
              <c:numCache>
                <c:formatCode>0.0</c:formatCode>
                <c:ptCount val="19"/>
                <c:pt idx="0">
                  <c:v>7.17</c:v>
                </c:pt>
                <c:pt idx="1">
                  <c:v>7.15</c:v>
                </c:pt>
                <c:pt idx="2">
                  <c:v>7.14</c:v>
                </c:pt>
                <c:pt idx="3">
                  <c:v>7.1</c:v>
                </c:pt>
                <c:pt idx="4">
                  <c:v>7.03</c:v>
                </c:pt>
                <c:pt idx="5">
                  <c:v>7.02</c:v>
                </c:pt>
                <c:pt idx="6">
                  <c:v>6.94</c:v>
                </c:pt>
                <c:pt idx="7">
                  <c:v>7.01</c:v>
                </c:pt>
                <c:pt idx="8">
                  <c:v>6.85</c:v>
                </c:pt>
                <c:pt idx="9">
                  <c:v>6.93</c:v>
                </c:pt>
                <c:pt idx="10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E-438D-9677-8E8CB74E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49376"/>
        <c:axId val="234048984"/>
      </c:lineChart>
      <c:catAx>
        <c:axId val="23404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048592"/>
        <c:crosses val="autoZero"/>
        <c:auto val="1"/>
        <c:lblAlgn val="ctr"/>
        <c:lblOffset val="100"/>
        <c:noMultiLvlLbl val="0"/>
      </c:catAx>
      <c:valAx>
        <c:axId val="2340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048200"/>
        <c:crosses val="autoZero"/>
        <c:crossBetween val="between"/>
      </c:valAx>
      <c:valAx>
        <c:axId val="234048984"/>
        <c:scaling>
          <c:orientation val="minMax"/>
          <c:max val="1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049376"/>
        <c:crosses val="max"/>
        <c:crossBetween val="between"/>
      </c:valAx>
      <c:catAx>
        <c:axId val="23404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048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2019</a:t>
            </a:r>
            <a:r>
              <a:rPr lang="ko-KR" altLang="en-US"/>
              <a:t>년 </a:t>
            </a:r>
            <a:r>
              <a:rPr lang="en-US" altLang="ko-KR"/>
              <a:t>1</a:t>
            </a:r>
            <a:r>
              <a:rPr lang="ko-KR" altLang="en-US"/>
              <a:t>월도 공정온도 및 스라그 수분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'4.30'!$AR$21</c:f>
              <c:strCache>
                <c:ptCount val="1"/>
                <c:pt idx="0">
                  <c:v>버너
설정온도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278334444257785E-2"/>
                  <c:y val="-1.4117162241512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1B-41DB-93AE-D953CDE34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'4.30'!$AO$22:$AO$44</c:f>
              <c:strCache>
                <c:ptCount val="23"/>
                <c:pt idx="1">
                  <c:v>1/2</c:v>
                </c:pt>
                <c:pt idx="2">
                  <c:v>1/3</c:v>
                </c:pt>
                <c:pt idx="3">
                  <c:v>1/4</c:v>
                </c:pt>
                <c:pt idx="4">
                  <c:v>1/5</c:v>
                </c:pt>
                <c:pt idx="5">
                  <c:v>1/6</c:v>
                </c:pt>
                <c:pt idx="6">
                  <c:v>1/15</c:v>
                </c:pt>
                <c:pt idx="7">
                  <c:v>1/16</c:v>
                </c:pt>
                <c:pt idx="8">
                  <c:v>1/17</c:v>
                </c:pt>
                <c:pt idx="9">
                  <c:v>1/18</c:v>
                </c:pt>
                <c:pt idx="10">
                  <c:v>1/19</c:v>
                </c:pt>
                <c:pt idx="11">
                  <c:v>1/20</c:v>
                </c:pt>
                <c:pt idx="12">
                  <c:v>79</c:v>
                </c:pt>
                <c:pt idx="13">
                  <c:v>77</c:v>
                </c:pt>
                <c:pt idx="14">
                  <c:v>74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72</c:v>
                </c:pt>
                <c:pt idx="22">
                  <c:v>77</c:v>
                </c:pt>
              </c:strCache>
            </c:strRef>
          </c:cat>
          <c:val>
            <c:numRef>
              <c:f>'4.30'!$AR$22:$AR$44</c:f>
              <c:numCache>
                <c:formatCode>General</c:formatCode>
                <c:ptCount val="23"/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450</c:v>
                </c:pt>
                <c:pt idx="6">
                  <c:v>250</c:v>
                </c:pt>
                <c:pt idx="7">
                  <c:v>70</c:v>
                </c:pt>
                <c:pt idx="8">
                  <c:v>80</c:v>
                </c:pt>
                <c:pt idx="9">
                  <c:v>70</c:v>
                </c:pt>
                <c:pt idx="10">
                  <c:v>280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B-41DB-93AE-D953CDE3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15272"/>
        <c:axId val="234215664"/>
      </c:lineChart>
      <c:lineChart>
        <c:grouping val="stacked"/>
        <c:varyColors val="0"/>
        <c:ser>
          <c:idx val="1"/>
          <c:order val="0"/>
          <c:tx>
            <c:strRef>
              <c:f>'4.30'!$AQ$21</c:f>
              <c:strCache>
                <c:ptCount val="1"/>
                <c:pt idx="0">
                  <c:v>Slag
수분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7736315307455116E-2"/>
                  <c:y val="-2.1821564757235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1B-41DB-93AE-D953CDE34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'4.30'!$AO$22:$AO$44</c:f>
              <c:strCache>
                <c:ptCount val="23"/>
                <c:pt idx="1">
                  <c:v>1/2</c:v>
                </c:pt>
                <c:pt idx="2">
                  <c:v>1/3</c:v>
                </c:pt>
                <c:pt idx="3">
                  <c:v>1/4</c:v>
                </c:pt>
                <c:pt idx="4">
                  <c:v>1/5</c:v>
                </c:pt>
                <c:pt idx="5">
                  <c:v>1/6</c:v>
                </c:pt>
                <c:pt idx="6">
                  <c:v>1/15</c:v>
                </c:pt>
                <c:pt idx="7">
                  <c:v>1/16</c:v>
                </c:pt>
                <c:pt idx="8">
                  <c:v>1/17</c:v>
                </c:pt>
                <c:pt idx="9">
                  <c:v>1/18</c:v>
                </c:pt>
                <c:pt idx="10">
                  <c:v>1/19</c:v>
                </c:pt>
                <c:pt idx="11">
                  <c:v>1/20</c:v>
                </c:pt>
                <c:pt idx="12">
                  <c:v>79</c:v>
                </c:pt>
                <c:pt idx="13">
                  <c:v>77</c:v>
                </c:pt>
                <c:pt idx="14">
                  <c:v>74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72</c:v>
                </c:pt>
                <c:pt idx="22">
                  <c:v>77</c:v>
                </c:pt>
              </c:strCache>
            </c:strRef>
          </c:cat>
          <c:val>
            <c:numRef>
              <c:f>'4.30'!$AQ$22:$AQ$44</c:f>
              <c:numCache>
                <c:formatCode>0.0</c:formatCode>
                <c:ptCount val="23"/>
                <c:pt idx="1">
                  <c:v>6.31</c:v>
                </c:pt>
                <c:pt idx="2">
                  <c:v>5.93</c:v>
                </c:pt>
                <c:pt idx="3">
                  <c:v>7.05</c:v>
                </c:pt>
                <c:pt idx="4">
                  <c:v>6.56</c:v>
                </c:pt>
                <c:pt idx="5">
                  <c:v>6.4</c:v>
                </c:pt>
                <c:pt idx="6">
                  <c:v>4.8</c:v>
                </c:pt>
                <c:pt idx="7">
                  <c:v>5.09</c:v>
                </c:pt>
                <c:pt idx="8">
                  <c:v>5.33</c:v>
                </c:pt>
                <c:pt idx="9">
                  <c:v>5.8</c:v>
                </c:pt>
                <c:pt idx="10">
                  <c:v>5.39</c:v>
                </c:pt>
                <c:pt idx="11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B-41DB-93AE-D953CDE3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16448"/>
        <c:axId val="234216056"/>
      </c:lineChart>
      <c:catAx>
        <c:axId val="23421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215664"/>
        <c:crosses val="autoZero"/>
        <c:auto val="1"/>
        <c:lblAlgn val="ctr"/>
        <c:lblOffset val="100"/>
        <c:noMultiLvlLbl val="0"/>
      </c:catAx>
      <c:valAx>
        <c:axId val="2342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215272"/>
        <c:crosses val="autoZero"/>
        <c:crossBetween val="between"/>
      </c:valAx>
      <c:valAx>
        <c:axId val="234216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216448"/>
        <c:crosses val="max"/>
        <c:crossBetween val="between"/>
      </c:valAx>
      <c:catAx>
        <c:axId val="23421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21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</a:t>
            </a:r>
            <a:r>
              <a:rPr lang="ko-KR" altLang="en-US"/>
              <a:t>년 </a:t>
            </a:r>
            <a:r>
              <a:rPr lang="en-US" altLang="ko-KR"/>
              <a:t>1</a:t>
            </a:r>
            <a:r>
              <a:rPr lang="ko-KR" altLang="en-US"/>
              <a:t>월도 공정 온도 및 스라그 수분 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'5.31'!$AY$21</c:f>
              <c:strCache>
                <c:ptCount val="1"/>
                <c:pt idx="0">
                  <c:v>버너
설정온도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'5.31'!$AV$23:$AV$41</c:f>
              <c:strCache>
                <c:ptCount val="19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1/6</c:v>
                </c:pt>
                <c:pt idx="5">
                  <c:v>1/7</c:v>
                </c:pt>
                <c:pt idx="6">
                  <c:v>1/8</c:v>
                </c:pt>
                <c:pt idx="7">
                  <c:v>1/9</c:v>
                </c:pt>
                <c:pt idx="8">
                  <c:v>1/10</c:v>
                </c:pt>
                <c:pt idx="9">
                  <c:v>1/11</c:v>
                </c:pt>
                <c:pt idx="10">
                  <c:v>1/12</c:v>
                </c:pt>
                <c:pt idx="11">
                  <c:v>76</c:v>
                </c:pt>
                <c:pt idx="12">
                  <c:v>77</c:v>
                </c:pt>
                <c:pt idx="13">
                  <c:v>85</c:v>
                </c:pt>
                <c:pt idx="14">
                  <c:v>83</c:v>
                </c:pt>
                <c:pt idx="15">
                  <c:v>82</c:v>
                </c:pt>
                <c:pt idx="16">
                  <c:v>84</c:v>
                </c:pt>
                <c:pt idx="17">
                  <c:v>77</c:v>
                </c:pt>
                <c:pt idx="18">
                  <c:v>70</c:v>
                </c:pt>
              </c:strCache>
            </c:strRef>
          </c:cat>
          <c:val>
            <c:numRef>
              <c:f>'5.31'!$AY$23:$AY$41</c:f>
              <c:numCache>
                <c:formatCode>General</c:formatCode>
                <c:ptCount val="19"/>
                <c:pt idx="0">
                  <c:v>650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B-47DF-B5E8-B6632D2D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17232"/>
        <c:axId val="234217624"/>
      </c:lineChart>
      <c:lineChart>
        <c:grouping val="stacked"/>
        <c:varyColors val="0"/>
        <c:ser>
          <c:idx val="1"/>
          <c:order val="0"/>
          <c:tx>
            <c:strRef>
              <c:f>'5.31'!$AX$21</c:f>
              <c:strCache>
                <c:ptCount val="1"/>
                <c:pt idx="0">
                  <c:v>Slag
수분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899976433720288E-2"/>
                  <c:y val="2.3530174719923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B-47DF-B5E8-B6632D2D3F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'5.31'!$AV$23:$AV$41</c:f>
              <c:strCache>
                <c:ptCount val="19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1/6</c:v>
                </c:pt>
                <c:pt idx="5">
                  <c:v>1/7</c:v>
                </c:pt>
                <c:pt idx="6">
                  <c:v>1/8</c:v>
                </c:pt>
                <c:pt idx="7">
                  <c:v>1/9</c:v>
                </c:pt>
                <c:pt idx="8">
                  <c:v>1/10</c:v>
                </c:pt>
                <c:pt idx="9">
                  <c:v>1/11</c:v>
                </c:pt>
                <c:pt idx="10">
                  <c:v>1/12</c:v>
                </c:pt>
                <c:pt idx="11">
                  <c:v>76</c:v>
                </c:pt>
                <c:pt idx="12">
                  <c:v>77</c:v>
                </c:pt>
                <c:pt idx="13">
                  <c:v>85</c:v>
                </c:pt>
                <c:pt idx="14">
                  <c:v>83</c:v>
                </c:pt>
                <c:pt idx="15">
                  <c:v>82</c:v>
                </c:pt>
                <c:pt idx="16">
                  <c:v>84</c:v>
                </c:pt>
                <c:pt idx="17">
                  <c:v>77</c:v>
                </c:pt>
                <c:pt idx="18">
                  <c:v>70</c:v>
                </c:pt>
              </c:strCache>
            </c:strRef>
          </c:cat>
          <c:val>
            <c:numRef>
              <c:f>'5.31'!$AX$23:$AX$41</c:f>
              <c:numCache>
                <c:formatCode>0.0</c:formatCode>
                <c:ptCount val="19"/>
                <c:pt idx="0">
                  <c:v>7.17</c:v>
                </c:pt>
                <c:pt idx="1">
                  <c:v>7.15</c:v>
                </c:pt>
                <c:pt idx="2">
                  <c:v>7.14</c:v>
                </c:pt>
                <c:pt idx="3">
                  <c:v>7.1</c:v>
                </c:pt>
                <c:pt idx="4">
                  <c:v>7.03</c:v>
                </c:pt>
                <c:pt idx="5">
                  <c:v>7.02</c:v>
                </c:pt>
                <c:pt idx="6">
                  <c:v>6.94</c:v>
                </c:pt>
                <c:pt idx="7">
                  <c:v>7.01</c:v>
                </c:pt>
                <c:pt idx="8">
                  <c:v>6.85</c:v>
                </c:pt>
                <c:pt idx="9">
                  <c:v>6.93</c:v>
                </c:pt>
                <c:pt idx="10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B-47DF-B5E8-B6632D2D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18408"/>
        <c:axId val="234218016"/>
      </c:lineChart>
      <c:catAx>
        <c:axId val="2342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217624"/>
        <c:crosses val="autoZero"/>
        <c:auto val="1"/>
        <c:lblAlgn val="ctr"/>
        <c:lblOffset val="100"/>
        <c:noMultiLvlLbl val="0"/>
      </c:catAx>
      <c:valAx>
        <c:axId val="23421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217232"/>
        <c:crosses val="autoZero"/>
        <c:crossBetween val="between"/>
      </c:valAx>
      <c:valAx>
        <c:axId val="234218016"/>
        <c:scaling>
          <c:orientation val="minMax"/>
          <c:max val="1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218408"/>
        <c:crosses val="max"/>
        <c:crossBetween val="between"/>
      </c:valAx>
      <c:catAx>
        <c:axId val="234218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21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2019</a:t>
            </a:r>
            <a:r>
              <a:rPr lang="ko-KR" altLang="en-US"/>
              <a:t>년 </a:t>
            </a:r>
            <a:r>
              <a:rPr lang="en-US" altLang="ko-KR"/>
              <a:t>1</a:t>
            </a:r>
            <a:r>
              <a:rPr lang="ko-KR" altLang="en-US"/>
              <a:t>월도 공정온도 및 스라그 수분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'5.31'!$AR$21</c:f>
              <c:strCache>
                <c:ptCount val="1"/>
                <c:pt idx="0">
                  <c:v>버너
설정온도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278334444257785E-2"/>
                  <c:y val="-1.4117162241512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CC-47A2-963F-C7D972423F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'5.31'!$AO$22:$AO$44</c:f>
              <c:strCache>
                <c:ptCount val="23"/>
                <c:pt idx="1">
                  <c:v>1/2</c:v>
                </c:pt>
                <c:pt idx="2">
                  <c:v>1/3</c:v>
                </c:pt>
                <c:pt idx="3">
                  <c:v>1/4</c:v>
                </c:pt>
                <c:pt idx="4">
                  <c:v>1/5</c:v>
                </c:pt>
                <c:pt idx="5">
                  <c:v>1/6</c:v>
                </c:pt>
                <c:pt idx="6">
                  <c:v>1/15</c:v>
                </c:pt>
                <c:pt idx="7">
                  <c:v>1/16</c:v>
                </c:pt>
                <c:pt idx="8">
                  <c:v>1/17</c:v>
                </c:pt>
                <c:pt idx="9">
                  <c:v>1/18</c:v>
                </c:pt>
                <c:pt idx="10">
                  <c:v>1/19</c:v>
                </c:pt>
                <c:pt idx="11">
                  <c:v>1/20</c:v>
                </c:pt>
                <c:pt idx="12">
                  <c:v>79</c:v>
                </c:pt>
                <c:pt idx="13">
                  <c:v>77</c:v>
                </c:pt>
                <c:pt idx="14">
                  <c:v>74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72</c:v>
                </c:pt>
                <c:pt idx="22">
                  <c:v>77</c:v>
                </c:pt>
              </c:strCache>
            </c:strRef>
          </c:cat>
          <c:val>
            <c:numRef>
              <c:f>'5.31'!$AR$22:$AR$44</c:f>
              <c:numCache>
                <c:formatCode>General</c:formatCode>
                <c:ptCount val="23"/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450</c:v>
                </c:pt>
                <c:pt idx="6">
                  <c:v>250</c:v>
                </c:pt>
                <c:pt idx="7">
                  <c:v>70</c:v>
                </c:pt>
                <c:pt idx="8">
                  <c:v>80</c:v>
                </c:pt>
                <c:pt idx="9">
                  <c:v>70</c:v>
                </c:pt>
                <c:pt idx="10">
                  <c:v>280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C-47A2-963F-C7D97242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88784"/>
        <c:axId val="235789176"/>
      </c:lineChart>
      <c:lineChart>
        <c:grouping val="stacked"/>
        <c:varyColors val="0"/>
        <c:ser>
          <c:idx val="1"/>
          <c:order val="0"/>
          <c:tx>
            <c:strRef>
              <c:f>'5.31'!$AQ$21</c:f>
              <c:strCache>
                <c:ptCount val="1"/>
                <c:pt idx="0">
                  <c:v>Slag
수분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7736315307455116E-2"/>
                  <c:y val="-2.1821564757235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CC-47A2-963F-C7D972423F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'5.31'!$AO$22:$AO$44</c:f>
              <c:strCache>
                <c:ptCount val="23"/>
                <c:pt idx="1">
                  <c:v>1/2</c:v>
                </c:pt>
                <c:pt idx="2">
                  <c:v>1/3</c:v>
                </c:pt>
                <c:pt idx="3">
                  <c:v>1/4</c:v>
                </c:pt>
                <c:pt idx="4">
                  <c:v>1/5</c:v>
                </c:pt>
                <c:pt idx="5">
                  <c:v>1/6</c:v>
                </c:pt>
                <c:pt idx="6">
                  <c:v>1/15</c:v>
                </c:pt>
                <c:pt idx="7">
                  <c:v>1/16</c:v>
                </c:pt>
                <c:pt idx="8">
                  <c:v>1/17</c:v>
                </c:pt>
                <c:pt idx="9">
                  <c:v>1/18</c:v>
                </c:pt>
                <c:pt idx="10">
                  <c:v>1/19</c:v>
                </c:pt>
                <c:pt idx="11">
                  <c:v>1/20</c:v>
                </c:pt>
                <c:pt idx="12">
                  <c:v>79</c:v>
                </c:pt>
                <c:pt idx="13">
                  <c:v>77</c:v>
                </c:pt>
                <c:pt idx="14">
                  <c:v>74</c:v>
                </c:pt>
                <c:pt idx="15">
                  <c:v>72</c:v>
                </c:pt>
                <c:pt idx="16">
                  <c:v>73</c:v>
                </c:pt>
                <c:pt idx="17">
                  <c:v>73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72</c:v>
                </c:pt>
                <c:pt idx="22">
                  <c:v>77</c:v>
                </c:pt>
              </c:strCache>
            </c:strRef>
          </c:cat>
          <c:val>
            <c:numRef>
              <c:f>'5.31'!$AQ$22:$AQ$44</c:f>
              <c:numCache>
                <c:formatCode>0.0</c:formatCode>
                <c:ptCount val="23"/>
                <c:pt idx="1">
                  <c:v>6.31</c:v>
                </c:pt>
                <c:pt idx="2">
                  <c:v>5.93</c:v>
                </c:pt>
                <c:pt idx="3">
                  <c:v>7.05</c:v>
                </c:pt>
                <c:pt idx="4">
                  <c:v>6.56</c:v>
                </c:pt>
                <c:pt idx="5">
                  <c:v>6.4</c:v>
                </c:pt>
                <c:pt idx="6">
                  <c:v>4.8</c:v>
                </c:pt>
                <c:pt idx="7">
                  <c:v>5.09</c:v>
                </c:pt>
                <c:pt idx="8">
                  <c:v>5.33</c:v>
                </c:pt>
                <c:pt idx="9">
                  <c:v>5.8</c:v>
                </c:pt>
                <c:pt idx="10">
                  <c:v>5.39</c:v>
                </c:pt>
                <c:pt idx="11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C-47A2-963F-C7D97242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89960"/>
        <c:axId val="235789568"/>
      </c:lineChart>
      <c:catAx>
        <c:axId val="2357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89176"/>
        <c:crosses val="autoZero"/>
        <c:auto val="1"/>
        <c:lblAlgn val="ctr"/>
        <c:lblOffset val="100"/>
        <c:noMultiLvlLbl val="0"/>
      </c:catAx>
      <c:valAx>
        <c:axId val="2357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88784"/>
        <c:crosses val="autoZero"/>
        <c:crossBetween val="between"/>
      </c:valAx>
      <c:valAx>
        <c:axId val="23578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5789960"/>
        <c:crosses val="max"/>
        <c:crossBetween val="between"/>
      </c:valAx>
      <c:catAx>
        <c:axId val="235789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78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</a:t>
            </a:r>
            <a:r>
              <a:rPr lang="ko-KR" altLang="en-US"/>
              <a:t>년 </a:t>
            </a:r>
            <a:r>
              <a:rPr lang="en-US" altLang="ko-KR"/>
              <a:t>1</a:t>
            </a:r>
            <a:r>
              <a:rPr lang="ko-KR" altLang="en-US"/>
              <a:t>월도 공정 온도 및 스라그 수분 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2"/>
          <c:order val="1"/>
          <c:tx>
            <c:strRef>
              <c:f>'6.30'!$AY$21</c:f>
              <c:strCache>
                <c:ptCount val="1"/>
                <c:pt idx="0">
                  <c:v>버너
설정온도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'6.30'!$AV$23:$AV$41</c:f>
              <c:strCache>
                <c:ptCount val="19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1/6</c:v>
                </c:pt>
                <c:pt idx="5">
                  <c:v>1/7</c:v>
                </c:pt>
                <c:pt idx="6">
                  <c:v>1/8</c:v>
                </c:pt>
                <c:pt idx="7">
                  <c:v>1/9</c:v>
                </c:pt>
                <c:pt idx="8">
                  <c:v>1/10</c:v>
                </c:pt>
                <c:pt idx="9">
                  <c:v>1/11</c:v>
                </c:pt>
                <c:pt idx="10">
                  <c:v>1/12</c:v>
                </c:pt>
                <c:pt idx="11">
                  <c:v>76</c:v>
                </c:pt>
                <c:pt idx="12">
                  <c:v>77</c:v>
                </c:pt>
                <c:pt idx="13">
                  <c:v>85</c:v>
                </c:pt>
                <c:pt idx="14">
                  <c:v>83</c:v>
                </c:pt>
                <c:pt idx="15">
                  <c:v>82</c:v>
                </c:pt>
                <c:pt idx="16">
                  <c:v>84</c:v>
                </c:pt>
                <c:pt idx="17">
                  <c:v>77</c:v>
                </c:pt>
                <c:pt idx="18">
                  <c:v>70</c:v>
                </c:pt>
              </c:strCache>
            </c:strRef>
          </c:cat>
          <c:val>
            <c:numRef>
              <c:f>'6.30'!$AY$23:$AY$41</c:f>
              <c:numCache>
                <c:formatCode>General</c:formatCode>
                <c:ptCount val="19"/>
                <c:pt idx="0">
                  <c:v>650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9-422A-95B9-6CE88F0C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50160"/>
        <c:axId val="234047808"/>
      </c:lineChart>
      <c:lineChart>
        <c:grouping val="stacked"/>
        <c:varyColors val="0"/>
        <c:ser>
          <c:idx val="1"/>
          <c:order val="0"/>
          <c:tx>
            <c:strRef>
              <c:f>'6.30'!$AX$21</c:f>
              <c:strCache>
                <c:ptCount val="1"/>
                <c:pt idx="0">
                  <c:v>Slag
수분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899976433720288E-2"/>
                  <c:y val="2.35301747199238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9-422A-95B9-6CE88F0C8A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'6.30'!$AV$23:$AV$41</c:f>
              <c:strCache>
                <c:ptCount val="19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1/6</c:v>
                </c:pt>
                <c:pt idx="5">
                  <c:v>1/7</c:v>
                </c:pt>
                <c:pt idx="6">
                  <c:v>1/8</c:v>
                </c:pt>
                <c:pt idx="7">
                  <c:v>1/9</c:v>
                </c:pt>
                <c:pt idx="8">
                  <c:v>1/10</c:v>
                </c:pt>
                <c:pt idx="9">
                  <c:v>1/11</c:v>
                </c:pt>
                <c:pt idx="10">
                  <c:v>1/12</c:v>
                </c:pt>
                <c:pt idx="11">
                  <c:v>76</c:v>
                </c:pt>
                <c:pt idx="12">
                  <c:v>77</c:v>
                </c:pt>
                <c:pt idx="13">
                  <c:v>85</c:v>
                </c:pt>
                <c:pt idx="14">
                  <c:v>83</c:v>
                </c:pt>
                <c:pt idx="15">
                  <c:v>82</c:v>
                </c:pt>
                <c:pt idx="16">
                  <c:v>84</c:v>
                </c:pt>
                <c:pt idx="17">
                  <c:v>77</c:v>
                </c:pt>
                <c:pt idx="18">
                  <c:v>70</c:v>
                </c:pt>
              </c:strCache>
            </c:strRef>
          </c:cat>
          <c:val>
            <c:numRef>
              <c:f>'6.30'!$AX$23:$AX$41</c:f>
              <c:numCache>
                <c:formatCode>0.0</c:formatCode>
                <c:ptCount val="19"/>
                <c:pt idx="0">
                  <c:v>7.17</c:v>
                </c:pt>
                <c:pt idx="1">
                  <c:v>7.15</c:v>
                </c:pt>
                <c:pt idx="2">
                  <c:v>7.14</c:v>
                </c:pt>
                <c:pt idx="3">
                  <c:v>7.1</c:v>
                </c:pt>
                <c:pt idx="4">
                  <c:v>7.03</c:v>
                </c:pt>
                <c:pt idx="5">
                  <c:v>7.02</c:v>
                </c:pt>
                <c:pt idx="6">
                  <c:v>6.94</c:v>
                </c:pt>
                <c:pt idx="7">
                  <c:v>7.01</c:v>
                </c:pt>
                <c:pt idx="8">
                  <c:v>6.85</c:v>
                </c:pt>
                <c:pt idx="9">
                  <c:v>6.93</c:v>
                </c:pt>
                <c:pt idx="10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9-422A-95B9-6CE88F0C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47024"/>
        <c:axId val="234047416"/>
      </c:lineChart>
      <c:catAx>
        <c:axId val="2340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047808"/>
        <c:crosses val="autoZero"/>
        <c:auto val="1"/>
        <c:lblAlgn val="ctr"/>
        <c:lblOffset val="100"/>
        <c:noMultiLvlLbl val="0"/>
      </c:catAx>
      <c:valAx>
        <c:axId val="2340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050160"/>
        <c:crosses val="autoZero"/>
        <c:crossBetween val="between"/>
      </c:valAx>
      <c:valAx>
        <c:axId val="234047416"/>
        <c:scaling>
          <c:orientation val="minMax"/>
          <c:max val="1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047024"/>
        <c:crosses val="max"/>
        <c:crossBetween val="between"/>
      </c:valAx>
      <c:catAx>
        <c:axId val="2340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047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281940</xdr:colOff>
          <xdr:row>0</xdr:row>
          <xdr:rowOff>15240</xdr:rowOff>
        </xdr:from>
        <xdr:to>
          <xdr:col>8</xdr:col>
          <xdr:colOff>480060</xdr:colOff>
          <xdr:row>2</xdr:row>
          <xdr:rowOff>144780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J$3:$AM$5" spid="_x0000_s12793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358640" y="15240"/>
              <a:ext cx="2209800" cy="66294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FC2F505D-6855-44BA-AF55-E7B461B225E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283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F588031A-8514-4343-8BF4-348C92CE184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303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22FC9C0D-2C88-4965-99BB-6C66BF78337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334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D18F5623-BB71-4D2C-8CAC-8A6E8176C9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354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32FF0955-CD08-41F0-9B9F-E075D136424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3856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B5ED1F72-C508-4F6E-95C7-084A622E3A3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395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5DA36E95-D4B8-4E07-8F4E-BAEE4A714F4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416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F347612E-CEBE-4655-850E-D1D84BE67A2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436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58C64C8E-B714-4827-AA2D-CD383A0BCC4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466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E1AE4567-6C80-41A3-85E0-7FABA559112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477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0</xdr:row>
          <xdr:rowOff>53340</xdr:rowOff>
        </xdr:from>
        <xdr:to>
          <xdr:col>8</xdr:col>
          <xdr:colOff>472440</xdr:colOff>
          <xdr:row>2</xdr:row>
          <xdr:rowOff>182880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J$3:$AM$5" spid="_x0000_s11853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04360" y="53340"/>
              <a:ext cx="2156460" cy="66294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50</xdr:col>
      <xdr:colOff>556260</xdr:colOff>
      <xdr:row>12</xdr:row>
      <xdr:rowOff>95250</xdr:rowOff>
    </xdr:from>
    <xdr:to>
      <xdr:col>67</xdr:col>
      <xdr:colOff>350520</xdr:colOff>
      <xdr:row>38</xdr:row>
      <xdr:rowOff>60960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609600</xdr:colOff>
      <xdr:row>39</xdr:row>
      <xdr:rowOff>53340</xdr:rowOff>
    </xdr:from>
    <xdr:to>
      <xdr:col>67</xdr:col>
      <xdr:colOff>358140</xdr:colOff>
      <xdr:row>64</xdr:row>
      <xdr:rowOff>144780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F06113A9-B5EC-47BC-ABB9-E897C100593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507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C9E4D87B-0603-44C4-8C07-05A7832AB4F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527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F163D9A-2928-489E-8790-01E9B89F99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538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77A30830-7B5C-45DB-BC85-FEEF214E4C4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578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F9F66E8A-2E13-45B3-91F7-101CFE8ECA4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619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32468</xdr:colOff>
      <xdr:row>21</xdr:row>
      <xdr:rowOff>26837</xdr:rowOff>
    </xdr:from>
    <xdr:to>
      <xdr:col>33</xdr:col>
      <xdr:colOff>469127</xdr:colOff>
      <xdr:row>43</xdr:row>
      <xdr:rowOff>71563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5F6D51-E66D-45A4-A679-49DBEB014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14248</xdr:colOff>
      <xdr:row>25</xdr:row>
      <xdr:rowOff>165983</xdr:rowOff>
    </xdr:from>
    <xdr:to>
      <xdr:col>34</xdr:col>
      <xdr:colOff>571502</xdr:colOff>
      <xdr:row>25</xdr:row>
      <xdr:rowOff>165983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F1DE2293-7248-40ED-AB1B-1B1E3F9F779F}"/>
            </a:ext>
          </a:extLst>
        </xdr:cNvPr>
        <xdr:cNvCxnSpPr/>
      </xdr:nvCxnSpPr>
      <xdr:spPr>
        <a:xfrm>
          <a:off x="1286457" y="6892786"/>
          <a:ext cx="17962659" cy="0"/>
        </a:xfrm>
        <a:prstGeom prst="line">
          <a:avLst/>
        </a:prstGeom>
        <a:ln w="222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166976</xdr:colOff>
      <xdr:row>1</xdr:row>
      <xdr:rowOff>71562</xdr:rowOff>
    </xdr:from>
    <xdr:to>
      <xdr:col>14</xdr:col>
      <xdr:colOff>429369</xdr:colOff>
      <xdr:row>22</xdr:row>
      <xdr:rowOff>43376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71642D1-8FB4-4548-A144-13CEF0FF7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976" y="302150"/>
          <a:ext cx="10058400" cy="4814158"/>
        </a:xfrm>
        <a:prstGeom prst="rect">
          <a:avLst/>
        </a:prstGeom>
      </xdr:spPr>
    </xdr:pic>
    <xdr:clientData/>
  </xdr:twoCellAnchor>
  <xdr:twoCellAnchor editAs="oneCell">
    <xdr:from>
      <xdr:col>0</xdr:col>
      <xdr:colOff>111318</xdr:colOff>
      <xdr:row>30</xdr:row>
      <xdr:rowOff>23854</xdr:rowOff>
    </xdr:from>
    <xdr:to>
      <xdr:col>14</xdr:col>
      <xdr:colOff>373711</xdr:colOff>
      <xdr:row>50</xdr:row>
      <xdr:rowOff>184181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4178BF7-BEFA-4857-A65C-7AD80077F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18" y="6941489"/>
          <a:ext cx="10058400" cy="477208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55660</xdr:colOff>
      <xdr:row>0</xdr:row>
      <xdr:rowOff>55661</xdr:rowOff>
    </xdr:from>
    <xdr:to>
      <xdr:col>9</xdr:col>
      <xdr:colOff>556591</xdr:colOff>
      <xdr:row>23</xdr:row>
      <xdr:rowOff>206735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999CA87-95CB-4074-BCC5-728E58F7D9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50"/>
        <a:stretch/>
      </xdr:blipFill>
      <xdr:spPr>
        <a:xfrm>
          <a:off x="55660" y="55661"/>
          <a:ext cx="10114058" cy="54545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0</xdr:row>
          <xdr:rowOff>53340</xdr:rowOff>
        </xdr:from>
        <xdr:to>
          <xdr:col>8</xdr:col>
          <xdr:colOff>472440</xdr:colOff>
          <xdr:row>2</xdr:row>
          <xdr:rowOff>182880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M$3:$AP$5" spid="_x0000_s11354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04360" y="53340"/>
              <a:ext cx="2156460" cy="66294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53</xdr:col>
      <xdr:colOff>556260</xdr:colOff>
      <xdr:row>12</xdr:row>
      <xdr:rowOff>95250</xdr:rowOff>
    </xdr:from>
    <xdr:to>
      <xdr:col>70</xdr:col>
      <xdr:colOff>350520</xdr:colOff>
      <xdr:row>38</xdr:row>
      <xdr:rowOff>60960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609600</xdr:colOff>
      <xdr:row>39</xdr:row>
      <xdr:rowOff>53340</xdr:rowOff>
    </xdr:from>
    <xdr:to>
      <xdr:col>66</xdr:col>
      <xdr:colOff>358140</xdr:colOff>
      <xdr:row>64</xdr:row>
      <xdr:rowOff>144780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M$3:$AP$5" spid="_x0000_s12119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61460" y="45720"/>
              <a:ext cx="2156460" cy="66294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53</xdr:col>
      <xdr:colOff>556260</xdr:colOff>
      <xdr:row>12</xdr:row>
      <xdr:rowOff>95250</xdr:rowOff>
    </xdr:from>
    <xdr:to>
      <xdr:col>70</xdr:col>
      <xdr:colOff>350520</xdr:colOff>
      <xdr:row>38</xdr:row>
      <xdr:rowOff>60960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609600</xdr:colOff>
      <xdr:row>39</xdr:row>
      <xdr:rowOff>53340</xdr:rowOff>
    </xdr:from>
    <xdr:to>
      <xdr:col>66</xdr:col>
      <xdr:colOff>358140</xdr:colOff>
      <xdr:row>64</xdr:row>
      <xdr:rowOff>144780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M$3:$AP$5" spid="_x0000_s10792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61460" y="45720"/>
              <a:ext cx="2156460" cy="66294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53</xdr:col>
      <xdr:colOff>556260</xdr:colOff>
      <xdr:row>12</xdr:row>
      <xdr:rowOff>95250</xdr:rowOff>
    </xdr:from>
    <xdr:to>
      <xdr:col>70</xdr:col>
      <xdr:colOff>350520</xdr:colOff>
      <xdr:row>38</xdr:row>
      <xdr:rowOff>60960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609600</xdr:colOff>
      <xdr:row>39</xdr:row>
      <xdr:rowOff>53340</xdr:rowOff>
    </xdr:from>
    <xdr:to>
      <xdr:col>66</xdr:col>
      <xdr:colOff>358140</xdr:colOff>
      <xdr:row>65</xdr:row>
      <xdr:rowOff>144780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M$3:$AP$5" spid="_x0000_s12486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061460" y="45720"/>
              <a:ext cx="2156460" cy="66294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53</xdr:col>
      <xdr:colOff>556260</xdr:colOff>
      <xdr:row>12</xdr:row>
      <xdr:rowOff>95250</xdr:rowOff>
    </xdr:from>
    <xdr:to>
      <xdr:col>70</xdr:col>
      <xdr:colOff>350520</xdr:colOff>
      <xdr:row>38</xdr:row>
      <xdr:rowOff>60960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609600</xdr:colOff>
      <xdr:row>39</xdr:row>
      <xdr:rowOff>53340</xdr:rowOff>
    </xdr:from>
    <xdr:to>
      <xdr:col>66</xdr:col>
      <xdr:colOff>358140</xdr:colOff>
      <xdr:row>65</xdr:row>
      <xdr:rowOff>144780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9AD47ED3-3C1D-4202-B81E-B92A7355FC1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16900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26118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F789679D-0921-4251-B168-2674C811382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1282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0</xdr:row>
          <xdr:rowOff>45720</xdr:rowOff>
        </xdr:from>
        <xdr:to>
          <xdr:col>8</xdr:col>
          <xdr:colOff>434340</xdr:colOff>
          <xdr:row>3</xdr:row>
          <xdr:rowOff>38100</xdr:rowOff>
        </xdr:to>
        <xdr:pic>
          <xdr:nvPicPr>
            <xdr:cNvPr id="2" name="그림 1">
              <a:extLst>
                <a:ext uri="{FF2B5EF4-FFF2-40B4-BE49-F238E27FC236}">
                  <a16:creationId xmlns:a16="http://schemas.microsoft.com/office/drawing/2014/main" id="{3973B279-A115-4BFE-8591-3D29C5C55AF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32427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281777" y="45720"/>
              <a:ext cx="2243262" cy="65233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6"/>
  <sheetViews>
    <sheetView workbookViewId="0">
      <selection activeCell="C16" sqref="C16:D16"/>
    </sheetView>
  </sheetViews>
  <sheetFormatPr defaultColWidth="8.69921875" defaultRowHeight="18.2"/>
  <cols>
    <col min="1" max="1" width="15.19921875" style="13" customWidth="1"/>
    <col min="2" max="2" width="12" style="13" customWidth="1"/>
    <col min="3" max="3" width="9.09765625" style="13" customWidth="1"/>
    <col min="4" max="5" width="8.59765625" style="13" customWidth="1"/>
    <col min="6" max="6" width="11.09765625" style="13" customWidth="1"/>
    <col min="7" max="7" width="8.296875" style="13" customWidth="1"/>
    <col min="8" max="8" width="7" style="13" customWidth="1"/>
    <col min="9" max="9" width="6.3984375" style="13" customWidth="1"/>
    <col min="10" max="10" width="11.19921875" style="13" bestFit="1" customWidth="1"/>
    <col min="11" max="11" width="10.19921875" style="13" customWidth="1"/>
    <col min="12" max="12" width="12.69921875" style="13" customWidth="1"/>
    <col min="13" max="13" width="10.09765625" style="13" customWidth="1"/>
    <col min="14" max="14" width="14.296875" style="13" customWidth="1"/>
    <col min="15" max="15" width="11.296875" style="13" customWidth="1"/>
    <col min="16" max="16" width="8.69921875" style="13" customWidth="1"/>
    <col min="17" max="17" width="9.3984375" style="13" customWidth="1"/>
    <col min="18" max="18" width="10.3984375" style="13" customWidth="1"/>
    <col min="19" max="19" width="9.19921875" style="13" bestFit="1" customWidth="1"/>
    <col min="20" max="20" width="8.69921875" style="13"/>
    <col min="21" max="21" width="10.296875" style="13" customWidth="1"/>
    <col min="22" max="22" width="9.296875" style="13" customWidth="1"/>
    <col min="23" max="23" width="9.59765625" style="13" bestFit="1" customWidth="1"/>
    <col min="24" max="24" width="8.69921875" style="13"/>
    <col min="25" max="25" width="9.69921875" style="13" customWidth="1"/>
    <col min="26" max="29" width="8.69921875" style="13"/>
    <col min="30" max="30" width="0.69921875" style="13" customWidth="1"/>
    <col min="31" max="31" width="9.796875" style="13" customWidth="1"/>
    <col min="32" max="35" width="8.69921875" style="13"/>
    <col min="36" max="36" width="4.5" style="13" customWidth="1"/>
    <col min="37" max="38" width="8" style="13" customWidth="1"/>
    <col min="39" max="42" width="8.5" style="13" customWidth="1"/>
    <col min="43" max="43" width="0.5" style="13" customWidth="1"/>
    <col min="44" max="44" width="8.69921875" style="13"/>
    <col min="45" max="48" width="8.69921875" style="13" customWidth="1"/>
    <col min="49" max="16384" width="8.69921875" style="13"/>
  </cols>
  <sheetData>
    <row r="1" spans="1:39" ht="21" customHeight="1">
      <c r="A1" s="756" t="s">
        <v>8</v>
      </c>
      <c r="B1" s="756"/>
      <c r="C1" s="756"/>
      <c r="D1" s="756"/>
      <c r="E1" s="756"/>
      <c r="F1" s="756"/>
      <c r="G1" s="756"/>
      <c r="H1" s="756"/>
      <c r="I1" s="756"/>
      <c r="T1" s="142" t="s">
        <v>62</v>
      </c>
      <c r="U1" s="46">
        <v>4081</v>
      </c>
      <c r="V1" s="42"/>
    </row>
    <row r="2" spans="1:39" ht="21" customHeight="1">
      <c r="A2" s="252"/>
      <c r="B2" s="252"/>
      <c r="C2" s="252"/>
      <c r="D2" s="252"/>
      <c r="E2" s="252"/>
      <c r="F2" s="252"/>
      <c r="G2" s="252"/>
      <c r="H2" s="252"/>
      <c r="I2" s="252"/>
      <c r="T2" s="142"/>
      <c r="U2" s="46"/>
      <c r="V2" s="42"/>
    </row>
    <row r="3" spans="1:39">
      <c r="J3" s="14"/>
      <c r="T3" s="142" t="s">
        <v>63</v>
      </c>
      <c r="U3" s="46">
        <v>4247</v>
      </c>
      <c r="V3" s="42">
        <f>U3-U1</f>
        <v>166</v>
      </c>
      <c r="AJ3" s="757" t="s">
        <v>229</v>
      </c>
      <c r="AK3" s="244" t="s">
        <v>230</v>
      </c>
      <c r="AL3" s="244" t="s">
        <v>231</v>
      </c>
      <c r="AM3" s="244" t="s">
        <v>232</v>
      </c>
    </row>
    <row r="4" spans="1:39">
      <c r="A4" s="15" t="s">
        <v>9</v>
      </c>
      <c r="H4" s="759" t="s">
        <v>238</v>
      </c>
      <c r="I4" s="760"/>
      <c r="K4" s="16"/>
      <c r="L4" s="81"/>
      <c r="T4" s="142" t="s">
        <v>64</v>
      </c>
      <c r="U4" s="48">
        <v>4287</v>
      </c>
      <c r="V4" s="42">
        <f t="shared" ref="V4" si="0">U4-U3</f>
        <v>40</v>
      </c>
      <c r="AJ4" s="758"/>
      <c r="AK4" s="734"/>
      <c r="AL4" s="734"/>
      <c r="AM4" s="734"/>
    </row>
    <row r="5" spans="1:39" ht="17.399999999999999" customHeight="1">
      <c r="A5" s="736" t="s">
        <v>10</v>
      </c>
      <c r="B5" s="738" t="s">
        <v>11</v>
      </c>
      <c r="C5" s="736" t="s">
        <v>12</v>
      </c>
      <c r="D5" s="740"/>
      <c r="E5" s="742" t="s">
        <v>39</v>
      </c>
      <c r="F5" s="743"/>
      <c r="G5" s="746" t="s">
        <v>144</v>
      </c>
      <c r="H5" s="747"/>
      <c r="I5" s="747"/>
      <c r="J5" s="75"/>
      <c r="K5" s="17"/>
      <c r="L5" s="748"/>
      <c r="M5" s="748"/>
      <c r="N5" s="748" t="s">
        <v>52</v>
      </c>
      <c r="O5" s="748"/>
      <c r="P5" s="251"/>
      <c r="Q5" s="251"/>
      <c r="T5" s="142" t="s">
        <v>68</v>
      </c>
      <c r="U5" s="48">
        <v>4332</v>
      </c>
      <c r="V5" s="42">
        <f>U5-U4</f>
        <v>45</v>
      </c>
      <c r="W5" s="48"/>
      <c r="AJ5" s="735"/>
      <c r="AK5" s="735"/>
      <c r="AL5" s="735"/>
      <c r="AM5" s="735"/>
    </row>
    <row r="6" spans="1:39" ht="18.8" thickBot="1">
      <c r="A6" s="737"/>
      <c r="B6" s="739"/>
      <c r="C6" s="737"/>
      <c r="D6" s="741"/>
      <c r="E6" s="744"/>
      <c r="F6" s="745"/>
      <c r="G6" s="87" t="s">
        <v>13</v>
      </c>
      <c r="H6" s="749" t="s">
        <v>239</v>
      </c>
      <c r="I6" s="750"/>
      <c r="K6" s="17"/>
      <c r="L6" s="251"/>
      <c r="M6" s="82"/>
      <c r="N6" s="251" t="s">
        <v>51</v>
      </c>
      <c r="O6" s="82"/>
      <c r="P6" s="82"/>
      <c r="Q6" s="82"/>
      <c r="T6" s="142" t="s">
        <v>65</v>
      </c>
      <c r="U6" s="42">
        <v>4171</v>
      </c>
      <c r="V6" s="42" t="e">
        <f>U6-#REF!</f>
        <v>#REF!</v>
      </c>
    </row>
    <row r="7" spans="1:39" ht="18.8" thickTop="1">
      <c r="A7" s="19" t="s">
        <v>14</v>
      </c>
      <c r="B7" s="20">
        <v>10.6</v>
      </c>
      <c r="C7" s="751">
        <v>846</v>
      </c>
      <c r="D7" s="752"/>
      <c r="E7" s="753">
        <f>C7/B7</f>
        <v>79.811320754716988</v>
      </c>
      <c r="F7" s="754"/>
      <c r="G7" s="88"/>
      <c r="H7" s="755"/>
      <c r="I7" s="755"/>
      <c r="K7" s="122"/>
      <c r="L7" s="84"/>
      <c r="M7" s="22"/>
      <c r="N7" s="17">
        <v>2191718</v>
      </c>
      <c r="O7" s="17"/>
      <c r="P7" s="17"/>
      <c r="R7" s="222" t="s">
        <v>179</v>
      </c>
      <c r="S7" s="145"/>
      <c r="T7" s="143" t="s">
        <v>69</v>
      </c>
      <c r="U7" s="42">
        <v>4021</v>
      </c>
      <c r="V7" s="42">
        <f>U7-U6</f>
        <v>-150</v>
      </c>
    </row>
    <row r="8" spans="1:39">
      <c r="A8" s="23" t="s">
        <v>15</v>
      </c>
      <c r="B8" s="74">
        <f>78+6.8+14.8+16.7+16.33+10.83+24+10.3+10.5+9.1+10.1+10.3+10.3+24+10.3+10.3+10.5+10.6</f>
        <v>293.76000000000005</v>
      </c>
      <c r="C8" s="769">
        <f>22354+846</f>
        <v>23200</v>
      </c>
      <c r="D8" s="770"/>
      <c r="E8" s="771">
        <f>C8/B8</f>
        <v>78.976034858387791</v>
      </c>
      <c r="F8" s="772"/>
      <c r="G8" s="86">
        <v>27950</v>
      </c>
      <c r="H8" s="773">
        <v>23200</v>
      </c>
      <c r="I8" s="773"/>
      <c r="J8" s="13">
        <f>30/60</f>
        <v>0.5</v>
      </c>
      <c r="K8" s="83"/>
      <c r="L8" s="84"/>
      <c r="M8" s="22"/>
      <c r="N8" s="14"/>
      <c r="Q8" s="59"/>
      <c r="T8" s="143" t="s">
        <v>66</v>
      </c>
      <c r="U8" s="48">
        <f>U7+V8</f>
        <v>4021</v>
      </c>
      <c r="V8" s="42"/>
    </row>
    <row r="9" spans="1:39">
      <c r="A9" s="23" t="s">
        <v>16</v>
      </c>
      <c r="B9" s="24">
        <f>B8</f>
        <v>293.76000000000005</v>
      </c>
      <c r="C9" s="774">
        <f>C8</f>
        <v>23200</v>
      </c>
      <c r="D9" s="775"/>
      <c r="E9" s="771">
        <f>C9/B9</f>
        <v>78.976034858387791</v>
      </c>
      <c r="F9" s="772"/>
      <c r="G9" s="21"/>
      <c r="H9" s="776"/>
      <c r="I9" s="777"/>
      <c r="K9" s="83"/>
      <c r="L9" s="85"/>
      <c r="M9" s="22"/>
      <c r="N9" s="123"/>
      <c r="Q9" s="219"/>
      <c r="R9" s="216">
        <f>2000*1930/10000</f>
        <v>386</v>
      </c>
      <c r="S9" s="207" t="s">
        <v>182</v>
      </c>
      <c r="T9" s="143" t="s">
        <v>71</v>
      </c>
      <c r="U9" s="48">
        <f>4021+W9</f>
        <v>3481</v>
      </c>
      <c r="V9" s="42"/>
      <c r="W9" s="144">
        <v>-540</v>
      </c>
    </row>
    <row r="10" spans="1:39">
      <c r="A10" s="262" t="s">
        <v>240</v>
      </c>
      <c r="B10" s="25"/>
      <c r="F10" s="27"/>
      <c r="G10" s="27"/>
      <c r="H10" s="28"/>
      <c r="I10" s="28"/>
      <c r="K10" s="223"/>
      <c r="L10" s="85"/>
      <c r="M10" s="22"/>
      <c r="N10" s="14"/>
      <c r="Q10" s="219">
        <v>210</v>
      </c>
      <c r="R10" s="216">
        <v>540</v>
      </c>
      <c r="S10" s="207" t="s">
        <v>180</v>
      </c>
      <c r="T10" s="143" t="s">
        <v>70</v>
      </c>
      <c r="U10" s="48">
        <v>3788</v>
      </c>
      <c r="V10" s="42">
        <f>U10-U9</f>
        <v>307</v>
      </c>
    </row>
    <row r="11" spans="1:39" ht="10.8" customHeight="1">
      <c r="A11" s="236"/>
      <c r="B11" s="25"/>
      <c r="C11" s="26"/>
      <c r="D11" s="26"/>
      <c r="E11" s="26"/>
      <c r="F11" s="27"/>
      <c r="G11" s="106"/>
      <c r="H11" s="28"/>
      <c r="I11" s="28"/>
      <c r="K11" s="91"/>
      <c r="L11" s="85"/>
      <c r="M11" s="22"/>
      <c r="N11" s="14"/>
      <c r="Q11" s="219">
        <v>-80</v>
      </c>
      <c r="R11" s="216">
        <v>-100</v>
      </c>
      <c r="S11" s="207" t="s">
        <v>181</v>
      </c>
      <c r="T11" s="141" t="s">
        <v>74</v>
      </c>
      <c r="U11" s="48">
        <v>3667</v>
      </c>
      <c r="V11" s="42">
        <f>U11-U10</f>
        <v>-121</v>
      </c>
    </row>
    <row r="12" spans="1:39">
      <c r="A12" s="31" t="s">
        <v>17</v>
      </c>
      <c r="J12" s="32"/>
      <c r="K12" s="146"/>
      <c r="L12" s="29"/>
      <c r="M12" s="102"/>
      <c r="Q12" s="219">
        <v>326</v>
      </c>
      <c r="R12" s="216">
        <v>275</v>
      </c>
      <c r="S12" s="222" t="s">
        <v>188</v>
      </c>
      <c r="T12" s="141" t="s">
        <v>75</v>
      </c>
      <c r="U12" s="42">
        <v>3982</v>
      </c>
      <c r="V12" s="42">
        <f>U12-U11</f>
        <v>315</v>
      </c>
    </row>
    <row r="13" spans="1:39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K13" s="282" t="s">
        <v>259</v>
      </c>
      <c r="L13" s="107">
        <v>68917357</v>
      </c>
      <c r="M13" s="278" t="s">
        <v>262</v>
      </c>
      <c r="N13" s="36">
        <v>28154880</v>
      </c>
      <c r="O13" s="36">
        <f>L13+N13</f>
        <v>97072237</v>
      </c>
      <c r="Q13" s="219">
        <v>231</v>
      </c>
      <c r="R13" s="216"/>
      <c r="S13" s="208" t="s">
        <v>183</v>
      </c>
      <c r="T13" s="141" t="s">
        <v>76</v>
      </c>
      <c r="U13" s="42">
        <v>4081</v>
      </c>
      <c r="V13" s="42">
        <f>U13-U12</f>
        <v>99</v>
      </c>
    </row>
    <row r="14" spans="1:39" ht="18.8" thickBot="1">
      <c r="A14" s="762"/>
      <c r="B14" s="250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282" t="s">
        <v>260</v>
      </c>
      <c r="L14" s="107">
        <v>914400</v>
      </c>
      <c r="M14" s="102"/>
      <c r="O14" s="42">
        <f>L14</f>
        <v>914400</v>
      </c>
      <c r="Q14" s="219"/>
      <c r="R14" s="216">
        <v>73</v>
      </c>
      <c r="S14" s="208" t="s">
        <v>184</v>
      </c>
      <c r="T14" s="141"/>
      <c r="U14" s="42"/>
      <c r="V14" s="42"/>
    </row>
    <row r="15" spans="1:39" ht="18.8" thickTop="1">
      <c r="A15" s="19" t="s">
        <v>14</v>
      </c>
      <c r="B15" s="37">
        <v>32940</v>
      </c>
      <c r="C15" s="753">
        <f>(B15/C7)-0.1</f>
        <v>38.836170212765957</v>
      </c>
      <c r="D15" s="754"/>
      <c r="E15" s="779">
        <v>4881</v>
      </c>
      <c r="F15" s="779"/>
      <c r="G15" s="780">
        <f>E15/C7</f>
        <v>5.7695035460992905</v>
      </c>
      <c r="H15" s="780"/>
      <c r="I15" s="780"/>
      <c r="J15" s="256"/>
      <c r="K15" s="281" t="s">
        <v>261</v>
      </c>
      <c r="L15" s="147">
        <f>L13/L14</f>
        <v>75.368938101487316</v>
      </c>
      <c r="M15" s="34"/>
      <c r="O15" s="49">
        <f>O13/O14</f>
        <v>106.15948928258967</v>
      </c>
      <c r="Q15" s="219">
        <v>56</v>
      </c>
      <c r="R15" s="216"/>
      <c r="S15" s="215" t="s">
        <v>185</v>
      </c>
    </row>
    <row r="16" spans="1:39">
      <c r="A16" s="23" t="s">
        <v>15</v>
      </c>
      <c r="B16" s="38">
        <f>591360+31680+31980+31380+69000+31620+31620+31320+32940</f>
        <v>882900</v>
      </c>
      <c r="C16" s="771">
        <f>B16/C8</f>
        <v>38.056034482758619</v>
      </c>
      <c r="D16" s="772"/>
      <c r="E16" s="781">
        <f>3302+7039+6850+6899+11101+3539+6539+7583+7496+4739+10971+4814+4715+4272+4561+4652+4593+10891+4662+4750+4326+5167</f>
        <v>133461</v>
      </c>
      <c r="F16" s="781"/>
      <c r="G16" s="782">
        <f>E16/C8</f>
        <v>5.7526293103448278</v>
      </c>
      <c r="H16" s="782"/>
      <c r="I16" s="782"/>
      <c r="K16" s="280"/>
      <c r="L16" s="33"/>
      <c r="M16" s="33"/>
      <c r="N16" s="33"/>
      <c r="Q16" s="216">
        <v>-39</v>
      </c>
      <c r="R16" s="216"/>
      <c r="S16" s="215" t="s">
        <v>186</v>
      </c>
    </row>
    <row r="17" spans="1:48">
      <c r="A17" s="23" t="s">
        <v>16</v>
      </c>
      <c r="B17" s="39">
        <f>B16</f>
        <v>882900</v>
      </c>
      <c r="C17" s="797">
        <f>B17/C9</f>
        <v>38.056034482758619</v>
      </c>
      <c r="D17" s="798"/>
      <c r="E17" s="799">
        <f>E16</f>
        <v>133461</v>
      </c>
      <c r="F17" s="799"/>
      <c r="G17" s="800">
        <f>E17/C9</f>
        <v>5.7526293103448278</v>
      </c>
      <c r="H17" s="800"/>
      <c r="I17" s="800"/>
      <c r="J17" s="279" t="s">
        <v>263</v>
      </c>
      <c r="K17" s="33">
        <v>39.409999999999997</v>
      </c>
      <c r="L17" s="33">
        <v>5.99</v>
      </c>
      <c r="Q17" s="92">
        <v>300</v>
      </c>
      <c r="R17" s="92">
        <v>32</v>
      </c>
      <c r="S17" s="222" t="s">
        <v>188</v>
      </c>
      <c r="Y17" s="854" t="s">
        <v>225</v>
      </c>
      <c r="Z17" s="854"/>
      <c r="AA17" s="854"/>
      <c r="AB17" s="854"/>
      <c r="AL17" s="854" t="s">
        <v>241</v>
      </c>
      <c r="AM17" s="854"/>
      <c r="AN17" s="854"/>
      <c r="AO17" s="854"/>
    </row>
    <row r="18" spans="1:48">
      <c r="A18" s="139" t="s">
        <v>72</v>
      </c>
      <c r="J18" s="41"/>
      <c r="K18" s="42">
        <f>C9*5.9</f>
        <v>136880</v>
      </c>
      <c r="N18" s="133"/>
      <c r="Q18" s="219">
        <v>-1</v>
      </c>
      <c r="R18" s="219">
        <v>-139</v>
      </c>
      <c r="S18" s="222" t="s">
        <v>189</v>
      </c>
    </row>
    <row r="19" spans="1:48">
      <c r="A19" s="186" t="s">
        <v>145</v>
      </c>
      <c r="J19" s="43"/>
      <c r="K19" s="121"/>
      <c r="L19" s="33"/>
      <c r="N19" s="129"/>
      <c r="Q19" s="219"/>
      <c r="R19" s="219">
        <v>17</v>
      </c>
      <c r="S19" s="239" t="s">
        <v>228</v>
      </c>
    </row>
    <row r="20" spans="1:48" ht="12.05" customHeight="1">
      <c r="A20" s="40"/>
      <c r="B20" s="44"/>
      <c r="C20" s="36"/>
      <c r="D20" s="36"/>
      <c r="E20" s="36"/>
      <c r="F20" s="36"/>
      <c r="J20" s="45"/>
      <c r="K20" s="169"/>
      <c r="L20" s="60"/>
      <c r="N20" s="131"/>
      <c r="Q20" s="219"/>
      <c r="R20" s="219">
        <v>-188</v>
      </c>
      <c r="S20" s="243" t="s">
        <v>233</v>
      </c>
      <c r="Y20" s="32" t="s">
        <v>222</v>
      </c>
      <c r="AE20" s="32" t="s">
        <v>224</v>
      </c>
      <c r="AL20" s="32" t="s">
        <v>222</v>
      </c>
      <c r="AR20" s="32" t="s">
        <v>224</v>
      </c>
    </row>
    <row r="21" spans="1:48">
      <c r="A21" s="15" t="s">
        <v>49</v>
      </c>
      <c r="J21" s="43"/>
      <c r="K21" s="170"/>
      <c r="Q21" s="219"/>
      <c r="R21" s="219">
        <v>116</v>
      </c>
      <c r="S21" s="257" t="s">
        <v>235</v>
      </c>
      <c r="Y21" s="225" t="s">
        <v>153</v>
      </c>
      <c r="Z21" s="225" t="s">
        <v>217</v>
      </c>
      <c r="AA21" s="225" t="s">
        <v>218</v>
      </c>
      <c r="AB21" s="225" t="s">
        <v>219</v>
      </c>
      <c r="AC21" s="225" t="s">
        <v>31</v>
      </c>
      <c r="AE21" s="225" t="s">
        <v>153</v>
      </c>
      <c r="AF21" s="225" t="s">
        <v>217</v>
      </c>
      <c r="AG21" s="225" t="s">
        <v>218</v>
      </c>
      <c r="AH21" s="225" t="s">
        <v>219</v>
      </c>
      <c r="AI21" s="225" t="s">
        <v>31</v>
      </c>
      <c r="AL21" s="225" t="s">
        <v>153</v>
      </c>
      <c r="AM21" s="263" t="s">
        <v>242</v>
      </c>
      <c r="AN21" s="263" t="s">
        <v>243</v>
      </c>
      <c r="AO21" s="263" t="s">
        <v>244</v>
      </c>
      <c r="AP21" s="263" t="s">
        <v>245</v>
      </c>
      <c r="AR21" s="225" t="s">
        <v>153</v>
      </c>
      <c r="AS21" s="263" t="s">
        <v>242</v>
      </c>
      <c r="AT21" s="263" t="s">
        <v>243</v>
      </c>
      <c r="AU21" s="263" t="s">
        <v>244</v>
      </c>
      <c r="AV21" s="263" t="s">
        <v>245</v>
      </c>
    </row>
    <row r="22" spans="1:48" ht="15.65" customHeight="1">
      <c r="A22" s="761" t="s">
        <v>0</v>
      </c>
      <c r="B22" s="738" t="s">
        <v>24</v>
      </c>
      <c r="C22" s="736" t="s">
        <v>25</v>
      </c>
      <c r="D22" s="740"/>
      <c r="E22" s="736" t="s">
        <v>26</v>
      </c>
      <c r="F22" s="740"/>
      <c r="G22" s="766" t="s">
        <v>27</v>
      </c>
      <c r="H22" s="766"/>
      <c r="I22" s="766"/>
      <c r="J22" s="47"/>
      <c r="K22" s="171"/>
      <c r="L22" s="60"/>
      <c r="Q22" s="219"/>
      <c r="R22" s="219">
        <f>L35</f>
        <v>-97.297199999998654</v>
      </c>
      <c r="S22" s="257" t="s">
        <v>184</v>
      </c>
      <c r="Y22" s="226" t="s">
        <v>190</v>
      </c>
      <c r="Z22" s="249">
        <v>0</v>
      </c>
      <c r="AA22" s="249">
        <v>0</v>
      </c>
      <c r="AB22" s="249">
        <v>0</v>
      </c>
      <c r="AC22" s="249">
        <f>SUM(Z22:AB22)</f>
        <v>0</v>
      </c>
      <c r="AE22" s="226" t="s">
        <v>190</v>
      </c>
      <c r="AF22" s="249">
        <v>0</v>
      </c>
      <c r="AG22" s="249">
        <v>0</v>
      </c>
      <c r="AH22" s="249">
        <v>0</v>
      </c>
      <c r="AI22" s="249">
        <f>SUM(AF22:AH22)</f>
        <v>0</v>
      </c>
      <c r="AL22" s="226" t="s">
        <v>190</v>
      </c>
      <c r="AM22" s="249"/>
      <c r="AN22" s="249"/>
      <c r="AO22" s="249"/>
      <c r="AP22" s="249"/>
      <c r="AR22" s="226" t="s">
        <v>190</v>
      </c>
      <c r="AS22" s="249"/>
      <c r="AT22" s="249"/>
      <c r="AU22" s="249"/>
      <c r="AV22" s="249"/>
    </row>
    <row r="23" spans="1:48" ht="15.65" customHeight="1" thickBot="1">
      <c r="A23" s="778"/>
      <c r="B23" s="739"/>
      <c r="C23" s="737"/>
      <c r="D23" s="741"/>
      <c r="E23" s="737"/>
      <c r="F23" s="741"/>
      <c r="G23" s="89" t="s">
        <v>53</v>
      </c>
      <c r="H23" s="89" t="s">
        <v>54</v>
      </c>
      <c r="I23" s="89" t="s">
        <v>55</v>
      </c>
      <c r="J23" s="47"/>
      <c r="K23" s="135"/>
      <c r="L23" s="135"/>
      <c r="N23" s="134"/>
      <c r="O23" s="46"/>
      <c r="P23" s="48"/>
      <c r="Q23" s="42">
        <f>L36</f>
        <v>-53.591999999999999</v>
      </c>
      <c r="S23" s="257" t="s">
        <v>237</v>
      </c>
      <c r="Y23" s="226" t="s">
        <v>191</v>
      </c>
      <c r="Z23" s="249">
        <v>7.7</v>
      </c>
      <c r="AA23" s="249">
        <v>0</v>
      </c>
      <c r="AB23" s="249">
        <v>0</v>
      </c>
      <c r="AC23" s="249">
        <f t="shared" ref="AC23:AC52" si="1">SUM(Z23:AB23)</f>
        <v>7.7</v>
      </c>
      <c r="AE23" s="226" t="s">
        <v>191</v>
      </c>
      <c r="AF23" s="249">
        <v>10</v>
      </c>
      <c r="AG23" s="249">
        <v>8</v>
      </c>
      <c r="AH23" s="249">
        <v>6</v>
      </c>
      <c r="AI23" s="249">
        <f t="shared" ref="AI23:AI33" si="2">SUM(AF23:AH23)</f>
        <v>24</v>
      </c>
      <c r="AL23" s="226" t="s">
        <v>191</v>
      </c>
      <c r="AM23" s="249"/>
      <c r="AN23" s="249"/>
      <c r="AO23" s="249"/>
      <c r="AP23" s="249"/>
      <c r="AR23" s="226" t="s">
        <v>191</v>
      </c>
      <c r="AS23" s="249"/>
      <c r="AT23" s="249"/>
      <c r="AU23" s="249"/>
      <c r="AV23" s="249"/>
    </row>
    <row r="24" spans="1:48" ht="16.75" customHeight="1" thickTop="1">
      <c r="A24" s="95" t="s">
        <v>57</v>
      </c>
      <c r="B24" s="783">
        <v>4091</v>
      </c>
      <c r="C24" s="785">
        <v>846</v>
      </c>
      <c r="D24" s="786"/>
      <c r="E24" s="787">
        <v>787</v>
      </c>
      <c r="F24" s="788"/>
      <c r="G24" s="791">
        <v>4285</v>
      </c>
      <c r="H24" s="793">
        <f>B24+C24+C25-E24</f>
        <v>4150</v>
      </c>
      <c r="I24" s="793">
        <f>G24-H24</f>
        <v>135</v>
      </c>
      <c r="L24" s="49"/>
      <c r="N24" s="46"/>
      <c r="O24" s="36"/>
      <c r="P24" s="48"/>
      <c r="Q24" s="42">
        <f>L37</f>
        <v>6.6</v>
      </c>
      <c r="S24" s="257" t="s">
        <v>236</v>
      </c>
      <c r="Y24" s="226" t="s">
        <v>192</v>
      </c>
      <c r="Z24" s="249">
        <v>10</v>
      </c>
      <c r="AA24" s="249">
        <v>3.8</v>
      </c>
      <c r="AB24" s="249">
        <v>2</v>
      </c>
      <c r="AC24" s="249">
        <f t="shared" si="1"/>
        <v>15.8</v>
      </c>
      <c r="AE24" s="226" t="s">
        <v>192</v>
      </c>
      <c r="AF24" s="249">
        <v>10</v>
      </c>
      <c r="AG24" s="249">
        <v>8</v>
      </c>
      <c r="AH24" s="249">
        <v>6</v>
      </c>
      <c r="AI24" s="249">
        <f t="shared" si="2"/>
        <v>24</v>
      </c>
      <c r="AL24" s="226" t="s">
        <v>192</v>
      </c>
      <c r="AM24" s="249"/>
      <c r="AN24" s="249"/>
      <c r="AO24" s="249"/>
      <c r="AP24" s="249"/>
      <c r="AR24" s="226" t="s">
        <v>192</v>
      </c>
      <c r="AS24" s="249"/>
      <c r="AT24" s="249"/>
      <c r="AU24" s="249"/>
      <c r="AV24" s="249"/>
    </row>
    <row r="25" spans="1:48" ht="16.75" customHeight="1">
      <c r="A25" s="96" t="s">
        <v>58</v>
      </c>
      <c r="B25" s="784"/>
      <c r="C25" s="795"/>
      <c r="D25" s="796"/>
      <c r="E25" s="789"/>
      <c r="F25" s="790"/>
      <c r="G25" s="792"/>
      <c r="H25" s="794"/>
      <c r="I25" s="794"/>
      <c r="K25" s="49"/>
      <c r="L25" s="136"/>
      <c r="M25" s="136"/>
      <c r="N25" s="237"/>
      <c r="O25" s="218"/>
      <c r="P25" s="137"/>
      <c r="Y25" s="226" t="s">
        <v>193</v>
      </c>
      <c r="Z25" s="249">
        <v>10</v>
      </c>
      <c r="AA25" s="249">
        <v>3</v>
      </c>
      <c r="AB25" s="249">
        <v>2</v>
      </c>
      <c r="AC25" s="249">
        <f t="shared" si="1"/>
        <v>15</v>
      </c>
      <c r="AE25" s="226" t="s">
        <v>193</v>
      </c>
      <c r="AF25" s="249">
        <v>10</v>
      </c>
      <c r="AG25" s="249">
        <v>8</v>
      </c>
      <c r="AH25" s="249">
        <v>2.4</v>
      </c>
      <c r="AI25" s="249">
        <f t="shared" si="2"/>
        <v>20.399999999999999</v>
      </c>
      <c r="AL25" s="226" t="s">
        <v>193</v>
      </c>
      <c r="AM25" s="249"/>
      <c r="AN25" s="249"/>
      <c r="AO25" s="249"/>
      <c r="AP25" s="249"/>
      <c r="AR25" s="226" t="s">
        <v>193</v>
      </c>
      <c r="AS25" s="249"/>
      <c r="AT25" s="249"/>
      <c r="AU25" s="249"/>
      <c r="AV25" s="249"/>
    </row>
    <row r="26" spans="1:48" ht="16.75" customHeight="1">
      <c r="A26" s="97" t="s">
        <v>59</v>
      </c>
      <c r="B26" s="811">
        <v>3204</v>
      </c>
      <c r="C26" s="813"/>
      <c r="D26" s="814"/>
      <c r="E26" s="815">
        <v>146</v>
      </c>
      <c r="F26" s="816"/>
      <c r="G26" s="801">
        <v>3030</v>
      </c>
      <c r="H26" s="803">
        <f>B26+C26+C27-E26-E28</f>
        <v>3058</v>
      </c>
      <c r="I26" s="803">
        <f>G26-H26</f>
        <v>-28</v>
      </c>
      <c r="J26" s="50"/>
      <c r="K26" s="60"/>
      <c r="N26" s="129"/>
      <c r="O26" s="129"/>
      <c r="P26" s="129"/>
      <c r="Y26" s="226" t="s">
        <v>194</v>
      </c>
      <c r="Z26" s="249">
        <v>10</v>
      </c>
      <c r="AA26" s="249">
        <v>3.7</v>
      </c>
      <c r="AB26" s="249">
        <v>2</v>
      </c>
      <c r="AC26" s="249">
        <f t="shared" si="1"/>
        <v>15.7</v>
      </c>
      <c r="AE26" s="226" t="s">
        <v>194</v>
      </c>
      <c r="AF26" s="249">
        <v>10</v>
      </c>
      <c r="AG26" s="249">
        <v>7.5</v>
      </c>
      <c r="AH26" s="249">
        <v>6</v>
      </c>
      <c r="AI26" s="249">
        <f t="shared" si="2"/>
        <v>23.5</v>
      </c>
      <c r="AL26" s="226" t="s">
        <v>194</v>
      </c>
      <c r="AM26" s="249"/>
      <c r="AN26" s="249"/>
      <c r="AO26" s="249"/>
      <c r="AP26" s="249"/>
      <c r="AR26" s="226" t="s">
        <v>194</v>
      </c>
      <c r="AS26" s="249"/>
      <c r="AT26" s="249"/>
      <c r="AU26" s="249"/>
      <c r="AV26" s="249"/>
    </row>
    <row r="27" spans="1:48" ht="16.75" customHeight="1">
      <c r="A27" s="174" t="s">
        <v>60</v>
      </c>
      <c r="B27" s="812"/>
      <c r="C27" s="819"/>
      <c r="D27" s="820"/>
      <c r="E27" s="817"/>
      <c r="F27" s="818"/>
      <c r="G27" s="802"/>
      <c r="H27" s="804"/>
      <c r="I27" s="804"/>
      <c r="J27" s="50"/>
      <c r="K27" s="60"/>
      <c r="L27" s="113"/>
      <c r="M27" s="48"/>
      <c r="N27" s="131"/>
      <c r="O27" s="130"/>
      <c r="P27" s="35"/>
      <c r="Y27" s="227" t="s">
        <v>88</v>
      </c>
      <c r="Z27" s="249">
        <v>24</v>
      </c>
      <c r="AA27" s="249">
        <v>0</v>
      </c>
      <c r="AB27" s="249">
        <v>0</v>
      </c>
      <c r="AC27" s="249">
        <f t="shared" si="1"/>
        <v>24</v>
      </c>
      <c r="AE27" s="229" t="s">
        <v>88</v>
      </c>
      <c r="AF27" s="249">
        <v>10</v>
      </c>
      <c r="AG27" s="249">
        <v>8</v>
      </c>
      <c r="AH27" s="249">
        <v>6</v>
      </c>
      <c r="AI27" s="249">
        <f t="shared" si="2"/>
        <v>24</v>
      </c>
      <c r="AL27" s="227" t="s">
        <v>88</v>
      </c>
      <c r="AM27" s="249"/>
      <c r="AN27" s="249"/>
      <c r="AO27" s="249"/>
      <c r="AP27" s="249"/>
      <c r="AR27" s="229" t="s">
        <v>88</v>
      </c>
      <c r="AS27" s="249"/>
      <c r="AT27" s="249"/>
      <c r="AU27" s="249"/>
      <c r="AV27" s="249"/>
    </row>
    <row r="28" spans="1:48" ht="16.75" customHeight="1">
      <c r="A28" s="175" t="s">
        <v>43</v>
      </c>
      <c r="B28" s="812"/>
      <c r="C28" s="807"/>
      <c r="D28" s="808"/>
      <c r="E28" s="809"/>
      <c r="F28" s="810"/>
      <c r="G28" s="802"/>
      <c r="H28" s="804"/>
      <c r="I28" s="804"/>
      <c r="J28" s="14"/>
      <c r="K28" s="199"/>
      <c r="L28" s="46"/>
      <c r="M28" s="48"/>
      <c r="O28" s="35"/>
      <c r="Y28" s="226" t="s">
        <v>195</v>
      </c>
      <c r="Z28" s="249">
        <v>0</v>
      </c>
      <c r="AA28" s="249">
        <v>0</v>
      </c>
      <c r="AB28" s="249">
        <v>0</v>
      </c>
      <c r="AC28" s="249">
        <f t="shared" si="1"/>
        <v>0</v>
      </c>
      <c r="AE28" s="227" t="s">
        <v>89</v>
      </c>
      <c r="AF28" s="249">
        <v>24</v>
      </c>
      <c r="AG28" s="249">
        <v>0</v>
      </c>
      <c r="AH28" s="249">
        <v>0</v>
      </c>
      <c r="AI28" s="249">
        <f t="shared" si="2"/>
        <v>24</v>
      </c>
      <c r="AL28" s="226" t="s">
        <v>195</v>
      </c>
      <c r="AM28" s="249"/>
      <c r="AN28" s="249"/>
      <c r="AO28" s="249"/>
      <c r="AP28" s="249"/>
      <c r="AR28" s="227" t="s">
        <v>89</v>
      </c>
      <c r="AS28" s="249"/>
      <c r="AT28" s="249"/>
      <c r="AU28" s="249"/>
      <c r="AV28" s="249"/>
    </row>
    <row r="29" spans="1:48" ht="16.75" customHeight="1">
      <c r="A29" s="172" t="s">
        <v>141</v>
      </c>
      <c r="B29" s="811">
        <v>9058</v>
      </c>
      <c r="C29" s="829"/>
      <c r="D29" s="830"/>
      <c r="E29" s="815"/>
      <c r="F29" s="816"/>
      <c r="G29" s="801">
        <v>9058</v>
      </c>
      <c r="H29" s="803">
        <f>B29+C29+C30-E29-E31</f>
        <v>9058</v>
      </c>
      <c r="I29" s="803">
        <f>G29-H29</f>
        <v>0</v>
      </c>
      <c r="J29" s="14"/>
      <c r="K29" s="210">
        <f>90600*1.005</f>
        <v>91052.999999999985</v>
      </c>
      <c r="L29" s="124">
        <v>90000</v>
      </c>
      <c r="M29" s="42">
        <f>L29-K29</f>
        <v>-1052.9999999999854</v>
      </c>
      <c r="N29" s="13">
        <v>924</v>
      </c>
      <c r="O29" s="35"/>
      <c r="Y29" s="226" t="s">
        <v>196</v>
      </c>
      <c r="Z29" s="249">
        <v>0</v>
      </c>
      <c r="AA29" s="249">
        <v>0</v>
      </c>
      <c r="AB29" s="249">
        <v>0</v>
      </c>
      <c r="AC29" s="249">
        <f t="shared" si="1"/>
        <v>0</v>
      </c>
      <c r="AE29" s="229" t="s">
        <v>90</v>
      </c>
      <c r="AF29" s="249">
        <v>10</v>
      </c>
      <c r="AG29" s="249">
        <v>8</v>
      </c>
      <c r="AH29" s="249">
        <v>6</v>
      </c>
      <c r="AI29" s="249">
        <f t="shared" si="2"/>
        <v>24</v>
      </c>
      <c r="AL29" s="226" t="s">
        <v>196</v>
      </c>
      <c r="AM29" s="249"/>
      <c r="AN29" s="249"/>
      <c r="AO29" s="249"/>
      <c r="AP29" s="249"/>
      <c r="AR29" s="229" t="s">
        <v>90</v>
      </c>
      <c r="AS29" s="249"/>
      <c r="AT29" s="249"/>
      <c r="AU29" s="249"/>
      <c r="AV29" s="249"/>
    </row>
    <row r="30" spans="1:48" ht="16.75" customHeight="1">
      <c r="A30" s="173" t="s">
        <v>142</v>
      </c>
      <c r="B30" s="812"/>
      <c r="C30" s="805"/>
      <c r="D30" s="806"/>
      <c r="E30" s="831"/>
      <c r="F30" s="832"/>
      <c r="G30" s="802"/>
      <c r="H30" s="804"/>
      <c r="I30" s="804"/>
      <c r="J30" s="14"/>
      <c r="K30" s="209">
        <v>34210</v>
      </c>
      <c r="L30" s="124">
        <v>34000</v>
      </c>
      <c r="M30" s="42">
        <f>L30-K30</f>
        <v>-210</v>
      </c>
      <c r="N30" s="13">
        <v>2552</v>
      </c>
      <c r="O30" s="35"/>
      <c r="Y30" s="226" t="s">
        <v>197</v>
      </c>
      <c r="Z30" s="249">
        <v>0</v>
      </c>
      <c r="AA30" s="249">
        <v>0</v>
      </c>
      <c r="AB30" s="249">
        <v>0</v>
      </c>
      <c r="AC30" s="249">
        <f t="shared" si="1"/>
        <v>0</v>
      </c>
      <c r="AE30" s="229" t="s">
        <v>92</v>
      </c>
      <c r="AF30" s="249">
        <v>8.9</v>
      </c>
      <c r="AG30" s="249">
        <v>1</v>
      </c>
      <c r="AH30" s="249">
        <v>3.7</v>
      </c>
      <c r="AI30" s="249">
        <f t="shared" si="2"/>
        <v>13.600000000000001</v>
      </c>
      <c r="AL30" s="226" t="s">
        <v>197</v>
      </c>
      <c r="AM30" s="249"/>
      <c r="AN30" s="249"/>
      <c r="AO30" s="249"/>
      <c r="AP30" s="249"/>
      <c r="AR30" s="229" t="s">
        <v>92</v>
      </c>
      <c r="AS30" s="249"/>
      <c r="AT30" s="249"/>
      <c r="AU30" s="249"/>
      <c r="AV30" s="249"/>
    </row>
    <row r="31" spans="1:48" ht="16.75" customHeight="1">
      <c r="A31" s="176" t="s">
        <v>143</v>
      </c>
      <c r="B31" s="784"/>
      <c r="C31" s="807"/>
      <c r="D31" s="808"/>
      <c r="E31" s="809"/>
      <c r="F31" s="810"/>
      <c r="G31" s="792"/>
      <c r="H31" s="794"/>
      <c r="I31" s="804"/>
      <c r="J31" s="242"/>
      <c r="K31" s="210">
        <v>68390</v>
      </c>
      <c r="L31" s="124">
        <v>68500</v>
      </c>
      <c r="M31" s="42">
        <f>L31-K31</f>
        <v>110</v>
      </c>
      <c r="N31" s="13">
        <v>600</v>
      </c>
      <c r="O31" s="132"/>
      <c r="Q31" s="219"/>
      <c r="R31" s="219"/>
      <c r="Y31" s="226" t="s">
        <v>198</v>
      </c>
      <c r="Z31" s="249">
        <v>0</v>
      </c>
      <c r="AA31" s="249">
        <v>0</v>
      </c>
      <c r="AB31" s="249">
        <v>0</v>
      </c>
      <c r="AC31" s="249">
        <f t="shared" si="1"/>
        <v>0</v>
      </c>
      <c r="AE31" s="229" t="s">
        <v>93</v>
      </c>
      <c r="AF31" s="249">
        <v>10</v>
      </c>
      <c r="AG31" s="249">
        <v>8</v>
      </c>
      <c r="AH31" s="249">
        <v>6</v>
      </c>
      <c r="AI31" s="249">
        <f t="shared" si="2"/>
        <v>24</v>
      </c>
      <c r="AL31" s="226" t="s">
        <v>198</v>
      </c>
      <c r="AM31" s="249"/>
      <c r="AN31" s="249"/>
      <c r="AO31" s="249"/>
      <c r="AP31" s="249"/>
      <c r="AR31" s="229" t="s">
        <v>93</v>
      </c>
      <c r="AS31" s="249"/>
      <c r="AT31" s="249"/>
      <c r="AU31" s="249"/>
      <c r="AV31" s="249"/>
    </row>
    <row r="32" spans="1:48" ht="16.75" customHeight="1" thickBot="1">
      <c r="A32" s="53" t="s">
        <v>28</v>
      </c>
      <c r="B32" s="78">
        <f>SUM(B24:B31)</f>
        <v>16353</v>
      </c>
      <c r="C32" s="821">
        <f>SUM(C24:D31)</f>
        <v>846</v>
      </c>
      <c r="D32" s="822"/>
      <c r="E32" s="821">
        <f>SUM(E24:F31)</f>
        <v>933</v>
      </c>
      <c r="F32" s="822"/>
      <c r="G32" s="247">
        <f>G24+G26+G29</f>
        <v>16373</v>
      </c>
      <c r="H32" s="247">
        <f>H24+H26+H29</f>
        <v>16266</v>
      </c>
      <c r="I32" s="247">
        <f>I24+I26+I29</f>
        <v>107</v>
      </c>
      <c r="J32" s="14"/>
      <c r="K32" s="140"/>
      <c r="M32" s="42"/>
      <c r="N32" s="13">
        <f>SUM(N30:N31)</f>
        <v>3152</v>
      </c>
      <c r="Q32" s="219"/>
      <c r="R32" s="219"/>
      <c r="Y32" s="226" t="s">
        <v>199</v>
      </c>
      <c r="Z32" s="249">
        <v>0</v>
      </c>
      <c r="AA32" s="249">
        <v>0</v>
      </c>
      <c r="AB32" s="249">
        <v>0</v>
      </c>
      <c r="AC32" s="249">
        <f t="shared" si="1"/>
        <v>0</v>
      </c>
      <c r="AE32" s="229" t="s">
        <v>94</v>
      </c>
      <c r="AF32" s="249">
        <v>10</v>
      </c>
      <c r="AG32" s="249">
        <v>1.5</v>
      </c>
      <c r="AH32" s="249">
        <v>0</v>
      </c>
      <c r="AI32" s="249">
        <f t="shared" si="2"/>
        <v>11.5</v>
      </c>
      <c r="AL32" s="226" t="s">
        <v>199</v>
      </c>
      <c r="AM32" s="249"/>
      <c r="AN32" s="249"/>
      <c r="AO32" s="249"/>
      <c r="AP32" s="249"/>
      <c r="AR32" s="229" t="s">
        <v>94</v>
      </c>
      <c r="AS32" s="249"/>
      <c r="AT32" s="249"/>
      <c r="AU32" s="249"/>
      <c r="AV32" s="249"/>
    </row>
    <row r="33" spans="1:48" ht="16.75" customHeight="1" thickBot="1">
      <c r="A33" s="177" t="s">
        <v>44</v>
      </c>
      <c r="B33" s="178">
        <v>729</v>
      </c>
      <c r="C33" s="823">
        <f>E28+E34</f>
        <v>0</v>
      </c>
      <c r="D33" s="824"/>
      <c r="E33" s="823">
        <v>57</v>
      </c>
      <c r="F33" s="824"/>
      <c r="G33" s="183">
        <f>246+426</f>
        <v>672</v>
      </c>
      <c r="H33" s="183">
        <f>B33+C33-E33</f>
        <v>672</v>
      </c>
      <c r="I33" s="183">
        <f>G33-H33</f>
        <v>0</v>
      </c>
      <c r="J33" s="94"/>
      <c r="M33" s="107"/>
      <c r="N33" s="22"/>
      <c r="O33" s="22"/>
      <c r="P33" s="22"/>
      <c r="Q33" s="59">
        <f>SUM(Q9:Q32)</f>
        <v>956.00800000000004</v>
      </c>
      <c r="R33" s="217">
        <f>SUM(R9:R32)</f>
        <v>914.70280000000139</v>
      </c>
      <c r="S33" s="59"/>
      <c r="U33" s="222" t="s">
        <v>187</v>
      </c>
      <c r="Y33" s="226" t="s">
        <v>200</v>
      </c>
      <c r="Z33" s="249">
        <v>0</v>
      </c>
      <c r="AA33" s="249">
        <v>0</v>
      </c>
      <c r="AB33" s="249">
        <v>0</v>
      </c>
      <c r="AC33" s="249">
        <f t="shared" si="1"/>
        <v>0</v>
      </c>
      <c r="AE33" s="229" t="s">
        <v>95</v>
      </c>
      <c r="AF33" s="249">
        <v>10</v>
      </c>
      <c r="AG33" s="249">
        <v>5.6</v>
      </c>
      <c r="AH33" s="249">
        <v>4</v>
      </c>
      <c r="AI33" s="249">
        <f t="shared" si="2"/>
        <v>19.600000000000001</v>
      </c>
      <c r="AL33" s="226" t="s">
        <v>200</v>
      </c>
      <c r="AM33" s="249"/>
      <c r="AN33" s="249"/>
      <c r="AO33" s="249"/>
      <c r="AP33" s="249"/>
      <c r="AR33" s="229" t="s">
        <v>95</v>
      </c>
      <c r="AS33" s="249"/>
      <c r="AT33" s="249"/>
      <c r="AU33" s="249"/>
      <c r="AV33" s="249"/>
    </row>
    <row r="34" spans="1:48" ht="16.75" customHeight="1">
      <c r="A34" s="179" t="s">
        <v>29</v>
      </c>
      <c r="B34" s="180">
        <v>3218</v>
      </c>
      <c r="C34" s="825"/>
      <c r="D34" s="826"/>
      <c r="E34" s="827"/>
      <c r="F34" s="828"/>
      <c r="G34" s="181">
        <v>3218</v>
      </c>
      <c r="H34" s="182">
        <f>B34+C34-E34</f>
        <v>3218</v>
      </c>
      <c r="I34" s="182">
        <f>G34-H34</f>
        <v>0</v>
      </c>
      <c r="J34" s="52"/>
      <c r="M34" s="71" t="s">
        <v>41</v>
      </c>
      <c r="N34" s="7"/>
      <c r="O34" s="93"/>
      <c r="P34" s="93"/>
      <c r="Q34" s="93"/>
      <c r="R34" s="187" t="s">
        <v>149</v>
      </c>
      <c r="Y34" s="227" t="s">
        <v>96</v>
      </c>
      <c r="Z34" s="249">
        <v>0</v>
      </c>
      <c r="AA34" s="249">
        <v>0</v>
      </c>
      <c r="AB34" s="249">
        <v>0</v>
      </c>
      <c r="AC34" s="249">
        <f>SUM(Z34:AB34)</f>
        <v>0</v>
      </c>
      <c r="AE34" s="229" t="s">
        <v>96</v>
      </c>
      <c r="AF34" s="249">
        <v>10</v>
      </c>
      <c r="AG34" s="249">
        <v>8</v>
      </c>
      <c r="AH34" s="249">
        <v>6</v>
      </c>
      <c r="AI34" s="249">
        <f>SUM(AF34:AH34)</f>
        <v>24</v>
      </c>
      <c r="AL34" s="227" t="s">
        <v>96</v>
      </c>
      <c r="AM34" s="249"/>
      <c r="AN34" s="249"/>
      <c r="AO34" s="249"/>
      <c r="AP34" s="249"/>
      <c r="AR34" s="229" t="s">
        <v>96</v>
      </c>
      <c r="AS34" s="249"/>
      <c r="AT34" s="249"/>
      <c r="AU34" s="249"/>
      <c r="AV34" s="249"/>
    </row>
    <row r="35" spans="1:48">
      <c r="A35" s="30" t="s">
        <v>45</v>
      </c>
      <c r="C35" s="255" t="s">
        <v>146</v>
      </c>
      <c r="D35" s="46">
        <f>420+365+441+420+347+417+432+401+681+406</f>
        <v>4330</v>
      </c>
      <c r="E35" s="79" t="s">
        <v>47</v>
      </c>
      <c r="F35" s="80" t="s">
        <v>46</v>
      </c>
      <c r="G35" s="55">
        <f>D35</f>
        <v>4330</v>
      </c>
      <c r="H35" s="79" t="s">
        <v>47</v>
      </c>
      <c r="I35" s="79"/>
      <c r="J35" s="220"/>
      <c r="K35" s="188">
        <f>N29*L29/10000</f>
        <v>8316</v>
      </c>
      <c r="L35" s="117">
        <f>M29*N29/10000</f>
        <v>-97.297199999998654</v>
      </c>
      <c r="M35" s="10"/>
      <c r="N35" s="10" t="s">
        <v>148</v>
      </c>
      <c r="O35" s="10" t="s">
        <v>32</v>
      </c>
      <c r="P35" s="10" t="s">
        <v>61</v>
      </c>
      <c r="Q35" s="155" t="s">
        <v>67</v>
      </c>
      <c r="R35" s="10" t="s">
        <v>42</v>
      </c>
      <c r="S35" s="54" t="s">
        <v>30</v>
      </c>
      <c r="T35" s="54" t="s">
        <v>33</v>
      </c>
      <c r="U35" s="112"/>
      <c r="V35" s="68"/>
      <c r="W35" s="68"/>
      <c r="Y35" s="226" t="s">
        <v>201</v>
      </c>
      <c r="Z35" s="249">
        <v>0</v>
      </c>
      <c r="AA35" s="249">
        <v>0</v>
      </c>
      <c r="AB35" s="249">
        <v>0</v>
      </c>
      <c r="AC35" s="249">
        <f t="shared" si="1"/>
        <v>0</v>
      </c>
      <c r="AE35" s="227" t="s">
        <v>97</v>
      </c>
      <c r="AF35" s="249">
        <v>23</v>
      </c>
      <c r="AG35" s="249">
        <v>0</v>
      </c>
      <c r="AH35" s="249">
        <v>0</v>
      </c>
      <c r="AI35" s="249">
        <f t="shared" ref="AI35:AI45" si="3">SUM(AF35:AH35)</f>
        <v>23</v>
      </c>
      <c r="AL35" s="226" t="s">
        <v>201</v>
      </c>
      <c r="AM35" s="249"/>
      <c r="AN35" s="249"/>
      <c r="AO35" s="249"/>
      <c r="AP35" s="249"/>
      <c r="AR35" s="227" t="s">
        <v>97</v>
      </c>
      <c r="AS35" s="249"/>
      <c r="AT35" s="249"/>
      <c r="AU35" s="249"/>
      <c r="AV35" s="249"/>
    </row>
    <row r="36" spans="1:48">
      <c r="A36" s="30" t="s">
        <v>48</v>
      </c>
      <c r="C36" s="255" t="s">
        <v>146</v>
      </c>
      <c r="D36" s="46">
        <f>233+201+246+233+191+231+239+221+376+225</f>
        <v>2396</v>
      </c>
      <c r="E36" s="79" t="s">
        <v>47</v>
      </c>
      <c r="F36" s="80" t="s">
        <v>46</v>
      </c>
      <c r="G36" s="55">
        <f>D36</f>
        <v>2396</v>
      </c>
      <c r="H36" s="79" t="s">
        <v>47</v>
      </c>
      <c r="I36" s="79"/>
      <c r="J36" s="188"/>
      <c r="K36" s="188">
        <f>N30*L30/10000</f>
        <v>8676.7999999999993</v>
      </c>
      <c r="L36" s="211">
        <f>M30*N30/10000</f>
        <v>-53.591999999999999</v>
      </c>
      <c r="M36" s="100" t="s">
        <v>150</v>
      </c>
      <c r="N36" s="11">
        <v>20803</v>
      </c>
      <c r="O36" s="67">
        <v>614</v>
      </c>
      <c r="P36" s="76">
        <v>38</v>
      </c>
      <c r="Q36" s="76">
        <f t="shared" ref="Q36:Q37" si="4">O36-P36</f>
        <v>576</v>
      </c>
      <c r="R36" s="10">
        <f>Q36*(1-T36)*1.065</f>
        <v>601.1712</v>
      </c>
      <c r="S36" s="54">
        <f t="shared" ref="S36:S65" si="5">Q36*T36*1.2</f>
        <v>13.824</v>
      </c>
      <c r="T36" s="103">
        <v>0.02</v>
      </c>
      <c r="U36" s="36">
        <v>0.02</v>
      </c>
      <c r="V36" s="46">
        <f t="shared" ref="V36:V65" si="6">R36/$W$66</f>
        <v>2089.3332444312055</v>
      </c>
      <c r="Y36" s="226" t="s">
        <v>202</v>
      </c>
      <c r="Z36" s="249">
        <v>5.8</v>
      </c>
      <c r="AA36" s="249">
        <v>0</v>
      </c>
      <c r="AB36" s="249">
        <v>1</v>
      </c>
      <c r="AC36" s="249">
        <f t="shared" si="1"/>
        <v>6.8</v>
      </c>
      <c r="AE36" s="229" t="s">
        <v>98</v>
      </c>
      <c r="AF36" s="249">
        <v>0</v>
      </c>
      <c r="AG36" s="249">
        <v>0</v>
      </c>
      <c r="AH36" s="249">
        <v>0</v>
      </c>
      <c r="AI36" s="249">
        <f t="shared" si="3"/>
        <v>0</v>
      </c>
      <c r="AL36" s="226" t="s">
        <v>202</v>
      </c>
      <c r="AM36" s="249"/>
      <c r="AN36" s="249"/>
      <c r="AO36" s="249"/>
      <c r="AP36" s="249"/>
      <c r="AR36" s="229" t="s">
        <v>98</v>
      </c>
      <c r="AS36" s="249"/>
      <c r="AT36" s="249"/>
      <c r="AU36" s="249"/>
      <c r="AV36" s="249"/>
    </row>
    <row r="37" spans="1:48" ht="15.65" customHeight="1">
      <c r="A37" s="30"/>
      <c r="B37" s="15"/>
      <c r="C37" s="99"/>
      <c r="D37" s="46"/>
      <c r="E37" s="79"/>
      <c r="F37" s="80"/>
      <c r="G37" s="98"/>
      <c r="H37" s="79"/>
      <c r="I37" s="79"/>
      <c r="J37" s="188"/>
      <c r="K37" s="211">
        <f>L31*N31/10000</f>
        <v>4110</v>
      </c>
      <c r="L37" s="212">
        <f>(M31*N31/10000)</f>
        <v>6.6</v>
      </c>
      <c r="M37" s="100" t="s">
        <v>151</v>
      </c>
      <c r="N37" s="11">
        <f>N36-R36-R37</f>
        <v>18949.388800000001</v>
      </c>
      <c r="O37" s="67">
        <v>1258</v>
      </c>
      <c r="P37" s="76">
        <v>58</v>
      </c>
      <c r="Q37" s="76">
        <f t="shared" si="4"/>
        <v>1200</v>
      </c>
      <c r="R37" s="10">
        <f t="shared" ref="R37:R65" si="7">Q37*(1-T37)*1.065</f>
        <v>1252.4399999999998</v>
      </c>
      <c r="S37" s="54">
        <f t="shared" si="5"/>
        <v>28.799999999999997</v>
      </c>
      <c r="T37" s="103">
        <v>0.02</v>
      </c>
      <c r="U37" s="36">
        <f t="shared" ref="U37:U43" si="8">S37*0.6</f>
        <v>17.279999999999998</v>
      </c>
      <c r="V37" s="46">
        <f t="shared" si="6"/>
        <v>4352.7775925650103</v>
      </c>
      <c r="Y37" s="226" t="s">
        <v>203</v>
      </c>
      <c r="Z37" s="249">
        <v>10</v>
      </c>
      <c r="AA37" s="249">
        <v>2.8</v>
      </c>
      <c r="AB37" s="249">
        <v>2</v>
      </c>
      <c r="AC37" s="249">
        <f t="shared" si="1"/>
        <v>14.8</v>
      </c>
      <c r="AE37" s="229" t="s">
        <v>99</v>
      </c>
      <c r="AF37" s="249">
        <v>0</v>
      </c>
      <c r="AG37" s="249">
        <v>0</v>
      </c>
      <c r="AH37" s="249">
        <v>0</v>
      </c>
      <c r="AI37" s="249">
        <f t="shared" si="3"/>
        <v>0</v>
      </c>
      <c r="AL37" s="226" t="s">
        <v>203</v>
      </c>
      <c r="AM37" s="249"/>
      <c r="AN37" s="249"/>
      <c r="AO37" s="249"/>
      <c r="AP37" s="249"/>
      <c r="AR37" s="229" t="s">
        <v>99</v>
      </c>
      <c r="AS37" s="249"/>
      <c r="AT37" s="249"/>
      <c r="AU37" s="249"/>
      <c r="AV37" s="249"/>
    </row>
    <row r="38" spans="1:48">
      <c r="A38" s="31" t="s">
        <v>50</v>
      </c>
      <c r="J38" s="34"/>
      <c r="K38" s="261">
        <f>SUM(K35:K37)</f>
        <v>21102.799999999999</v>
      </c>
      <c r="L38" s="117">
        <f>SUM(L35:L37)</f>
        <v>-144.28919999999866</v>
      </c>
      <c r="M38" s="100" t="s">
        <v>86</v>
      </c>
      <c r="N38" s="11">
        <f>N37-R37-R38</f>
        <v>16526.9611</v>
      </c>
      <c r="O38" s="67">
        <v>1183</v>
      </c>
      <c r="P38" s="76">
        <v>62</v>
      </c>
      <c r="Q38" s="76">
        <f>O38-P38</f>
        <v>1121</v>
      </c>
      <c r="R38" s="10">
        <f t="shared" si="7"/>
        <v>1169.9876999999999</v>
      </c>
      <c r="S38" s="54">
        <f t="shared" si="5"/>
        <v>26.904</v>
      </c>
      <c r="T38" s="103">
        <v>0.02</v>
      </c>
      <c r="U38" s="36">
        <f t="shared" si="8"/>
        <v>16.142399999999999</v>
      </c>
      <c r="V38" s="46">
        <f t="shared" si="6"/>
        <v>4066.2197343878142</v>
      </c>
      <c r="Y38" s="226" t="s">
        <v>204</v>
      </c>
      <c r="Z38" s="249">
        <v>10</v>
      </c>
      <c r="AA38" s="249">
        <v>4.7</v>
      </c>
      <c r="AB38" s="249">
        <v>2</v>
      </c>
      <c r="AC38" s="249">
        <f t="shared" si="1"/>
        <v>16.7</v>
      </c>
      <c r="AE38" s="229" t="s">
        <v>100</v>
      </c>
      <c r="AF38" s="249">
        <v>0</v>
      </c>
      <c r="AG38" s="249">
        <v>0</v>
      </c>
      <c r="AH38" s="249">
        <v>0</v>
      </c>
      <c r="AI38" s="249">
        <f t="shared" si="3"/>
        <v>0</v>
      </c>
      <c r="AL38" s="226" t="s">
        <v>204</v>
      </c>
      <c r="AM38" s="249"/>
      <c r="AN38" s="249"/>
      <c r="AO38" s="249"/>
      <c r="AP38" s="249"/>
      <c r="AR38" s="229" t="s">
        <v>100</v>
      </c>
      <c r="AS38" s="249"/>
      <c r="AT38" s="249"/>
      <c r="AU38" s="249"/>
      <c r="AV38" s="249"/>
    </row>
    <row r="39" spans="1:48" ht="15.05" customHeight="1">
      <c r="A39" s="842" t="s">
        <v>1</v>
      </c>
      <c r="B39" s="203" t="s">
        <v>166</v>
      </c>
      <c r="C39" s="205" t="s">
        <v>168</v>
      </c>
      <c r="D39" s="843" t="s">
        <v>36</v>
      </c>
      <c r="E39" s="844"/>
      <c r="F39" s="842" t="s">
        <v>37</v>
      </c>
      <c r="G39" s="842"/>
      <c r="H39" s="842"/>
      <c r="I39" s="842"/>
      <c r="J39" s="238"/>
      <c r="K39" s="18"/>
      <c r="L39" s="259"/>
      <c r="M39" s="100" t="s">
        <v>87</v>
      </c>
      <c r="N39" s="11">
        <f>N38-R38-R39</f>
        <v>14068.003900000002</v>
      </c>
      <c r="O39" s="67">
        <v>1278</v>
      </c>
      <c r="P39" s="76">
        <v>43</v>
      </c>
      <c r="Q39" s="76">
        <f t="shared" ref="Q39:Q65" si="9">O39-P39</f>
        <v>1235</v>
      </c>
      <c r="R39" s="10">
        <f t="shared" si="7"/>
        <v>1288.9694999999999</v>
      </c>
      <c r="S39" s="54">
        <f t="shared" si="5"/>
        <v>29.639999999999997</v>
      </c>
      <c r="T39" s="103">
        <v>0.02</v>
      </c>
      <c r="U39" s="36">
        <f t="shared" si="8"/>
        <v>17.783999999999999</v>
      </c>
      <c r="V39" s="46">
        <f t="shared" si="6"/>
        <v>4479.7336056814902</v>
      </c>
      <c r="Y39" s="226" t="s">
        <v>205</v>
      </c>
      <c r="Z39" s="249">
        <v>10</v>
      </c>
      <c r="AA39" s="249">
        <v>4.3</v>
      </c>
      <c r="AB39" s="249">
        <v>2</v>
      </c>
      <c r="AC39" s="249">
        <f t="shared" si="1"/>
        <v>16.3</v>
      </c>
      <c r="AE39" s="229" t="s">
        <v>101</v>
      </c>
      <c r="AF39" s="249">
        <v>9.5</v>
      </c>
      <c r="AG39" s="249">
        <v>8</v>
      </c>
      <c r="AH39" s="249">
        <v>6</v>
      </c>
      <c r="AI39" s="249">
        <f t="shared" si="3"/>
        <v>23.5</v>
      </c>
      <c r="AL39" s="226" t="s">
        <v>205</v>
      </c>
      <c r="AM39" s="249"/>
      <c r="AN39" s="249"/>
      <c r="AO39" s="249"/>
      <c r="AP39" s="249"/>
      <c r="AR39" s="229" t="s">
        <v>101</v>
      </c>
      <c r="AS39" s="249"/>
      <c r="AT39" s="249"/>
      <c r="AU39" s="249"/>
      <c r="AV39" s="249"/>
    </row>
    <row r="40" spans="1:48" ht="15.05" customHeight="1">
      <c r="A40" s="842"/>
      <c r="B40" s="204" t="s">
        <v>167</v>
      </c>
      <c r="C40" s="204" t="s">
        <v>35</v>
      </c>
      <c r="D40" s="202" t="s">
        <v>147</v>
      </c>
      <c r="E40" s="77" t="s">
        <v>7</v>
      </c>
      <c r="F40" s="246" t="s">
        <v>34</v>
      </c>
      <c r="G40" s="246" t="s">
        <v>38</v>
      </c>
      <c r="H40" s="842" t="s">
        <v>7</v>
      </c>
      <c r="I40" s="842"/>
      <c r="J40" s="56"/>
      <c r="K40" s="6"/>
      <c r="L40" s="260"/>
      <c r="M40" s="100" t="s">
        <v>88</v>
      </c>
      <c r="N40" s="11">
        <f>N39-R39-R40</f>
        <v>10880.544100000003</v>
      </c>
      <c r="O40" s="67">
        <v>1881</v>
      </c>
      <c r="P40" s="76">
        <v>62</v>
      </c>
      <c r="Q40" s="76">
        <f t="shared" si="9"/>
        <v>1819</v>
      </c>
      <c r="R40" s="10">
        <f t="shared" si="7"/>
        <v>1898.4902999999997</v>
      </c>
      <c r="S40" s="54">
        <f t="shared" si="5"/>
        <v>43.655999999999999</v>
      </c>
      <c r="T40" s="103">
        <v>0.02</v>
      </c>
      <c r="U40" s="36">
        <f t="shared" si="8"/>
        <v>26.1936</v>
      </c>
      <c r="V40" s="46">
        <f t="shared" si="6"/>
        <v>6598.0853673964621</v>
      </c>
      <c r="W40" s="36"/>
      <c r="Y40" s="226" t="s">
        <v>206</v>
      </c>
      <c r="Z40" s="249">
        <v>10</v>
      </c>
      <c r="AA40" s="249">
        <v>0.8</v>
      </c>
      <c r="AB40" s="249">
        <v>0</v>
      </c>
      <c r="AC40" s="249">
        <f t="shared" si="1"/>
        <v>10.8</v>
      </c>
      <c r="AE40" s="229" t="s">
        <v>102</v>
      </c>
      <c r="AF40" s="249">
        <v>10</v>
      </c>
      <c r="AG40" s="249">
        <v>6.3</v>
      </c>
      <c r="AH40" s="249">
        <v>4</v>
      </c>
      <c r="AI40" s="249">
        <f t="shared" si="3"/>
        <v>20.3</v>
      </c>
      <c r="AL40" s="226" t="s">
        <v>206</v>
      </c>
      <c r="AM40" s="249"/>
      <c r="AN40" s="249"/>
      <c r="AO40" s="249"/>
      <c r="AP40" s="249"/>
      <c r="AR40" s="229" t="s">
        <v>102</v>
      </c>
      <c r="AS40" s="249"/>
      <c r="AT40" s="249"/>
      <c r="AU40" s="249"/>
      <c r="AV40" s="249"/>
    </row>
    <row r="41" spans="1:48" ht="16.75" customHeight="1">
      <c r="A41" s="246" t="s">
        <v>40</v>
      </c>
      <c r="B41" s="248">
        <v>1088</v>
      </c>
      <c r="C41" s="245"/>
      <c r="D41" s="254">
        <f>499+18+15</f>
        <v>532</v>
      </c>
      <c r="E41" s="245">
        <f>D41+C41</f>
        <v>532</v>
      </c>
      <c r="F41" s="245">
        <v>0</v>
      </c>
      <c r="G41" s="245">
        <f>1088-D41</f>
        <v>556</v>
      </c>
      <c r="H41" s="845">
        <f>G41+F41</f>
        <v>556</v>
      </c>
      <c r="I41" s="845"/>
      <c r="J41" s="57">
        <f>B41-E41</f>
        <v>556</v>
      </c>
      <c r="K41" s="158">
        <f>J41-H41</f>
        <v>0</v>
      </c>
      <c r="L41" s="260"/>
      <c r="M41" s="100" t="s">
        <v>89</v>
      </c>
      <c r="N41" s="11"/>
      <c r="O41" s="67"/>
      <c r="P41" s="76"/>
      <c r="Q41" s="76">
        <f t="shared" si="9"/>
        <v>0</v>
      </c>
      <c r="R41" s="10">
        <f t="shared" si="7"/>
        <v>0</v>
      </c>
      <c r="S41" s="54">
        <f t="shared" si="5"/>
        <v>0</v>
      </c>
      <c r="T41" s="103">
        <v>0.02</v>
      </c>
      <c r="U41" s="36">
        <f t="shared" si="8"/>
        <v>0</v>
      </c>
      <c r="V41" s="46">
        <f t="shared" si="6"/>
        <v>0</v>
      </c>
      <c r="W41" s="36"/>
      <c r="Y41" s="227" t="s">
        <v>103</v>
      </c>
      <c r="Z41" s="249">
        <v>24</v>
      </c>
      <c r="AA41" s="249">
        <v>0</v>
      </c>
      <c r="AB41" s="249">
        <v>0</v>
      </c>
      <c r="AC41" s="249">
        <f t="shared" si="1"/>
        <v>24</v>
      </c>
      <c r="AE41" s="229" t="s">
        <v>103</v>
      </c>
      <c r="AF41" s="249">
        <v>10</v>
      </c>
      <c r="AG41" s="249">
        <v>8</v>
      </c>
      <c r="AH41" s="249">
        <v>6</v>
      </c>
      <c r="AI41" s="249">
        <f t="shared" si="3"/>
        <v>24</v>
      </c>
      <c r="AL41" s="227" t="s">
        <v>103</v>
      </c>
      <c r="AM41" s="249"/>
      <c r="AN41" s="249"/>
      <c r="AO41" s="249"/>
      <c r="AP41" s="249"/>
      <c r="AR41" s="229" t="s">
        <v>103</v>
      </c>
      <c r="AS41" s="249"/>
      <c r="AT41" s="249"/>
      <c r="AU41" s="249"/>
      <c r="AV41" s="249"/>
    </row>
    <row r="42" spans="1:48" ht="16.75" customHeight="1">
      <c r="A42" s="159" t="s">
        <v>83</v>
      </c>
      <c r="B42" s="245">
        <v>8278</v>
      </c>
      <c r="C42" s="245"/>
      <c r="D42" s="254">
        <v>1296</v>
      </c>
      <c r="E42" s="245">
        <f>D42+C42</f>
        <v>1296</v>
      </c>
      <c r="F42" s="245">
        <v>6552</v>
      </c>
      <c r="G42" s="245">
        <f>B42-E42-F42</f>
        <v>430</v>
      </c>
      <c r="H42" s="845">
        <f>G42+F42</f>
        <v>6982</v>
      </c>
      <c r="I42" s="845"/>
      <c r="J42" s="57">
        <f>B42-E42</f>
        <v>6982</v>
      </c>
      <c r="K42" s="158">
        <f>J42-H42</f>
        <v>0</v>
      </c>
      <c r="L42" s="57"/>
      <c r="M42" s="100" t="s">
        <v>90</v>
      </c>
      <c r="N42" s="11"/>
      <c r="O42" s="67"/>
      <c r="P42" s="76"/>
      <c r="Q42" s="76">
        <f t="shared" si="9"/>
        <v>0</v>
      </c>
      <c r="R42" s="10">
        <f t="shared" si="7"/>
        <v>0</v>
      </c>
      <c r="S42" s="54">
        <f t="shared" si="5"/>
        <v>0</v>
      </c>
      <c r="T42" s="103">
        <v>0.02</v>
      </c>
      <c r="U42" s="36">
        <f t="shared" si="8"/>
        <v>0</v>
      </c>
      <c r="V42" s="46">
        <f t="shared" si="6"/>
        <v>0</v>
      </c>
      <c r="W42" s="36"/>
      <c r="Y42" s="226" t="s">
        <v>207</v>
      </c>
      <c r="Z42" s="249">
        <v>10</v>
      </c>
      <c r="AA42" s="249">
        <v>0.3</v>
      </c>
      <c r="AB42" s="249">
        <v>0</v>
      </c>
      <c r="AC42" s="249">
        <f t="shared" si="1"/>
        <v>10.3</v>
      </c>
      <c r="AE42" s="227" t="s">
        <v>104</v>
      </c>
      <c r="AF42" s="249">
        <v>24</v>
      </c>
      <c r="AG42" s="249">
        <v>0</v>
      </c>
      <c r="AH42" s="249">
        <v>0</v>
      </c>
      <c r="AI42" s="249">
        <f t="shared" si="3"/>
        <v>24</v>
      </c>
      <c r="AL42" s="226" t="s">
        <v>207</v>
      </c>
      <c r="AM42" s="249"/>
      <c r="AN42" s="249"/>
      <c r="AO42" s="249"/>
      <c r="AP42" s="249"/>
      <c r="AR42" s="227" t="s">
        <v>104</v>
      </c>
      <c r="AS42" s="249"/>
      <c r="AT42" s="249"/>
      <c r="AU42" s="249"/>
      <c r="AV42" s="249"/>
    </row>
    <row r="43" spans="1:48" ht="16.75" customHeight="1">
      <c r="A43" s="159" t="s">
        <v>84</v>
      </c>
      <c r="B43" s="245">
        <v>12057</v>
      </c>
      <c r="C43" s="245"/>
      <c r="D43" s="254">
        <f>604+1259+1176+1908+79+846+1938+819+812+790</f>
        <v>10231</v>
      </c>
      <c r="E43" s="245">
        <f>D43+C43</f>
        <v>10231</v>
      </c>
      <c r="F43" s="245">
        <f>5526-4081</f>
        <v>1445</v>
      </c>
      <c r="G43" s="245">
        <f>B43-E43-F43</f>
        <v>381</v>
      </c>
      <c r="H43" s="846">
        <f>SUM(F43:G43)</f>
        <v>1826</v>
      </c>
      <c r="I43" s="847"/>
      <c r="J43" s="57">
        <f>B43-E43</f>
        <v>1826</v>
      </c>
      <c r="K43" s="158">
        <f>J43-H43</f>
        <v>0</v>
      </c>
      <c r="L43" s="57"/>
      <c r="M43" s="100" t="s">
        <v>92</v>
      </c>
      <c r="N43" s="11"/>
      <c r="O43" s="67"/>
      <c r="P43" s="76"/>
      <c r="Q43" s="76">
        <f t="shared" si="9"/>
        <v>0</v>
      </c>
      <c r="R43" s="10">
        <f t="shared" si="7"/>
        <v>0</v>
      </c>
      <c r="S43" s="54">
        <f t="shared" si="5"/>
        <v>0</v>
      </c>
      <c r="T43" s="103">
        <v>0.02</v>
      </c>
      <c r="U43" s="36">
        <f t="shared" si="8"/>
        <v>0</v>
      </c>
      <c r="V43" s="46">
        <f t="shared" si="6"/>
        <v>0</v>
      </c>
      <c r="W43" s="36"/>
      <c r="Y43" s="226" t="s">
        <v>208</v>
      </c>
      <c r="Z43" s="249">
        <v>10</v>
      </c>
      <c r="AA43" s="249">
        <v>0.5</v>
      </c>
      <c r="AB43" s="249">
        <v>0</v>
      </c>
      <c r="AC43" s="249">
        <f t="shared" si="1"/>
        <v>10.5</v>
      </c>
      <c r="AE43" s="226" t="s">
        <v>208</v>
      </c>
      <c r="AF43" s="249">
        <v>6.3</v>
      </c>
      <c r="AG43" s="249">
        <v>8</v>
      </c>
      <c r="AH43" s="249">
        <v>6</v>
      </c>
      <c r="AI43" s="249">
        <f t="shared" si="3"/>
        <v>20.3</v>
      </c>
      <c r="AL43" s="226" t="s">
        <v>208</v>
      </c>
      <c r="AM43" s="249"/>
      <c r="AN43" s="249"/>
      <c r="AO43" s="249"/>
      <c r="AP43" s="249"/>
      <c r="AR43" s="226" t="s">
        <v>208</v>
      </c>
      <c r="AS43" s="249"/>
      <c r="AT43" s="249"/>
      <c r="AU43" s="249"/>
      <c r="AV43" s="249"/>
    </row>
    <row r="44" spans="1:48" ht="16.75" customHeight="1">
      <c r="A44" s="206" t="s">
        <v>178</v>
      </c>
      <c r="B44" s="245"/>
      <c r="C44" s="245">
        <v>27030</v>
      </c>
      <c r="D44" s="254">
        <f>839+726+779+746+808+857</f>
        <v>4755</v>
      </c>
      <c r="E44" s="245">
        <f>D44</f>
        <v>4755</v>
      </c>
      <c r="F44" s="245">
        <v>22108</v>
      </c>
      <c r="G44" s="245">
        <f>C44-E44-F44</f>
        <v>167</v>
      </c>
      <c r="H44" s="846">
        <f>G44+F44</f>
        <v>22275</v>
      </c>
      <c r="I44" s="847"/>
      <c r="J44" s="57">
        <f>C44-E44</f>
        <v>22275</v>
      </c>
      <c r="K44" s="158">
        <f>J44-H44</f>
        <v>0</v>
      </c>
      <c r="L44" s="57"/>
      <c r="M44" s="100" t="s">
        <v>93</v>
      </c>
      <c r="N44" s="11"/>
      <c r="O44" s="67"/>
      <c r="P44" s="76"/>
      <c r="Q44" s="76">
        <f t="shared" si="9"/>
        <v>0</v>
      </c>
      <c r="R44" s="10">
        <f t="shared" si="7"/>
        <v>0</v>
      </c>
      <c r="S44" s="54">
        <f t="shared" si="5"/>
        <v>0</v>
      </c>
      <c r="T44" s="103">
        <v>0.02</v>
      </c>
      <c r="U44" s="36">
        <f>S44*0.6</f>
        <v>0</v>
      </c>
      <c r="V44" s="46">
        <f t="shared" si="6"/>
        <v>0</v>
      </c>
      <c r="W44" s="36"/>
      <c r="Y44" s="226" t="s">
        <v>209</v>
      </c>
      <c r="Z44" s="249">
        <v>9.1</v>
      </c>
      <c r="AA44" s="249">
        <v>0</v>
      </c>
      <c r="AB44" s="249">
        <v>0</v>
      </c>
      <c r="AC44" s="249">
        <f t="shared" ref="AC44" si="10">SUM(Z44:AB44)</f>
        <v>9.1</v>
      </c>
      <c r="AE44" s="226" t="s">
        <v>209</v>
      </c>
      <c r="AF44" s="249">
        <v>0</v>
      </c>
      <c r="AG44" s="249">
        <v>0</v>
      </c>
      <c r="AH44" s="249">
        <v>0</v>
      </c>
      <c r="AI44" s="249">
        <f t="shared" si="3"/>
        <v>0</v>
      </c>
      <c r="AL44" s="226" t="s">
        <v>209</v>
      </c>
      <c r="AM44" s="249"/>
      <c r="AN44" s="249"/>
      <c r="AO44" s="249"/>
      <c r="AP44" s="249"/>
      <c r="AR44" s="226" t="s">
        <v>209</v>
      </c>
      <c r="AS44" s="249"/>
      <c r="AT44" s="249"/>
      <c r="AU44" s="249"/>
      <c r="AV44" s="249"/>
    </row>
    <row r="45" spans="1:48">
      <c r="A45" s="258" t="s">
        <v>234</v>
      </c>
      <c r="B45" s="245"/>
      <c r="C45" s="245">
        <v>4572</v>
      </c>
      <c r="D45" s="254"/>
      <c r="E45" s="245"/>
      <c r="F45" s="245"/>
      <c r="G45" s="245">
        <v>4572</v>
      </c>
      <c r="H45" s="846">
        <f>G45+F45</f>
        <v>4572</v>
      </c>
      <c r="I45" s="847"/>
      <c r="J45" s="57">
        <f>C45-E45</f>
        <v>4572</v>
      </c>
      <c r="K45" s="158">
        <f>J45-H45</f>
        <v>0</v>
      </c>
      <c r="L45" s="57"/>
      <c r="M45" s="100" t="s">
        <v>94</v>
      </c>
      <c r="N45" s="11"/>
      <c r="O45" s="67"/>
      <c r="P45" s="76"/>
      <c r="Q45" s="76">
        <f t="shared" si="9"/>
        <v>0</v>
      </c>
      <c r="R45" s="10">
        <f t="shared" si="7"/>
        <v>0</v>
      </c>
      <c r="S45" s="54">
        <f t="shared" si="5"/>
        <v>0</v>
      </c>
      <c r="T45" s="103">
        <v>0.02</v>
      </c>
      <c r="U45" s="36">
        <f t="shared" ref="U45:U55" si="11">S45*0.6</f>
        <v>0</v>
      </c>
      <c r="V45" s="46">
        <f t="shared" si="6"/>
        <v>0</v>
      </c>
      <c r="W45" s="36"/>
      <c r="X45" s="36"/>
      <c r="Y45" s="226" t="s">
        <v>210</v>
      </c>
      <c r="Z45" s="249">
        <v>10</v>
      </c>
      <c r="AA45" s="249">
        <v>0.1</v>
      </c>
      <c r="AB45" s="249">
        <v>0</v>
      </c>
      <c r="AC45" s="249">
        <f t="shared" si="1"/>
        <v>10.1</v>
      </c>
      <c r="AE45" s="226" t="s">
        <v>210</v>
      </c>
      <c r="AF45" s="249">
        <v>0</v>
      </c>
      <c r="AG45" s="249">
        <v>0</v>
      </c>
      <c r="AH45" s="249">
        <v>0</v>
      </c>
      <c r="AI45" s="249">
        <f t="shared" si="3"/>
        <v>0</v>
      </c>
      <c r="AL45" s="226" t="s">
        <v>210</v>
      </c>
      <c r="AM45" s="249"/>
      <c r="AN45" s="249"/>
      <c r="AO45" s="249"/>
      <c r="AP45" s="249"/>
      <c r="AR45" s="226" t="s">
        <v>210</v>
      </c>
      <c r="AS45" s="249"/>
      <c r="AT45" s="249"/>
      <c r="AU45" s="249"/>
      <c r="AV45" s="249"/>
    </row>
    <row r="46" spans="1:48" ht="17.399999999999999" customHeight="1">
      <c r="A46" s="148" t="s">
        <v>31</v>
      </c>
      <c r="B46" s="245">
        <f t="shared" ref="B46" si="12">SUM(B41:B44)</f>
        <v>21423</v>
      </c>
      <c r="C46" s="245">
        <f>SUM(C41:C45)</f>
        <v>31602</v>
      </c>
      <c r="D46" s="245">
        <f t="shared" ref="D46:G46" si="13">SUM(D41:D45)</f>
        <v>16814</v>
      </c>
      <c r="E46" s="245">
        <f t="shared" si="13"/>
        <v>16814</v>
      </c>
      <c r="F46" s="245">
        <f t="shared" si="13"/>
        <v>30105</v>
      </c>
      <c r="G46" s="245">
        <f t="shared" si="13"/>
        <v>6106</v>
      </c>
      <c r="H46" s="845">
        <f>SUM(H41:I44)</f>
        <v>31639</v>
      </c>
      <c r="I46" s="845"/>
      <c r="J46" s="57">
        <f>B46+C46-E46-H46</f>
        <v>4572</v>
      </c>
      <c r="K46" s="158"/>
      <c r="L46" s="57"/>
      <c r="M46" s="100" t="s">
        <v>95</v>
      </c>
      <c r="N46" s="11"/>
      <c r="O46" s="67"/>
      <c r="P46" s="76"/>
      <c r="Q46" s="76">
        <f t="shared" si="9"/>
        <v>0</v>
      </c>
      <c r="R46" s="10">
        <f t="shared" si="7"/>
        <v>0</v>
      </c>
      <c r="S46" s="54">
        <f t="shared" si="5"/>
        <v>0</v>
      </c>
      <c r="T46" s="103">
        <v>0.02</v>
      </c>
      <c r="U46" s="36">
        <f t="shared" si="11"/>
        <v>0</v>
      </c>
      <c r="V46" s="46">
        <f t="shared" si="6"/>
        <v>0</v>
      </c>
      <c r="Y46" s="226" t="s">
        <v>211</v>
      </c>
      <c r="Z46" s="249">
        <v>10</v>
      </c>
      <c r="AA46" s="249">
        <v>0.1</v>
      </c>
      <c r="AB46" s="249">
        <v>0</v>
      </c>
      <c r="AC46" s="249">
        <f>SUM(Z46:AB46)</f>
        <v>10.1</v>
      </c>
      <c r="AE46" s="226" t="s">
        <v>211</v>
      </c>
      <c r="AF46" s="249">
        <v>0</v>
      </c>
      <c r="AG46" s="249">
        <v>0</v>
      </c>
      <c r="AH46" s="249">
        <v>0</v>
      </c>
      <c r="AI46" s="249">
        <f>SUM(AF46:AH46)</f>
        <v>0</v>
      </c>
      <c r="AL46" s="226" t="s">
        <v>211</v>
      </c>
      <c r="AM46" s="249"/>
      <c r="AN46" s="249"/>
      <c r="AO46" s="249"/>
      <c r="AP46" s="249"/>
      <c r="AR46" s="226" t="s">
        <v>211</v>
      </c>
      <c r="AS46" s="249"/>
      <c r="AT46" s="249"/>
      <c r="AU46" s="249"/>
      <c r="AV46" s="249"/>
    </row>
    <row r="47" spans="1:48" ht="14.4" customHeight="1">
      <c r="D47" s="221"/>
      <c r="J47" s="56"/>
      <c r="K47" s="6"/>
      <c r="L47" s="57"/>
      <c r="M47" s="100" t="s">
        <v>96</v>
      </c>
      <c r="N47" s="11"/>
      <c r="O47" s="67"/>
      <c r="P47" s="76"/>
      <c r="Q47" s="76">
        <f t="shared" si="9"/>
        <v>0</v>
      </c>
      <c r="R47" s="10">
        <f t="shared" si="7"/>
        <v>0</v>
      </c>
      <c r="S47" s="54">
        <f t="shared" si="5"/>
        <v>0</v>
      </c>
      <c r="T47" s="103">
        <v>0.02</v>
      </c>
      <c r="U47" s="36">
        <f t="shared" si="11"/>
        <v>0</v>
      </c>
      <c r="V47" s="46">
        <f t="shared" si="6"/>
        <v>0</v>
      </c>
      <c r="Y47" s="226" t="s">
        <v>212</v>
      </c>
      <c r="Z47" s="249">
        <v>10</v>
      </c>
      <c r="AA47" s="249">
        <v>0.3</v>
      </c>
      <c r="AB47" s="249">
        <v>0</v>
      </c>
      <c r="AC47" s="249">
        <f t="shared" si="1"/>
        <v>10.3</v>
      </c>
      <c r="AE47" s="226" t="s">
        <v>212</v>
      </c>
      <c r="AF47" s="249">
        <v>0</v>
      </c>
      <c r="AG47" s="249">
        <v>0</v>
      </c>
      <c r="AH47" s="249">
        <v>0</v>
      </c>
      <c r="AI47" s="249">
        <f t="shared" ref="AI47:AI52" si="14">SUM(AF47:AH47)</f>
        <v>0</v>
      </c>
      <c r="AL47" s="226" t="s">
        <v>212</v>
      </c>
      <c r="AM47" s="249"/>
      <c r="AN47" s="249"/>
      <c r="AO47" s="249"/>
      <c r="AP47" s="249"/>
      <c r="AR47" s="226" t="s">
        <v>212</v>
      </c>
      <c r="AS47" s="249"/>
      <c r="AT47" s="249"/>
      <c r="AU47" s="249"/>
      <c r="AV47" s="249"/>
    </row>
    <row r="48" spans="1:48" ht="16.3" customHeight="1">
      <c r="A48" s="15" t="s">
        <v>78</v>
      </c>
      <c r="J48" s="104"/>
      <c r="K48" s="105">
        <v>6243</v>
      </c>
      <c r="L48" s="57"/>
      <c r="M48" s="100" t="s">
        <v>97</v>
      </c>
      <c r="N48" s="11"/>
      <c r="O48" s="67"/>
      <c r="P48" s="76"/>
      <c r="Q48" s="76">
        <f t="shared" si="9"/>
        <v>0</v>
      </c>
      <c r="R48" s="10">
        <f t="shared" si="7"/>
        <v>0</v>
      </c>
      <c r="S48" s="54">
        <f t="shared" si="5"/>
        <v>0</v>
      </c>
      <c r="T48" s="103">
        <v>0.02</v>
      </c>
      <c r="U48" s="36">
        <f t="shared" si="11"/>
        <v>0</v>
      </c>
      <c r="V48" s="46">
        <f t="shared" si="6"/>
        <v>0</v>
      </c>
      <c r="Y48" s="227" t="s">
        <v>110</v>
      </c>
      <c r="Z48" s="249">
        <v>24</v>
      </c>
      <c r="AA48" s="249">
        <v>0</v>
      </c>
      <c r="AB48" s="249">
        <v>0</v>
      </c>
      <c r="AC48" s="249">
        <f t="shared" si="1"/>
        <v>24</v>
      </c>
      <c r="AE48" s="229" t="s">
        <v>110</v>
      </c>
      <c r="AF48" s="249">
        <v>0</v>
      </c>
      <c r="AG48" s="249">
        <v>0</v>
      </c>
      <c r="AH48" s="249">
        <v>0</v>
      </c>
      <c r="AI48" s="249">
        <f t="shared" si="14"/>
        <v>0</v>
      </c>
      <c r="AL48" s="227" t="s">
        <v>110</v>
      </c>
      <c r="AM48" s="249"/>
      <c r="AN48" s="249"/>
      <c r="AO48" s="249"/>
      <c r="AP48" s="249"/>
      <c r="AR48" s="229" t="s">
        <v>110</v>
      </c>
      <c r="AS48" s="249"/>
      <c r="AT48" s="249"/>
      <c r="AU48" s="249"/>
      <c r="AV48" s="249"/>
    </row>
    <row r="49" spans="1:48" ht="16.3" customHeight="1">
      <c r="A49" s="833" t="s">
        <v>1</v>
      </c>
      <c r="B49" s="835" t="s">
        <v>37</v>
      </c>
      <c r="C49" s="836"/>
      <c r="D49" s="837" t="s">
        <v>35</v>
      </c>
      <c r="E49" s="838"/>
      <c r="F49" s="837" t="s">
        <v>36</v>
      </c>
      <c r="G49" s="838"/>
      <c r="H49" s="839" t="s">
        <v>6</v>
      </c>
      <c r="I49" s="836"/>
      <c r="J49" s="104"/>
      <c r="K49" s="156">
        <f>K48-D43-D42</f>
        <v>-5284</v>
      </c>
      <c r="L49" s="58"/>
      <c r="M49" s="100" t="s">
        <v>98</v>
      </c>
      <c r="N49" s="11"/>
      <c r="O49" s="67">
        <v>535</v>
      </c>
      <c r="P49" s="76">
        <v>20</v>
      </c>
      <c r="Q49" s="76">
        <f t="shared" si="9"/>
        <v>515</v>
      </c>
      <c r="R49" s="10">
        <f t="shared" si="7"/>
        <v>537.50549999999998</v>
      </c>
      <c r="S49" s="54">
        <f t="shared" si="5"/>
        <v>12.360000000000001</v>
      </c>
      <c r="T49" s="103">
        <v>0.02</v>
      </c>
      <c r="U49" s="36">
        <f t="shared" si="11"/>
        <v>7.4160000000000004</v>
      </c>
      <c r="V49" s="46">
        <f t="shared" si="6"/>
        <v>1868.0670501424838</v>
      </c>
      <c r="Y49" s="226" t="s">
        <v>213</v>
      </c>
      <c r="Z49" s="249">
        <v>10</v>
      </c>
      <c r="AA49" s="249">
        <v>0.5</v>
      </c>
      <c r="AB49" s="249">
        <v>0</v>
      </c>
      <c r="AC49" s="249">
        <f t="shared" si="1"/>
        <v>10.5</v>
      </c>
      <c r="AE49" s="227" t="s">
        <v>111</v>
      </c>
      <c r="AF49" s="249">
        <v>0</v>
      </c>
      <c r="AG49" s="249">
        <v>0</v>
      </c>
      <c r="AH49" s="249">
        <v>0</v>
      </c>
      <c r="AI49" s="249">
        <f t="shared" si="14"/>
        <v>0</v>
      </c>
      <c r="AL49" s="226" t="s">
        <v>213</v>
      </c>
      <c r="AM49" s="249"/>
      <c r="AN49" s="249"/>
      <c r="AO49" s="249"/>
      <c r="AP49" s="249"/>
      <c r="AR49" s="227" t="s">
        <v>111</v>
      </c>
      <c r="AS49" s="249"/>
      <c r="AT49" s="249"/>
      <c r="AU49" s="249"/>
      <c r="AV49" s="249"/>
    </row>
    <row r="50" spans="1:48" ht="16.3" customHeight="1">
      <c r="A50" s="834"/>
      <c r="B50" s="253" t="s">
        <v>3</v>
      </c>
      <c r="C50" s="152" t="s">
        <v>82</v>
      </c>
      <c r="D50" s="253" t="s">
        <v>80</v>
      </c>
      <c r="E50" s="152" t="s">
        <v>81</v>
      </c>
      <c r="F50" s="152" t="s">
        <v>80</v>
      </c>
      <c r="G50" s="151" t="s">
        <v>81</v>
      </c>
      <c r="H50" s="840"/>
      <c r="I50" s="841"/>
      <c r="J50" s="104"/>
      <c r="K50" s="9"/>
      <c r="L50" s="157"/>
      <c r="M50" s="100" t="s">
        <v>99</v>
      </c>
      <c r="N50" s="11"/>
      <c r="O50" s="67">
        <v>1224</v>
      </c>
      <c r="P50" s="76">
        <v>62</v>
      </c>
      <c r="Q50" s="76">
        <f t="shared" si="9"/>
        <v>1162</v>
      </c>
      <c r="R50" s="10">
        <f t="shared" si="7"/>
        <v>1212.7793999999999</v>
      </c>
      <c r="S50" s="54">
        <f t="shared" si="5"/>
        <v>27.888000000000002</v>
      </c>
      <c r="T50" s="103">
        <v>0.02</v>
      </c>
      <c r="U50" s="36">
        <f t="shared" si="11"/>
        <v>16.732800000000001</v>
      </c>
      <c r="V50" s="46">
        <f t="shared" si="6"/>
        <v>4214.9396354671189</v>
      </c>
      <c r="Y50" s="226" t="s">
        <v>214</v>
      </c>
      <c r="Z50" s="249">
        <v>10</v>
      </c>
      <c r="AA50" s="249">
        <v>0.5</v>
      </c>
      <c r="AB50" s="249">
        <v>0</v>
      </c>
      <c r="AC50" s="249">
        <f t="shared" si="1"/>
        <v>10.5</v>
      </c>
      <c r="AE50" s="226" t="s">
        <v>214</v>
      </c>
      <c r="AF50" s="249">
        <v>0</v>
      </c>
      <c r="AG50" s="249">
        <v>0</v>
      </c>
      <c r="AH50" s="249">
        <v>0</v>
      </c>
      <c r="AI50" s="249">
        <f t="shared" si="14"/>
        <v>0</v>
      </c>
      <c r="AL50" s="226" t="s">
        <v>214</v>
      </c>
      <c r="AM50" s="249"/>
      <c r="AN50" s="249"/>
      <c r="AO50" s="249"/>
      <c r="AP50" s="249"/>
      <c r="AR50" s="226" t="s">
        <v>214</v>
      </c>
      <c r="AS50" s="249"/>
      <c r="AT50" s="249"/>
      <c r="AU50" s="249"/>
      <c r="AV50" s="249"/>
    </row>
    <row r="51" spans="1:48" ht="16.3" customHeight="1">
      <c r="A51" s="160" t="s">
        <v>85</v>
      </c>
      <c r="B51" s="149">
        <v>96</v>
      </c>
      <c r="C51" s="154">
        <v>34</v>
      </c>
      <c r="D51" s="184">
        <v>29</v>
      </c>
      <c r="E51" s="153">
        <f>522+29</f>
        <v>551</v>
      </c>
      <c r="F51" s="153">
        <v>19</v>
      </c>
      <c r="G51" s="185">
        <v>489</v>
      </c>
      <c r="H51" s="846">
        <f>B51+D51-F51</f>
        <v>106</v>
      </c>
      <c r="I51" s="847"/>
      <c r="J51" s="240">
        <f>C51+E51-G51</f>
        <v>96</v>
      </c>
      <c r="K51" s="8">
        <v>65</v>
      </c>
      <c r="L51" s="13">
        <v>56</v>
      </c>
      <c r="M51" s="100" t="s">
        <v>100</v>
      </c>
      <c r="N51" s="11"/>
      <c r="O51" s="67">
        <v>1360</v>
      </c>
      <c r="P51" s="76">
        <v>63</v>
      </c>
      <c r="Q51" s="76">
        <f t="shared" si="9"/>
        <v>1297</v>
      </c>
      <c r="R51" s="10">
        <f t="shared" si="7"/>
        <v>1353.6788999999999</v>
      </c>
      <c r="S51" s="54">
        <f t="shared" si="5"/>
        <v>31.128</v>
      </c>
      <c r="T51" s="103">
        <v>0.02</v>
      </c>
      <c r="U51" s="36">
        <f t="shared" si="11"/>
        <v>18.6768</v>
      </c>
      <c r="V51" s="46">
        <f t="shared" si="6"/>
        <v>4704.6271146306826</v>
      </c>
      <c r="Y51" s="226" t="s">
        <v>215</v>
      </c>
      <c r="Z51" s="249">
        <v>10</v>
      </c>
      <c r="AA51" s="249">
        <v>0.5</v>
      </c>
      <c r="AB51" s="249">
        <v>0</v>
      </c>
      <c r="AC51" s="249">
        <f t="shared" si="1"/>
        <v>10.5</v>
      </c>
      <c r="AE51" s="226" t="s">
        <v>215</v>
      </c>
      <c r="AF51" s="249">
        <v>0</v>
      </c>
      <c r="AG51" s="249">
        <v>0</v>
      </c>
      <c r="AH51" s="249">
        <v>0</v>
      </c>
      <c r="AI51" s="249">
        <f t="shared" si="14"/>
        <v>0</v>
      </c>
      <c r="AL51" s="226" t="s">
        <v>215</v>
      </c>
      <c r="AM51" s="249"/>
      <c r="AN51" s="249"/>
      <c r="AO51" s="249"/>
      <c r="AP51" s="249"/>
      <c r="AR51" s="226" t="s">
        <v>215</v>
      </c>
      <c r="AS51" s="249"/>
      <c r="AT51" s="249"/>
      <c r="AU51" s="249"/>
      <c r="AV51" s="249"/>
    </row>
    <row r="52" spans="1:48" ht="16.3" customHeight="1">
      <c r="A52" s="149" t="s">
        <v>79</v>
      </c>
      <c r="B52" s="149">
        <v>48</v>
      </c>
      <c r="C52" s="249">
        <v>60</v>
      </c>
      <c r="D52" s="184"/>
      <c r="E52" s="153">
        <v>569</v>
      </c>
      <c r="F52" s="153">
        <v>15</v>
      </c>
      <c r="G52" s="185">
        <v>570</v>
      </c>
      <c r="H52" s="846">
        <f>B52+D52-F52</f>
        <v>33</v>
      </c>
      <c r="I52" s="847"/>
      <c r="J52" s="241">
        <f>C52+E52-G52</f>
        <v>59</v>
      </c>
      <c r="K52" s="8">
        <v>64</v>
      </c>
      <c r="L52" s="13">
        <v>39</v>
      </c>
      <c r="M52" s="100" t="s">
        <v>101</v>
      </c>
      <c r="N52" s="67"/>
      <c r="O52" s="67">
        <v>1293</v>
      </c>
      <c r="P52" s="76">
        <v>62</v>
      </c>
      <c r="Q52" s="76">
        <f t="shared" si="9"/>
        <v>1231</v>
      </c>
      <c r="R52" s="10">
        <f t="shared" si="7"/>
        <v>1284.7946999999999</v>
      </c>
      <c r="S52" s="54">
        <f t="shared" si="5"/>
        <v>29.544</v>
      </c>
      <c r="T52" s="103">
        <v>0.02</v>
      </c>
      <c r="U52" s="36">
        <f t="shared" si="11"/>
        <v>17.726399999999998</v>
      </c>
      <c r="V52" s="46">
        <f t="shared" si="6"/>
        <v>4465.224347039607</v>
      </c>
      <c r="Y52" s="226" t="s">
        <v>216</v>
      </c>
      <c r="Z52" s="249">
        <v>10</v>
      </c>
      <c r="AA52" s="249">
        <v>0.6</v>
      </c>
      <c r="AB52" s="249">
        <v>0</v>
      </c>
      <c r="AC52" s="249">
        <f t="shared" si="1"/>
        <v>10.6</v>
      </c>
      <c r="AE52" s="226" t="s">
        <v>216</v>
      </c>
      <c r="AF52" s="249">
        <v>8</v>
      </c>
      <c r="AG52" s="249">
        <v>1.3</v>
      </c>
      <c r="AH52" s="249">
        <v>4</v>
      </c>
      <c r="AI52" s="249">
        <f t="shared" si="14"/>
        <v>13.3</v>
      </c>
      <c r="AL52" s="226" t="s">
        <v>216</v>
      </c>
      <c r="AM52" s="249"/>
      <c r="AN52" s="249"/>
      <c r="AO52" s="249"/>
      <c r="AP52" s="249"/>
      <c r="AR52" s="226" t="s">
        <v>216</v>
      </c>
      <c r="AS52" s="249"/>
      <c r="AT52" s="249"/>
      <c r="AU52" s="249"/>
      <c r="AV52" s="249"/>
    </row>
    <row r="53" spans="1:48" ht="16.75" customHeight="1">
      <c r="A53" s="149" t="s">
        <v>77</v>
      </c>
      <c r="B53" s="149">
        <f>SUM(B51:B52)</f>
        <v>144</v>
      </c>
      <c r="C53" s="154">
        <f t="shared" ref="C53" si="15">SUM(C51:C52)</f>
        <v>94</v>
      </c>
      <c r="D53" s="184">
        <f>SUM(D51:D52)</f>
        <v>29</v>
      </c>
      <c r="E53" s="153">
        <f>SUM(E51:E52)</f>
        <v>1120</v>
      </c>
      <c r="F53" s="153">
        <f>SUM(F51:F52)</f>
        <v>34</v>
      </c>
      <c r="G53" s="185">
        <f>SUM(G51:G52)</f>
        <v>1059</v>
      </c>
      <c r="H53" s="846">
        <f t="shared" ref="H53" si="16">B53+D53-F53</f>
        <v>139</v>
      </c>
      <c r="I53" s="847"/>
      <c r="J53" s="127">
        <f>SUM(J51:J52)</f>
        <v>155</v>
      </c>
      <c r="K53" s="46"/>
      <c r="L53" s="8"/>
      <c r="M53" s="100" t="s">
        <v>102</v>
      </c>
      <c r="N53" s="11"/>
      <c r="O53" s="67">
        <v>897</v>
      </c>
      <c r="P53" s="76">
        <v>43</v>
      </c>
      <c r="Q53" s="76">
        <f t="shared" si="9"/>
        <v>854</v>
      </c>
      <c r="R53" s="10">
        <f t="shared" si="7"/>
        <v>891.31979999999987</v>
      </c>
      <c r="S53" s="54">
        <f t="shared" si="5"/>
        <v>20.496000000000002</v>
      </c>
      <c r="T53" s="103">
        <v>0.02</v>
      </c>
      <c r="U53" s="36">
        <f t="shared" si="11"/>
        <v>12.297600000000001</v>
      </c>
      <c r="V53" s="46">
        <f t="shared" si="6"/>
        <v>3097.7267200420993</v>
      </c>
      <c r="Y53" s="226" t="s">
        <v>31</v>
      </c>
      <c r="Z53" s="249">
        <f>SUM(Z22:Z52)</f>
        <v>254.6</v>
      </c>
      <c r="AA53" s="249">
        <f t="shared" ref="AA53:AB53" si="17">SUM(AA22:AA52)</f>
        <v>26.500000000000007</v>
      </c>
      <c r="AB53" s="249">
        <f t="shared" si="17"/>
        <v>13</v>
      </c>
      <c r="AC53" s="154">
        <f>SUM(AC22:AC52)</f>
        <v>294.10000000000002</v>
      </c>
      <c r="AE53" s="226" t="s">
        <v>31</v>
      </c>
      <c r="AF53" s="249">
        <f>SUM(AF22:AF52)</f>
        <v>223.70000000000002</v>
      </c>
      <c r="AG53" s="249">
        <f t="shared" ref="AG53:AH53" si="18">SUM(AG22:AG52)</f>
        <v>103.19999999999999</v>
      </c>
      <c r="AH53" s="249">
        <f t="shared" si="18"/>
        <v>78.099999999999994</v>
      </c>
      <c r="AI53" s="154">
        <f>SUM(AI22:AI52)</f>
        <v>405.00000000000006</v>
      </c>
    </row>
    <row r="54" spans="1:48" ht="19.899999999999999" customHeight="1">
      <c r="K54" s="125"/>
      <c r="L54" s="8"/>
      <c r="M54" s="100" t="s">
        <v>103</v>
      </c>
      <c r="N54" s="11"/>
      <c r="O54" s="67">
        <v>1919</v>
      </c>
      <c r="P54" s="76">
        <v>73</v>
      </c>
      <c r="Q54" s="76">
        <f t="shared" si="9"/>
        <v>1846</v>
      </c>
      <c r="R54" s="10">
        <f t="shared" si="7"/>
        <v>1926.6701999999998</v>
      </c>
      <c r="S54" s="54">
        <f t="shared" si="5"/>
        <v>44.304000000000002</v>
      </c>
      <c r="T54" s="103">
        <v>0.02</v>
      </c>
      <c r="U54" s="36">
        <f t="shared" si="11"/>
        <v>26.5824</v>
      </c>
      <c r="V54" s="46">
        <f t="shared" si="6"/>
        <v>6696.0228632291746</v>
      </c>
      <c r="Y54" s="226" t="s">
        <v>220</v>
      </c>
      <c r="Z54" s="249">
        <v>63.1</v>
      </c>
      <c r="AA54" s="249">
        <v>109.2</v>
      </c>
      <c r="AB54" s="249">
        <v>166.7</v>
      </c>
      <c r="AC54" s="230">
        <f>AC56/AC53</f>
        <v>71.833253995239701</v>
      </c>
      <c r="AD54" s="51"/>
      <c r="AE54" s="226" t="s">
        <v>220</v>
      </c>
      <c r="AF54" s="249">
        <v>63.1</v>
      </c>
      <c r="AG54" s="249">
        <v>109.2</v>
      </c>
      <c r="AH54" s="249">
        <v>166.7</v>
      </c>
      <c r="AI54" s="230">
        <f>AI56/AI53</f>
        <v>94.82513580246912</v>
      </c>
    </row>
    <row r="55" spans="1:48" ht="19.899999999999999" customHeight="1">
      <c r="A55" s="193" t="s">
        <v>152</v>
      </c>
      <c r="B55" s="115"/>
      <c r="F55" s="115"/>
      <c r="H55" s="150"/>
      <c r="J55" s="127">
        <v>6552</v>
      </c>
      <c r="K55" s="128"/>
      <c r="L55" s="126"/>
      <c r="M55" s="100" t="s">
        <v>104</v>
      </c>
      <c r="N55" s="11"/>
      <c r="O55" s="67">
        <v>839</v>
      </c>
      <c r="P55" s="76">
        <v>33</v>
      </c>
      <c r="Q55" s="76">
        <f>O55-P55</f>
        <v>806</v>
      </c>
      <c r="R55" s="10">
        <f t="shared" si="7"/>
        <v>841.22219999999993</v>
      </c>
      <c r="S55" s="54">
        <f>Q55*T55*1.2</f>
        <v>19.344000000000001</v>
      </c>
      <c r="T55" s="103">
        <v>0.02</v>
      </c>
      <c r="U55" s="36">
        <f t="shared" si="11"/>
        <v>11.606400000000001</v>
      </c>
      <c r="V55" s="46">
        <f t="shared" si="6"/>
        <v>2923.615616339499</v>
      </c>
      <c r="Y55" s="225" t="s">
        <v>221</v>
      </c>
      <c r="Z55" s="228">
        <f>Z53/$AC$53</f>
        <v>0.86569194151649087</v>
      </c>
      <c r="AA55" s="228">
        <f t="shared" ref="AA55:AB55" si="19">AA53/$AC$53</f>
        <v>9.0105406324379481E-2</v>
      </c>
      <c r="AB55" s="228">
        <f t="shared" si="19"/>
        <v>4.4202652159129545E-2</v>
      </c>
      <c r="AC55" s="228">
        <f>SUM(Z55:AB55)</f>
        <v>0.99999999999999989</v>
      </c>
      <c r="AD55" s="51"/>
      <c r="AE55" s="225" t="s">
        <v>221</v>
      </c>
      <c r="AF55" s="228">
        <f>AF53/$AI$53</f>
        <v>0.55234567901234566</v>
      </c>
      <c r="AG55" s="228">
        <f t="shared" ref="AG55:AH55" si="20">AG53/$AI$53</f>
        <v>0.25481481481481477</v>
      </c>
      <c r="AH55" s="228">
        <f t="shared" si="20"/>
        <v>0.19283950617283946</v>
      </c>
      <c r="AI55" s="228">
        <f>SUM(AF55:AH55)</f>
        <v>0.99999999999999978</v>
      </c>
    </row>
    <row r="56" spans="1:48" ht="19.899999999999999" customHeight="1">
      <c r="A56" s="194" t="s">
        <v>153</v>
      </c>
      <c r="B56" s="194" t="s">
        <v>154</v>
      </c>
      <c r="C56" s="194" t="s">
        <v>155</v>
      </c>
      <c r="D56" s="194" t="s">
        <v>156</v>
      </c>
      <c r="E56" s="194" t="s">
        <v>54</v>
      </c>
      <c r="F56" s="194" t="s">
        <v>161</v>
      </c>
      <c r="G56" s="116"/>
      <c r="H56" s="116"/>
      <c r="J56" s="59">
        <v>5526</v>
      </c>
      <c r="L56" s="59"/>
      <c r="M56" s="100" t="s">
        <v>105</v>
      </c>
      <c r="N56" s="11"/>
      <c r="O56" s="67">
        <v>832</v>
      </c>
      <c r="P56" s="76">
        <v>32</v>
      </c>
      <c r="Q56" s="76">
        <f t="shared" si="9"/>
        <v>800</v>
      </c>
      <c r="R56" s="10">
        <f t="shared" si="7"/>
        <v>834.95999999999992</v>
      </c>
      <c r="S56" s="54">
        <f t="shared" si="5"/>
        <v>19.2</v>
      </c>
      <c r="T56" s="103">
        <v>0.02</v>
      </c>
      <c r="U56" s="36">
        <f t="shared" ref="U56:U65" si="21">S56*0.75</f>
        <v>14.399999999999999</v>
      </c>
      <c r="V56" s="46">
        <f t="shared" si="6"/>
        <v>2901.8517283766737</v>
      </c>
      <c r="Y56" s="231" t="s">
        <v>223</v>
      </c>
      <c r="Z56" s="54">
        <f>Z53*Z54</f>
        <v>16065.26</v>
      </c>
      <c r="AA56" s="54">
        <f>AA53*AA54</f>
        <v>2893.8000000000006</v>
      </c>
      <c r="AB56" s="54">
        <f>AB53*AB54</f>
        <v>2167.1</v>
      </c>
      <c r="AC56" s="61">
        <f>SUM(Z56:AB56)</f>
        <v>21126.16</v>
      </c>
      <c r="AD56" s="51"/>
      <c r="AE56" s="231" t="s">
        <v>223</v>
      </c>
      <c r="AF56" s="54">
        <f>AF53*AF54</f>
        <v>14115.470000000001</v>
      </c>
      <c r="AG56" s="54">
        <f>AG53*AG54</f>
        <v>11269.439999999999</v>
      </c>
      <c r="AH56" s="54">
        <f>AH53*AH54</f>
        <v>13019.269999999999</v>
      </c>
      <c r="AI56" s="61">
        <f>SUM(AF56:AH56)</f>
        <v>38404.18</v>
      </c>
    </row>
    <row r="57" spans="1:48" ht="19.899999999999999" customHeight="1">
      <c r="A57" s="195" t="s">
        <v>160</v>
      </c>
      <c r="B57" s="196">
        <v>0</v>
      </c>
      <c r="C57" s="196">
        <v>0</v>
      </c>
      <c r="D57" s="196">
        <v>1320</v>
      </c>
      <c r="E57" s="245">
        <v>1320</v>
      </c>
      <c r="F57" s="245">
        <f>D57-E57</f>
        <v>0</v>
      </c>
      <c r="G57" s="51"/>
      <c r="H57" s="51"/>
      <c r="I57" s="13">
        <v>1258</v>
      </c>
      <c r="J57" s="59">
        <f>SUM(J55:J56)</f>
        <v>12078</v>
      </c>
      <c r="K57" s="200"/>
      <c r="M57" s="100" t="s">
        <v>106</v>
      </c>
      <c r="N57" s="11"/>
      <c r="O57" s="67">
        <v>731</v>
      </c>
      <c r="P57" s="76">
        <v>35</v>
      </c>
      <c r="Q57" s="76">
        <f t="shared" si="9"/>
        <v>696</v>
      </c>
      <c r="R57" s="10">
        <f t="shared" si="7"/>
        <v>726.41520000000003</v>
      </c>
      <c r="S57" s="54">
        <f t="shared" si="5"/>
        <v>16.704000000000001</v>
      </c>
      <c r="T57" s="103">
        <v>0.02</v>
      </c>
      <c r="U57" s="36">
        <f t="shared" si="21"/>
        <v>12.528</v>
      </c>
      <c r="V57" s="46">
        <f t="shared" si="6"/>
        <v>2524.6110036877067</v>
      </c>
      <c r="Y57" s="46"/>
      <c r="AI57" s="232">
        <f>AC54-AI54</f>
        <v>-22.991881807229419</v>
      </c>
    </row>
    <row r="58" spans="1:48" ht="19.899999999999999" customHeight="1">
      <c r="A58" s="195" t="s">
        <v>157</v>
      </c>
      <c r="B58" s="90">
        <v>1300</v>
      </c>
      <c r="C58" s="90"/>
      <c r="D58" s="90">
        <v>2164</v>
      </c>
      <c r="E58" s="245">
        <f>D57+B58</f>
        <v>2620</v>
      </c>
      <c r="F58" s="245">
        <f t="shared" ref="F58:F65" si="22">D58-E58</f>
        <v>-456</v>
      </c>
      <c r="G58" s="51"/>
      <c r="H58" s="117"/>
      <c r="I58" s="13">
        <v>1258</v>
      </c>
      <c r="K58" s="51"/>
      <c r="L58" s="108"/>
      <c r="M58" s="100" t="s">
        <v>107</v>
      </c>
      <c r="N58" s="11"/>
      <c r="O58" s="67">
        <v>780</v>
      </c>
      <c r="P58" s="76">
        <v>34</v>
      </c>
      <c r="Q58" s="76">
        <f t="shared" si="9"/>
        <v>746</v>
      </c>
      <c r="R58" s="10">
        <f t="shared" si="7"/>
        <v>778.60019999999997</v>
      </c>
      <c r="S58" s="54">
        <f t="shared" si="5"/>
        <v>17.904</v>
      </c>
      <c r="T58" s="103">
        <v>0.02</v>
      </c>
      <c r="U58" s="36">
        <f t="shared" si="21"/>
        <v>13.428000000000001</v>
      </c>
      <c r="V58" s="46">
        <f t="shared" si="6"/>
        <v>2705.9767367112486</v>
      </c>
      <c r="Y58" s="233" t="s">
        <v>226</v>
      </c>
      <c r="Z58" s="233" t="s">
        <v>220</v>
      </c>
      <c r="AA58" s="233" t="s">
        <v>227</v>
      </c>
      <c r="AB58" s="22"/>
      <c r="AC58" s="51"/>
      <c r="AD58" s="51"/>
      <c r="AE58" s="233" t="s">
        <v>226</v>
      </c>
      <c r="AF58" s="233" t="s">
        <v>220</v>
      </c>
      <c r="AG58" s="233" t="s">
        <v>227</v>
      </c>
      <c r="AH58" s="224" t="s">
        <v>161</v>
      </c>
      <c r="AI58" s="51"/>
    </row>
    <row r="59" spans="1:48" ht="19.899999999999999" customHeight="1">
      <c r="A59" s="195" t="s">
        <v>73</v>
      </c>
      <c r="B59" s="90">
        <v>1800</v>
      </c>
      <c r="C59" s="90"/>
      <c r="D59" s="90">
        <v>4094</v>
      </c>
      <c r="E59" s="245">
        <f>E58+B59</f>
        <v>4420</v>
      </c>
      <c r="F59" s="245">
        <f t="shared" si="22"/>
        <v>-326</v>
      </c>
      <c r="G59" s="51"/>
      <c r="H59" s="117"/>
      <c r="I59" s="13">
        <v>1950</v>
      </c>
      <c r="K59" s="51"/>
      <c r="M59" s="100" t="s">
        <v>108</v>
      </c>
      <c r="N59" s="11"/>
      <c r="O59" s="67">
        <v>740</v>
      </c>
      <c r="P59" s="76">
        <v>25</v>
      </c>
      <c r="Q59" s="76">
        <f t="shared" si="9"/>
        <v>715</v>
      </c>
      <c r="R59" s="10">
        <f t="shared" si="7"/>
        <v>746.24549999999988</v>
      </c>
      <c r="S59" s="54">
        <f t="shared" si="5"/>
        <v>17.16</v>
      </c>
      <c r="T59" s="103">
        <v>0.02</v>
      </c>
      <c r="U59" s="36">
        <f t="shared" si="21"/>
        <v>12.870000000000001</v>
      </c>
      <c r="V59" s="46">
        <f t="shared" si="6"/>
        <v>2593.5299822366519</v>
      </c>
      <c r="Y59" s="234">
        <f>C17</f>
        <v>38.056034482758619</v>
      </c>
      <c r="Z59" s="234">
        <f>AC54</f>
        <v>71.833253995239701</v>
      </c>
      <c r="AA59" s="107">
        <f>Z59*Y59</f>
        <v>2733.6887910516002</v>
      </c>
      <c r="AB59" s="92"/>
      <c r="AC59" s="92"/>
      <c r="AD59" s="92"/>
      <c r="AE59" s="234">
        <v>36.5</v>
      </c>
      <c r="AF59" s="234">
        <f>AI54</f>
        <v>94.82513580246912</v>
      </c>
      <c r="AG59" s="107">
        <f>AF59*AE59</f>
        <v>3461.117456790123</v>
      </c>
      <c r="AH59" s="235">
        <f>AA59-AG59</f>
        <v>-727.4286657385228</v>
      </c>
      <c r="AI59" s="51"/>
    </row>
    <row r="60" spans="1:48" ht="19.899999999999999" customHeight="1">
      <c r="A60" s="195" t="s">
        <v>158</v>
      </c>
      <c r="B60" s="90">
        <v>1200</v>
      </c>
      <c r="C60" s="90"/>
      <c r="D60" s="90">
        <v>5448</v>
      </c>
      <c r="E60" s="245">
        <f>E59+B60</f>
        <v>5620</v>
      </c>
      <c r="F60" s="245">
        <f t="shared" si="22"/>
        <v>-172</v>
      </c>
      <c r="G60" s="118"/>
      <c r="H60" s="117"/>
      <c r="I60" s="13">
        <f>SUM(I57:I59)</f>
        <v>4466</v>
      </c>
      <c r="K60" s="51"/>
      <c r="M60" s="100" t="s">
        <v>109</v>
      </c>
      <c r="N60" s="11"/>
      <c r="O60" s="67">
        <v>810</v>
      </c>
      <c r="P60" s="76">
        <v>36</v>
      </c>
      <c r="Q60" s="76">
        <f t="shared" si="9"/>
        <v>774</v>
      </c>
      <c r="R60" s="10">
        <f>Q60*(1-T60)*1.068</f>
        <v>810.09936000000005</v>
      </c>
      <c r="S60" s="54">
        <f t="shared" si="5"/>
        <v>18.576000000000001</v>
      </c>
      <c r="T60" s="103">
        <v>0.02</v>
      </c>
      <c r="U60" s="36">
        <f t="shared" si="21"/>
        <v>13.932</v>
      </c>
      <c r="V60" s="46">
        <f t="shared" si="6"/>
        <v>2815.4501149430362</v>
      </c>
      <c r="Y60" s="46"/>
      <c r="Z60" s="46"/>
      <c r="AA60" s="46"/>
    </row>
    <row r="61" spans="1:48">
      <c r="A61" s="195" t="s">
        <v>159</v>
      </c>
      <c r="B61" s="90">
        <v>614</v>
      </c>
      <c r="C61" s="90">
        <v>88</v>
      </c>
      <c r="D61" s="90">
        <v>5673</v>
      </c>
      <c r="E61" s="245">
        <f>E60+B61-C61</f>
        <v>6146</v>
      </c>
      <c r="F61" s="245">
        <f t="shared" si="22"/>
        <v>-473</v>
      </c>
      <c r="G61" s="119"/>
      <c r="H61" s="118"/>
      <c r="I61" s="115">
        <v>-2500</v>
      </c>
      <c r="K61" s="51"/>
      <c r="L61" s="66"/>
      <c r="M61" s="100" t="s">
        <v>110</v>
      </c>
      <c r="N61" s="11"/>
      <c r="O61" s="67">
        <v>1933</v>
      </c>
      <c r="P61" s="76">
        <v>81</v>
      </c>
      <c r="Q61" s="76">
        <f t="shared" si="9"/>
        <v>1852</v>
      </c>
      <c r="R61" s="10">
        <f>Q61*(1-T61)*1.068</f>
        <v>1938.3772800000002</v>
      </c>
      <c r="S61" s="54">
        <f t="shared" si="5"/>
        <v>44.448</v>
      </c>
      <c r="T61" s="103">
        <v>0.02</v>
      </c>
      <c r="U61" s="36">
        <f t="shared" si="21"/>
        <v>33.335999999999999</v>
      </c>
      <c r="V61" s="46">
        <f t="shared" si="6"/>
        <v>6736.7100941531053</v>
      </c>
      <c r="Y61" s="9"/>
      <c r="Z61" s="9"/>
      <c r="AA61" s="9"/>
      <c r="AB61" s="35"/>
    </row>
    <row r="62" spans="1:48">
      <c r="A62" s="195" t="s">
        <v>162</v>
      </c>
      <c r="B62" s="90">
        <v>1248</v>
      </c>
      <c r="C62" s="90"/>
      <c r="D62" s="90">
        <v>7027</v>
      </c>
      <c r="E62" s="245">
        <f>E61+B62-C62</f>
        <v>7394</v>
      </c>
      <c r="F62" s="245">
        <f t="shared" si="22"/>
        <v>-367</v>
      </c>
      <c r="G62" s="119"/>
      <c r="H62" s="118"/>
      <c r="I62" s="13">
        <f>SUM(I60:I61)</f>
        <v>1966</v>
      </c>
      <c r="K62" s="51"/>
      <c r="M62" s="100" t="s">
        <v>111</v>
      </c>
      <c r="N62" s="11"/>
      <c r="O62" s="67">
        <v>818</v>
      </c>
      <c r="P62" s="76">
        <v>33</v>
      </c>
      <c r="Q62" s="76">
        <f t="shared" si="9"/>
        <v>785</v>
      </c>
      <c r="R62" s="10">
        <f t="shared" si="7"/>
        <v>819.30449999999996</v>
      </c>
      <c r="S62" s="54">
        <f t="shared" si="5"/>
        <v>18.84</v>
      </c>
      <c r="T62" s="103">
        <v>0.02</v>
      </c>
      <c r="U62" s="36">
        <f t="shared" si="21"/>
        <v>14.129999999999999</v>
      </c>
      <c r="V62" s="46">
        <f t="shared" si="6"/>
        <v>2847.4420084696112</v>
      </c>
      <c r="W62" s="18"/>
    </row>
    <row r="63" spans="1:48">
      <c r="A63" s="195" t="s">
        <v>163</v>
      </c>
      <c r="B63" s="245">
        <v>943</v>
      </c>
      <c r="C63" s="245">
        <v>58</v>
      </c>
      <c r="D63" s="245">
        <v>8155</v>
      </c>
      <c r="E63" s="245">
        <f>E62+B63-C63</f>
        <v>8279</v>
      </c>
      <c r="F63" s="245">
        <f t="shared" si="22"/>
        <v>-124</v>
      </c>
      <c r="K63" s="51"/>
      <c r="M63" s="100" t="s">
        <v>112</v>
      </c>
      <c r="N63" s="11"/>
      <c r="O63" s="67">
        <v>824</v>
      </c>
      <c r="P63" s="76">
        <v>46</v>
      </c>
      <c r="Q63" s="76">
        <f t="shared" si="9"/>
        <v>778</v>
      </c>
      <c r="R63" s="10">
        <f t="shared" si="7"/>
        <v>811.9985999999999</v>
      </c>
      <c r="S63" s="54">
        <f t="shared" si="5"/>
        <v>18.672000000000001</v>
      </c>
      <c r="T63" s="103">
        <v>0.02</v>
      </c>
      <c r="U63" s="36">
        <f t="shared" si="21"/>
        <v>14.004000000000001</v>
      </c>
      <c r="V63" s="46">
        <f t="shared" si="6"/>
        <v>2822.0508058463151</v>
      </c>
      <c r="W63" s="14"/>
      <c r="X63" s="46"/>
      <c r="Y63" s="46"/>
    </row>
    <row r="64" spans="1:48">
      <c r="A64" s="195" t="s">
        <v>164</v>
      </c>
      <c r="B64" s="245">
        <v>0</v>
      </c>
      <c r="C64" s="197"/>
      <c r="D64" s="198">
        <v>8155</v>
      </c>
      <c r="E64" s="245">
        <f t="shared" ref="E64:E65" si="23">E63+B64-C64</f>
        <v>8279</v>
      </c>
      <c r="F64" s="245">
        <f t="shared" si="22"/>
        <v>-124</v>
      </c>
      <c r="K64" s="51"/>
      <c r="M64" s="100" t="s">
        <v>113</v>
      </c>
      <c r="N64" s="11"/>
      <c r="O64" s="76">
        <v>799</v>
      </c>
      <c r="P64" s="76">
        <v>42</v>
      </c>
      <c r="Q64" s="76">
        <f t="shared" si="9"/>
        <v>757</v>
      </c>
      <c r="R64" s="10">
        <f t="shared" si="7"/>
        <v>790.08089999999993</v>
      </c>
      <c r="S64" s="54">
        <f t="shared" si="5"/>
        <v>18.167999999999999</v>
      </c>
      <c r="T64" s="103">
        <v>0.02</v>
      </c>
      <c r="U64" s="36">
        <f t="shared" si="21"/>
        <v>13.625999999999999</v>
      </c>
      <c r="V64" s="46">
        <f t="shared" si="6"/>
        <v>2745.8771979764274</v>
      </c>
      <c r="X64" s="46"/>
      <c r="Y64" s="46"/>
    </row>
    <row r="65" spans="1:31">
      <c r="A65" s="195" t="s">
        <v>165</v>
      </c>
      <c r="B65" s="245">
        <v>1111</v>
      </c>
      <c r="C65" s="197"/>
      <c r="D65" s="198">
        <v>9058</v>
      </c>
      <c r="E65" s="245">
        <f t="shared" si="23"/>
        <v>9390</v>
      </c>
      <c r="F65" s="245">
        <f t="shared" si="22"/>
        <v>-332</v>
      </c>
      <c r="L65" s="59"/>
      <c r="M65" s="100" t="s">
        <v>114</v>
      </c>
      <c r="N65" s="11"/>
      <c r="O65" s="67">
        <v>856</v>
      </c>
      <c r="P65" s="76">
        <v>35</v>
      </c>
      <c r="Q65" s="76">
        <f t="shared" si="9"/>
        <v>821</v>
      </c>
      <c r="R65" s="10">
        <f t="shared" si="7"/>
        <v>856.8777</v>
      </c>
      <c r="S65" s="54">
        <f t="shared" si="5"/>
        <v>19.704000000000001</v>
      </c>
      <c r="T65" s="103">
        <v>0.02</v>
      </c>
      <c r="U65" s="36">
        <f t="shared" si="21"/>
        <v>14.778</v>
      </c>
      <c r="V65" s="46">
        <f t="shared" si="6"/>
        <v>2978.0253362465619</v>
      </c>
      <c r="Y65" s="46"/>
      <c r="Z65" s="46"/>
    </row>
    <row r="66" spans="1:31">
      <c r="A66" s="194" t="s">
        <v>31</v>
      </c>
      <c r="B66" s="245">
        <f>SUM(B58:B65)</f>
        <v>8216</v>
      </c>
      <c r="C66" s="245">
        <f>SUM(C58:C65)</f>
        <v>146</v>
      </c>
      <c r="D66" s="197"/>
      <c r="E66" s="245"/>
      <c r="F66" s="245"/>
      <c r="M66" s="11" t="s">
        <v>7</v>
      </c>
      <c r="N66" s="120">
        <f>SUM(N36:N65)</f>
        <v>81227.897899999996</v>
      </c>
      <c r="O66" s="120">
        <f>SUM(O36:O65)</f>
        <v>23404</v>
      </c>
      <c r="P66" s="61">
        <f t="shared" ref="P66:Q66" si="24">SUM(P36:P65)</f>
        <v>1018</v>
      </c>
      <c r="Q66" s="61">
        <f t="shared" si="24"/>
        <v>22386</v>
      </c>
      <c r="R66" s="120">
        <f>SUM(R36:R65)</f>
        <v>23371.98864</v>
      </c>
      <c r="S66" s="61">
        <f>SUM(S36:S65)</f>
        <v>537.2639999999999</v>
      </c>
      <c r="T66" s="62"/>
      <c r="U66" s="113">
        <f>SUM(U38:U65)</f>
        <v>328.19040000000001</v>
      </c>
      <c r="V66" s="46">
        <f>SUM(V36:V65)</f>
        <v>81227.897899999996</v>
      </c>
      <c r="W66" s="136">
        <f>R66/N66</f>
        <v>0.28773351575308959</v>
      </c>
      <c r="X66" s="36"/>
      <c r="Y66" s="46"/>
    </row>
    <row r="67" spans="1:31">
      <c r="M67" s="101" t="s">
        <v>56</v>
      </c>
      <c r="N67" s="9"/>
      <c r="R67" s="36"/>
      <c r="T67" s="63"/>
      <c r="U67" s="70"/>
      <c r="V67" s="69"/>
      <c r="W67" s="46"/>
      <c r="AA67" s="48"/>
      <c r="AB67" s="15"/>
      <c r="AD67" s="35"/>
      <c r="AE67" s="35"/>
    </row>
    <row r="68" spans="1:31">
      <c r="R68" s="49"/>
      <c r="S68" s="64"/>
    </row>
    <row r="69" spans="1:31">
      <c r="N69" s="114"/>
      <c r="R69" s="111"/>
    </row>
    <row r="70" spans="1:31">
      <c r="R70" s="110"/>
      <c r="S70" s="109"/>
      <c r="X70" s="46"/>
    </row>
    <row r="71" spans="1:31">
      <c r="M71" s="201" t="s">
        <v>175</v>
      </c>
      <c r="N71"/>
      <c r="O71"/>
      <c r="P71"/>
      <c r="Q71"/>
      <c r="R71"/>
      <c r="S71"/>
      <c r="T71"/>
      <c r="U71"/>
      <c r="V71"/>
      <c r="W71"/>
      <c r="X71"/>
    </row>
    <row r="72" spans="1:31">
      <c r="M72" s="848" t="s">
        <v>1</v>
      </c>
      <c r="N72" s="848"/>
      <c r="O72" s="848"/>
      <c r="P72" s="849" t="s">
        <v>169</v>
      </c>
      <c r="Q72" s="850"/>
      <c r="R72" s="851" t="s">
        <v>170</v>
      </c>
      <c r="S72" s="848"/>
      <c r="T72" s="849" t="s">
        <v>176</v>
      </c>
      <c r="U72" s="852"/>
      <c r="V72" s="858" t="s">
        <v>177</v>
      </c>
      <c r="W72" s="848"/>
      <c r="X72"/>
    </row>
    <row r="73" spans="1:31">
      <c r="M73" s="848" t="s">
        <v>171</v>
      </c>
      <c r="N73" s="848"/>
      <c r="O73" s="848"/>
      <c r="P73" s="859">
        <v>32509</v>
      </c>
      <c r="Q73" s="860"/>
      <c r="R73" s="861">
        <v>33756</v>
      </c>
      <c r="S73" s="859"/>
      <c r="T73" s="859">
        <v>27950</v>
      </c>
      <c r="U73" s="862"/>
      <c r="V73" s="863">
        <v>33920</v>
      </c>
      <c r="W73" s="859"/>
      <c r="X73"/>
      <c r="Y73" s="46"/>
    </row>
    <row r="74" spans="1:31">
      <c r="M74" s="848" t="s">
        <v>172</v>
      </c>
      <c r="N74" s="848"/>
      <c r="O74" s="848"/>
      <c r="P74" s="848">
        <v>80.3</v>
      </c>
      <c r="Q74" s="850"/>
      <c r="R74" s="851">
        <v>77.400000000000006</v>
      </c>
      <c r="S74" s="848"/>
      <c r="T74" s="855">
        <v>80</v>
      </c>
      <c r="U74" s="856"/>
      <c r="V74" s="857">
        <v>80</v>
      </c>
      <c r="W74" s="855"/>
      <c r="X74"/>
      <c r="Y74" s="46"/>
    </row>
    <row r="75" spans="1:31">
      <c r="M75" s="848" t="s">
        <v>173</v>
      </c>
      <c r="N75" s="848"/>
      <c r="O75" s="848"/>
      <c r="P75" s="848">
        <v>36.5</v>
      </c>
      <c r="Q75" s="850"/>
      <c r="R75" s="851">
        <v>37.9</v>
      </c>
      <c r="S75" s="848"/>
      <c r="T75" s="848">
        <v>36.5</v>
      </c>
      <c r="U75" s="852"/>
      <c r="V75" s="853">
        <v>36.5</v>
      </c>
      <c r="W75" s="848"/>
      <c r="X75"/>
      <c r="Y75" s="46"/>
    </row>
    <row r="76" spans="1:31">
      <c r="M76" s="848" t="s">
        <v>174</v>
      </c>
      <c r="N76" s="848"/>
      <c r="O76" s="848"/>
      <c r="P76" s="848">
        <v>6.08</v>
      </c>
      <c r="Q76" s="850"/>
      <c r="R76" s="851">
        <v>6.36</v>
      </c>
      <c r="S76" s="848"/>
      <c r="T76" s="848">
        <v>5.7</v>
      </c>
      <c r="U76" s="852"/>
      <c r="V76" s="853">
        <v>5.5</v>
      </c>
      <c r="W76" s="848"/>
      <c r="X76"/>
      <c r="Y76" s="46"/>
    </row>
    <row r="77" spans="1:31">
      <c r="P77" s="36"/>
      <c r="Q77" s="36"/>
      <c r="R77" s="36"/>
      <c r="S77" s="18"/>
      <c r="T77" s="18"/>
      <c r="Y77" s="42"/>
    </row>
    <row r="78" spans="1:31">
      <c r="O78" s="46"/>
      <c r="P78" s="46"/>
      <c r="Q78" s="46"/>
      <c r="R78" s="65"/>
      <c r="S78" s="65"/>
    </row>
    <row r="79" spans="1:31">
      <c r="N79" s="72"/>
    </row>
    <row r="80" spans="1:31">
      <c r="N80" s="72"/>
    </row>
    <row r="81" spans="12:14">
      <c r="N81" s="72"/>
    </row>
    <row r="85" spans="12:14">
      <c r="L85" s="72"/>
    </row>
    <row r="86" spans="12:14">
      <c r="L86" s="73"/>
    </row>
  </sheetData>
  <mergeCells count="119">
    <mergeCell ref="M76:O76"/>
    <mergeCell ref="P76:Q76"/>
    <mergeCell ref="R76:S76"/>
    <mergeCell ref="T76:U76"/>
    <mergeCell ref="V76:W76"/>
    <mergeCell ref="AL17:AO17"/>
    <mergeCell ref="M74:O74"/>
    <mergeCell ref="P74:Q74"/>
    <mergeCell ref="R74:S74"/>
    <mergeCell ref="T74:U74"/>
    <mergeCell ref="V74:W74"/>
    <mergeCell ref="M75:O75"/>
    <mergeCell ref="P75:Q75"/>
    <mergeCell ref="R75:S75"/>
    <mergeCell ref="T75:U75"/>
    <mergeCell ref="V75:W75"/>
    <mergeCell ref="T72:U72"/>
    <mergeCell ref="V72:W72"/>
    <mergeCell ref="M73:O73"/>
    <mergeCell ref="P73:Q73"/>
    <mergeCell ref="R73:S73"/>
    <mergeCell ref="T73:U73"/>
    <mergeCell ref="V73:W73"/>
    <mergeCell ref="Y17:AB17"/>
    <mergeCell ref="H51:I51"/>
    <mergeCell ref="H52:I52"/>
    <mergeCell ref="H53:I53"/>
    <mergeCell ref="M72:O72"/>
    <mergeCell ref="P72:Q72"/>
    <mergeCell ref="R72:S72"/>
    <mergeCell ref="H43:I43"/>
    <mergeCell ref="H44:I44"/>
    <mergeCell ref="H45:I45"/>
    <mergeCell ref="H46:I46"/>
    <mergeCell ref="A49:A50"/>
    <mergeCell ref="B49:C49"/>
    <mergeCell ref="D49:E49"/>
    <mergeCell ref="F49:G49"/>
    <mergeCell ref="H49:I50"/>
    <mergeCell ref="A39:A40"/>
    <mergeCell ref="D39:E39"/>
    <mergeCell ref="F39:I39"/>
    <mergeCell ref="H40:I40"/>
    <mergeCell ref="H41:I41"/>
    <mergeCell ref="H42:I42"/>
    <mergeCell ref="C32:D32"/>
    <mergeCell ref="E32:F32"/>
    <mergeCell ref="C33:D33"/>
    <mergeCell ref="E33:F33"/>
    <mergeCell ref="C34:D34"/>
    <mergeCell ref="E34:F34"/>
    <mergeCell ref="B29:B31"/>
    <mergeCell ref="C29:D29"/>
    <mergeCell ref="E29:F30"/>
    <mergeCell ref="G29:G31"/>
    <mergeCell ref="H29:H31"/>
    <mergeCell ref="I29:I31"/>
    <mergeCell ref="C30:D30"/>
    <mergeCell ref="C31:D31"/>
    <mergeCell ref="E31:F31"/>
    <mergeCell ref="B26:B28"/>
    <mergeCell ref="C26:D26"/>
    <mergeCell ref="E26:F27"/>
    <mergeCell ref="G26:G28"/>
    <mergeCell ref="H26:H28"/>
    <mergeCell ref="I26:I28"/>
    <mergeCell ref="C27:D27"/>
    <mergeCell ref="C28:D28"/>
    <mergeCell ref="E28:F28"/>
    <mergeCell ref="B24:B25"/>
    <mergeCell ref="C24:D24"/>
    <mergeCell ref="E24:F25"/>
    <mergeCell ref="G24:G25"/>
    <mergeCell ref="H24:H25"/>
    <mergeCell ref="I24:I25"/>
    <mergeCell ref="C25:D25"/>
    <mergeCell ref="C17:D17"/>
    <mergeCell ref="E17:F17"/>
    <mergeCell ref="G17:I17"/>
    <mergeCell ref="A22:A23"/>
    <mergeCell ref="B22:B23"/>
    <mergeCell ref="C22:D23"/>
    <mergeCell ref="E22:F23"/>
    <mergeCell ref="G22:I22"/>
    <mergeCell ref="C15:D15"/>
    <mergeCell ref="E15:F15"/>
    <mergeCell ref="G15:I15"/>
    <mergeCell ref="C16:D16"/>
    <mergeCell ref="E16:F16"/>
    <mergeCell ref="G16:I16"/>
    <mergeCell ref="C7:D7"/>
    <mergeCell ref="E7:F7"/>
    <mergeCell ref="H7:I7"/>
    <mergeCell ref="A1:I1"/>
    <mergeCell ref="AJ3:AJ5"/>
    <mergeCell ref="H4:I4"/>
    <mergeCell ref="A13:A14"/>
    <mergeCell ref="B13:D13"/>
    <mergeCell ref="E13:I13"/>
    <mergeCell ref="C14:D14"/>
    <mergeCell ref="E14:F14"/>
    <mergeCell ref="G14:I14"/>
    <mergeCell ref="C8:D8"/>
    <mergeCell ref="E8:F8"/>
    <mergeCell ref="H8:I8"/>
    <mergeCell ref="C9:D9"/>
    <mergeCell ref="E9:F9"/>
    <mergeCell ref="H9:I9"/>
    <mergeCell ref="AK4:AK5"/>
    <mergeCell ref="AL4:AL5"/>
    <mergeCell ref="AM4:AM5"/>
    <mergeCell ref="A5:A6"/>
    <mergeCell ref="B5:B6"/>
    <mergeCell ref="C5:D6"/>
    <mergeCell ref="E5:F6"/>
    <mergeCell ref="G5:I5"/>
    <mergeCell ref="L5:M5"/>
    <mergeCell ref="N5:O5"/>
    <mergeCell ref="H6:I6"/>
  </mergeCells>
  <phoneticPr fontId="156" type="noConversion"/>
  <pageMargins left="0.43307086614173229" right="0.23622047244094491" top="0.19685039370078741" bottom="0.15748031496062992" header="0.31496062992125984" footer="0.31496062992125984"/>
  <pageSetup paperSize="9" scale="95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F2A9-CC64-42CC-B9A7-66530192E499}">
  <dimension ref="A1:U89"/>
  <sheetViews>
    <sheetView workbookViewId="0">
      <selection activeCell="C10" sqref="C10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38"/>
      <c r="B2" s="638"/>
      <c r="C2" s="638"/>
      <c r="D2" s="638"/>
      <c r="E2" s="638"/>
      <c r="F2" s="638"/>
      <c r="G2" s="638"/>
      <c r="H2" s="638"/>
      <c r="I2" s="638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53" t="s">
        <v>686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40"/>
      <c r="P5" s="640"/>
      <c r="Q5" s="748"/>
      <c r="R5" s="748"/>
      <c r="S5" s="640"/>
      <c r="T5" s="640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40"/>
      <c r="P6" s="82"/>
      <c r="Q6" s="640"/>
      <c r="R6" s="82"/>
      <c r="S6" s="82"/>
      <c r="T6" s="293"/>
      <c r="U6" s="107"/>
    </row>
    <row r="7" spans="1:21" ht="18.8" thickTop="1">
      <c r="A7" s="19" t="s">
        <v>14</v>
      </c>
      <c r="B7" s="20">
        <v>0</v>
      </c>
      <c r="C7" s="751">
        <v>0</v>
      </c>
      <c r="D7" s="752"/>
      <c r="E7" s="753" t="e">
        <f>(C7/B7)+0.04</f>
        <v>#DIV/0!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40"/>
      <c r="P7" s="22"/>
      <c r="Q7" s="17"/>
      <c r="R7" s="17"/>
      <c r="S7" s="17"/>
      <c r="U7" s="369"/>
    </row>
    <row r="8" spans="1:21">
      <c r="A8" s="23" t="s">
        <v>15</v>
      </c>
      <c r="B8" s="74">
        <f>0</f>
        <v>0</v>
      </c>
      <c r="C8" s="769">
        <f>0</f>
        <v>0</v>
      </c>
      <c r="D8" s="770"/>
      <c r="E8" s="771" t="e">
        <f>C8/B8</f>
        <v>#DIV/0!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40"/>
      <c r="P8" s="22"/>
      <c r="Q8" s="14"/>
      <c r="T8" s="107"/>
      <c r="U8" s="107"/>
    </row>
    <row r="9" spans="1:21">
      <c r="A9" s="23" t="s">
        <v>16</v>
      </c>
      <c r="B9" s="24">
        <v>4146.7</v>
      </c>
      <c r="C9" s="774">
        <v>341251</v>
      </c>
      <c r="D9" s="775"/>
      <c r="E9" s="771">
        <f>C9/B9</f>
        <v>82.294595702606898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40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642" t="s">
        <v>688</v>
      </c>
      <c r="G11" s="54">
        <v>0</v>
      </c>
      <c r="H11" s="54">
        <v>0</v>
      </c>
      <c r="I11" s="490" t="e">
        <f>H11/G11*100</f>
        <v>#DIV/0!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39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0</v>
      </c>
      <c r="C15" s="771" t="e">
        <f>(B15/C7)</f>
        <v>#DIV/0!</v>
      </c>
      <c r="D15" s="772"/>
      <c r="E15" s="779">
        <v>0</v>
      </c>
      <c r="F15" s="779"/>
      <c r="G15" s="780" t="e">
        <f>E15/C7</f>
        <v>#DIV/0!</v>
      </c>
      <c r="H15" s="780"/>
      <c r="I15" s="780"/>
      <c r="J15" s="594"/>
      <c r="K15" s="528"/>
      <c r="L15" s="365"/>
      <c r="M15" s="632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0</f>
        <v>0</v>
      </c>
      <c r="C16" s="771" t="e">
        <f>B16/C8</f>
        <v>#DIV/0!</v>
      </c>
      <c r="D16" s="772"/>
      <c r="E16" s="781">
        <f>0</f>
        <v>0</v>
      </c>
      <c r="F16" s="781"/>
      <c r="G16" s="782" t="e">
        <f>E16/C8</f>
        <v>#DIV/0!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v>12102413</v>
      </c>
      <c r="C17" s="797">
        <f>B17/C9</f>
        <v>35.464842593867857</v>
      </c>
      <c r="D17" s="798"/>
      <c r="E17" s="799">
        <v>1809835</v>
      </c>
      <c r="F17" s="799"/>
      <c r="G17" s="800">
        <f>E17/C9</f>
        <v>5.3035302460652129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 t="e">
        <f>-(36.5-C15)*76.9*C7/10000</f>
        <v>#DIV/0!</v>
      </c>
      <c r="D18" s="934"/>
      <c r="E18" s="540"/>
      <c r="F18" s="540"/>
      <c r="G18" s="934" t="e">
        <f>-(5.3-G15)*593*C7/10000</f>
        <v>#DIV/0!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 t="s">
        <v>682</v>
      </c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4864</v>
      </c>
      <c r="C25" s="785"/>
      <c r="D25" s="786"/>
      <c r="E25" s="787">
        <v>1217</v>
      </c>
      <c r="F25" s="788"/>
      <c r="G25" s="791">
        <v>3550</v>
      </c>
      <c r="H25" s="793">
        <f>B25+C25+C26-E25</f>
        <v>3647</v>
      </c>
      <c r="I25" s="793">
        <f>G25-H25</f>
        <v>-97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5153</v>
      </c>
      <c r="C27" s="813"/>
      <c r="D27" s="814"/>
      <c r="E27" s="815">
        <v>289</v>
      </c>
      <c r="F27" s="816"/>
      <c r="G27" s="801">
        <v>4845</v>
      </c>
      <c r="H27" s="803">
        <f>B27+C27+C28-E27-E29</f>
        <v>4864</v>
      </c>
      <c r="I27" s="803">
        <f>G27-H27</f>
        <v>-19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11089</v>
      </c>
      <c r="C30" s="829"/>
      <c r="D30" s="830"/>
      <c r="E30" s="815">
        <v>59</v>
      </c>
      <c r="F30" s="816"/>
      <c r="G30" s="801">
        <v>10863</v>
      </c>
      <c r="H30" s="803">
        <f>B30+C30+C31-E30-E32</f>
        <v>10946</v>
      </c>
      <c r="I30" s="803">
        <f>G30-H30</f>
        <v>-83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>
        <v>84</v>
      </c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21106</v>
      </c>
      <c r="C33" s="821">
        <f>SUM(C25:D32)</f>
        <v>0</v>
      </c>
      <c r="D33" s="822"/>
      <c r="E33" s="821">
        <f>SUM(E25:F32)</f>
        <v>1649</v>
      </c>
      <c r="F33" s="822"/>
      <c r="G33" s="636">
        <f>G25+G27+G30</f>
        <v>19258</v>
      </c>
      <c r="H33" s="636">
        <f>H25+H27+H30</f>
        <v>19457</v>
      </c>
      <c r="I33" s="636">
        <f>I25+I27+I30</f>
        <v>-199</v>
      </c>
      <c r="J33" s="327">
        <f>E33-E29-E32</f>
        <v>1565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852</v>
      </c>
      <c r="C34" s="823">
        <f>E29+E35+E32</f>
        <v>210</v>
      </c>
      <c r="D34" s="824"/>
      <c r="E34" s="823">
        <f>445+291</f>
        <v>736</v>
      </c>
      <c r="F34" s="824"/>
      <c r="G34" s="183">
        <f>245+254</f>
        <v>499</v>
      </c>
      <c r="H34" s="183">
        <f>B34+C34-E34</f>
        <v>326</v>
      </c>
      <c r="I34" s="183">
        <f>G34-H34</f>
        <v>173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3218</v>
      </c>
      <c r="C35" s="825"/>
      <c r="D35" s="826"/>
      <c r="E35" s="827">
        <v>126</v>
      </c>
      <c r="F35" s="828"/>
      <c r="G35" s="181">
        <v>3079</v>
      </c>
      <c r="H35" s="182">
        <f>B35+C35-E35</f>
        <v>3092</v>
      </c>
      <c r="I35" s="182">
        <f>G35-H35</f>
        <v>-13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210</f>
        <v>210</v>
      </c>
      <c r="E36" s="79" t="s">
        <v>47</v>
      </c>
      <c r="F36" s="80" t="s">
        <v>46</v>
      </c>
      <c r="G36" s="55">
        <f>84040+D36</f>
        <v>84250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126</f>
        <v>126</v>
      </c>
      <c r="E37" s="79" t="s">
        <v>47</v>
      </c>
      <c r="F37" s="80" t="s">
        <v>46</v>
      </c>
      <c r="G37" s="55">
        <f>46327+D37</f>
        <v>46453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/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/>
      <c r="O39" s="76"/>
      <c r="P39" s="76">
        <f t="shared" si="1"/>
        <v>0</v>
      </c>
      <c r="Q39" s="10">
        <f t="shared" si="3"/>
        <v>0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/>
      <c r="O40" s="76"/>
      <c r="P40" s="76">
        <f t="shared" si="1"/>
        <v>0</v>
      </c>
      <c r="Q40" s="10">
        <f t="shared" si="3"/>
        <v>0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35" t="s">
        <v>34</v>
      </c>
      <c r="F41" s="635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/>
      <c r="O41" s="76"/>
      <c r="P41" s="76">
        <f t="shared" si="1"/>
        <v>0</v>
      </c>
      <c r="Q41" s="10">
        <f t="shared" si="3"/>
        <v>0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/>
      <c r="O42" s="76"/>
      <c r="P42" s="76">
        <f t="shared" si="1"/>
        <v>0</v>
      </c>
      <c r="Q42" s="10">
        <f t="shared" si="3"/>
        <v>0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41">
        <v>6730</v>
      </c>
      <c r="C43" s="883"/>
      <c r="D43" s="884"/>
      <c r="E43" s="641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/>
      <c r="O43" s="76"/>
      <c r="P43" s="76">
        <f t="shared" si="1"/>
        <v>0</v>
      </c>
      <c r="Q43" s="10">
        <f t="shared" si="3"/>
        <v>0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41">
        <v>6347</v>
      </c>
      <c r="C44" s="883">
        <f>1569+2114+464+1600+300</f>
        <v>6047</v>
      </c>
      <c r="D44" s="884"/>
      <c r="E44" s="641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/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41">
        <v>6714</v>
      </c>
      <c r="C45" s="883"/>
      <c r="D45" s="884"/>
      <c r="E45" s="641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/>
      <c r="O45" s="76"/>
      <c r="P45" s="76">
        <f t="shared" si="1"/>
        <v>0</v>
      </c>
      <c r="Q45" s="10">
        <f t="shared" si="3"/>
        <v>0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41">
        <v>27400</v>
      </c>
      <c r="C46" s="883">
        <f>2006+2081+1392+1491+1299+1407+1300-200-1081+1241+1196+1217+1997+1358+2052+2021-100+450</f>
        <v>21127</v>
      </c>
      <c r="D46" s="884"/>
      <c r="E46" s="641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/>
      <c r="O46" s="76"/>
      <c r="P46" s="76">
        <f t="shared" si="1"/>
        <v>0</v>
      </c>
      <c r="Q46" s="10">
        <f t="shared" si="3"/>
        <v>0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41">
        <v>6800</v>
      </c>
      <c r="C47" s="883"/>
      <c r="D47" s="884"/>
      <c r="E47" s="641">
        <v>6800</v>
      </c>
      <c r="F47" s="447">
        <f t="shared" si="4"/>
        <v>0</v>
      </c>
      <c r="G47" s="883">
        <f t="shared" ref="G47:G48" si="10">SUM(E47:F47)</f>
        <v>6800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/>
      <c r="O47" s="76"/>
      <c r="P47" s="76">
        <f t="shared" si="1"/>
        <v>0</v>
      </c>
      <c r="Q47" s="10">
        <f t="shared" si="3"/>
        <v>0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41">
        <v>27531</v>
      </c>
      <c r="C48" s="883">
        <f>1359+2140+1356</f>
        <v>4855</v>
      </c>
      <c r="D48" s="884"/>
      <c r="E48" s="641">
        <f>27531-13280</f>
        <v>14251</v>
      </c>
      <c r="F48" s="447">
        <f t="shared" si="4"/>
        <v>8425</v>
      </c>
      <c r="G48" s="883">
        <f t="shared" si="10"/>
        <v>22676</v>
      </c>
      <c r="H48" s="884"/>
      <c r="I48" s="450" t="s">
        <v>416</v>
      </c>
      <c r="J48" s="57"/>
      <c r="K48" s="57"/>
      <c r="L48" s="100" t="s">
        <v>656</v>
      </c>
      <c r="M48" s="11"/>
      <c r="N48" s="67"/>
      <c r="O48" s="76"/>
      <c r="P48" s="76">
        <f t="shared" si="1"/>
        <v>0</v>
      </c>
      <c r="Q48" s="10">
        <f t="shared" si="3"/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33">
        <f>SUM(B42:B48)</f>
        <v>88602</v>
      </c>
      <c r="C49" s="845">
        <f>SUM(C42:D48)</f>
        <v>32029</v>
      </c>
      <c r="D49" s="845"/>
      <c r="E49" s="633">
        <f>SUM(E42:E48)</f>
        <v>47305</v>
      </c>
      <c r="F49" s="633">
        <f>SUM(F42:F48)</f>
        <v>9268</v>
      </c>
      <c r="G49" s="845">
        <f>SUM(G42:H48)</f>
        <v>56573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3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3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3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3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34" t="s">
        <v>3</v>
      </c>
      <c r="C53" s="152" t="s">
        <v>82</v>
      </c>
      <c r="D53" s="634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3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70</v>
      </c>
      <c r="C54" s="154">
        <v>70</v>
      </c>
      <c r="D54" s="184">
        <v>29</v>
      </c>
      <c r="E54" s="153">
        <v>29</v>
      </c>
      <c r="F54" s="153">
        <v>2</v>
      </c>
      <c r="G54" s="185">
        <v>2</v>
      </c>
      <c r="H54" s="846">
        <f>B54+D54-F54</f>
        <v>97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3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100</v>
      </c>
      <c r="C55" s="637">
        <v>100</v>
      </c>
      <c r="D55" s="184">
        <v>29</v>
      </c>
      <c r="E55" s="153">
        <v>29</v>
      </c>
      <c r="F55" s="153">
        <v>1</v>
      </c>
      <c r="G55" s="185">
        <v>1</v>
      </c>
      <c r="H55" s="846">
        <f>B55+D55-F55</f>
        <v>128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170</v>
      </c>
      <c r="C56" s="149">
        <f>SUM(C54:C55)</f>
        <v>170</v>
      </c>
      <c r="D56" s="149">
        <f t="shared" ref="D56:G56" si="11">SUM(D54:D55)</f>
        <v>58</v>
      </c>
      <c r="E56" s="149">
        <f t="shared" si="11"/>
        <v>58</v>
      </c>
      <c r="F56" s="149">
        <f t="shared" si="11"/>
        <v>3</v>
      </c>
      <c r="G56" s="149">
        <f t="shared" si="11"/>
        <v>3</v>
      </c>
      <c r="H56" s="846">
        <f t="shared" ref="H56" si="12">B56+D56-F56</f>
        <v>225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3">SUM(M37:M69)</f>
        <v>0</v>
      </c>
      <c r="N70" s="120">
        <f t="shared" si="13"/>
        <v>85</v>
      </c>
      <c r="O70" s="61">
        <f t="shared" si="13"/>
        <v>3</v>
      </c>
      <c r="P70" s="61">
        <f t="shared" si="13"/>
        <v>82</v>
      </c>
      <c r="Q70" s="10">
        <f t="shared" ref="Q70" si="14">P70*(1-S70)*1.057</f>
        <v>86.673999999999992</v>
      </c>
      <c r="R70" s="61">
        <f t="shared" si="13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H54:I54"/>
    <mergeCell ref="H55:I55"/>
    <mergeCell ref="H56:I56"/>
    <mergeCell ref="C49:D49"/>
    <mergeCell ref="G49:H49"/>
    <mergeCell ref="A52:A53"/>
    <mergeCell ref="B52:C52"/>
    <mergeCell ref="D52:E52"/>
    <mergeCell ref="F52:G52"/>
    <mergeCell ref="H52:I53"/>
    <mergeCell ref="C46:D46"/>
    <mergeCell ref="G46:H46"/>
    <mergeCell ref="C47:D47"/>
    <mergeCell ref="G47:H47"/>
    <mergeCell ref="C48:D48"/>
    <mergeCell ref="G48:H48"/>
    <mergeCell ref="C43:D43"/>
    <mergeCell ref="G43:H43"/>
    <mergeCell ref="C44:D44"/>
    <mergeCell ref="G44:H44"/>
    <mergeCell ref="C45:D45"/>
    <mergeCell ref="G45:H45"/>
    <mergeCell ref="A40:A41"/>
    <mergeCell ref="C40:D41"/>
    <mergeCell ref="E40:H40"/>
    <mergeCell ref="I40:I41"/>
    <mergeCell ref="G41:H4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B25:B26"/>
    <mergeCell ref="C25:D25"/>
    <mergeCell ref="E25:F26"/>
    <mergeCell ref="G25:G26"/>
    <mergeCell ref="H25:H26"/>
    <mergeCell ref="I25:I26"/>
    <mergeCell ref="C26:D26"/>
    <mergeCell ref="C17:D17"/>
    <mergeCell ref="E17:F17"/>
    <mergeCell ref="G17:I17"/>
    <mergeCell ref="C18:D18"/>
    <mergeCell ref="G18:I18"/>
    <mergeCell ref="A23:A24"/>
    <mergeCell ref="B23:B24"/>
    <mergeCell ref="C23:D24"/>
    <mergeCell ref="E23:F24"/>
    <mergeCell ref="G23:I23"/>
    <mergeCell ref="C15:D15"/>
    <mergeCell ref="E15:F15"/>
    <mergeCell ref="G15:I15"/>
    <mergeCell ref="C16:D16"/>
    <mergeCell ref="E16:F16"/>
    <mergeCell ref="G16:I16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Q5:R5"/>
    <mergeCell ref="H6:I6"/>
    <mergeCell ref="C7:D7"/>
    <mergeCell ref="E7:F7"/>
    <mergeCell ref="H7:I7"/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0664-CEC6-40A9-850D-803CDE0F60F9}">
  <dimension ref="A1:U89"/>
  <sheetViews>
    <sheetView topLeftCell="A13" workbookViewId="0">
      <selection activeCell="D38" sqref="D38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45"/>
      <c r="B2" s="645"/>
      <c r="C2" s="645"/>
      <c r="D2" s="645"/>
      <c r="E2" s="645"/>
      <c r="F2" s="645"/>
      <c r="G2" s="645"/>
      <c r="H2" s="645"/>
      <c r="I2" s="645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56" t="s">
        <v>691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44"/>
      <c r="P5" s="644"/>
      <c r="Q5" s="748"/>
      <c r="R5" s="748"/>
      <c r="S5" s="644"/>
      <c r="T5" s="644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44"/>
      <c r="P6" s="82"/>
      <c r="Q6" s="644"/>
      <c r="R6" s="82"/>
      <c r="S6" s="82"/>
      <c r="T6" s="293"/>
      <c r="U6" s="107"/>
    </row>
    <row r="7" spans="1:21" ht="18.8" thickTop="1">
      <c r="A7" s="19" t="s">
        <v>14</v>
      </c>
      <c r="B7" s="20">
        <v>0</v>
      </c>
      <c r="C7" s="751">
        <v>0</v>
      </c>
      <c r="D7" s="752"/>
      <c r="E7" s="753" t="e">
        <f>(C7/B7)+0.04</f>
        <v>#DIV/0!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44"/>
      <c r="P7" s="22"/>
      <c r="Q7" s="17"/>
      <c r="R7" s="17"/>
      <c r="S7" s="17"/>
      <c r="U7" s="369"/>
    </row>
    <row r="8" spans="1:21">
      <c r="A8" s="23" t="s">
        <v>15</v>
      </c>
      <c r="B8" s="74">
        <f>0</f>
        <v>0</v>
      </c>
      <c r="C8" s="769">
        <f>0</f>
        <v>0</v>
      </c>
      <c r="D8" s="770"/>
      <c r="E8" s="771" t="e">
        <f>C8/B8</f>
        <v>#DIV/0!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44"/>
      <c r="P8" s="22"/>
      <c r="Q8" s="14"/>
      <c r="T8" s="107"/>
      <c r="U8" s="107"/>
    </row>
    <row r="9" spans="1:21">
      <c r="A9" s="23" t="s">
        <v>16</v>
      </c>
      <c r="B9" s="24">
        <v>4146.7</v>
      </c>
      <c r="C9" s="774">
        <v>341251</v>
      </c>
      <c r="D9" s="775"/>
      <c r="E9" s="771">
        <f>C9/B9</f>
        <v>82.294595702606898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44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654" t="s">
        <v>646</v>
      </c>
      <c r="G11" s="54">
        <v>0</v>
      </c>
      <c r="H11" s="54">
        <v>0</v>
      </c>
      <c r="I11" s="490" t="e">
        <f>H11/G11*100</f>
        <v>#DIV/0!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47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0</v>
      </c>
      <c r="C15" s="771" t="e">
        <f>(B15/C7)</f>
        <v>#DIV/0!</v>
      </c>
      <c r="D15" s="772"/>
      <c r="E15" s="779">
        <v>0</v>
      </c>
      <c r="F15" s="779"/>
      <c r="G15" s="780" t="e">
        <f>E15/C7</f>
        <v>#DIV/0!</v>
      </c>
      <c r="H15" s="780"/>
      <c r="I15" s="780"/>
      <c r="J15" s="594"/>
      <c r="K15" s="528"/>
      <c r="L15" s="365"/>
      <c r="M15" s="652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0</f>
        <v>0</v>
      </c>
      <c r="C16" s="771" t="e">
        <f>B16/C8</f>
        <v>#DIV/0!</v>
      </c>
      <c r="D16" s="772"/>
      <c r="E16" s="781">
        <f>0</f>
        <v>0</v>
      </c>
      <c r="F16" s="781"/>
      <c r="G16" s="782" t="e">
        <f>E16/C8</f>
        <v>#DIV/0!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v>12102413</v>
      </c>
      <c r="C17" s="797">
        <f>B17/C9</f>
        <v>35.464842593867857</v>
      </c>
      <c r="D17" s="798"/>
      <c r="E17" s="799">
        <v>1809835</v>
      </c>
      <c r="F17" s="799"/>
      <c r="G17" s="800">
        <f>E17/C9</f>
        <v>5.3035302460652129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 t="e">
        <f>-(36.5-C15)*76.9*C7/10000</f>
        <v>#DIV/0!</v>
      </c>
      <c r="D18" s="934"/>
      <c r="E18" s="540"/>
      <c r="F18" s="540"/>
      <c r="G18" s="934" t="e">
        <f>-(5.3-G15)*593*C7/10000</f>
        <v>#DIV/0!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 t="s">
        <v>682</v>
      </c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3550</v>
      </c>
      <c r="C25" s="785"/>
      <c r="D25" s="786"/>
      <c r="E25" s="787">
        <v>1274</v>
      </c>
      <c r="F25" s="788"/>
      <c r="G25" s="791">
        <v>2276</v>
      </c>
      <c r="H25" s="793">
        <f>B25+C25+C26-E25</f>
        <v>2276</v>
      </c>
      <c r="I25" s="793">
        <f>G25-H25</f>
        <v>0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4845</v>
      </c>
      <c r="C27" s="813"/>
      <c r="D27" s="814"/>
      <c r="E27" s="815">
        <v>233</v>
      </c>
      <c r="F27" s="816"/>
      <c r="G27" s="801">
        <v>4613</v>
      </c>
      <c r="H27" s="803">
        <f>B27+C27+C28-E27-E29</f>
        <v>4612</v>
      </c>
      <c r="I27" s="803">
        <f>G27-H27</f>
        <v>1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10863</v>
      </c>
      <c r="C30" s="829"/>
      <c r="D30" s="830"/>
      <c r="E30" s="815"/>
      <c r="F30" s="816"/>
      <c r="G30" s="801">
        <v>10638</v>
      </c>
      <c r="H30" s="803">
        <f>B30+C30+C31-E30-E32</f>
        <v>10606</v>
      </c>
      <c r="I30" s="803">
        <f>G30-H30</f>
        <v>32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>
        <v>257</v>
      </c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19258</v>
      </c>
      <c r="C33" s="821">
        <f>SUM(C25:D32)</f>
        <v>0</v>
      </c>
      <c r="D33" s="822"/>
      <c r="E33" s="821">
        <f>SUM(E25:F32)</f>
        <v>1764</v>
      </c>
      <c r="F33" s="822"/>
      <c r="G33" s="648">
        <f>G25+G27+G30</f>
        <v>17527</v>
      </c>
      <c r="H33" s="648">
        <f>H25+H27+H30</f>
        <v>17494</v>
      </c>
      <c r="I33" s="648">
        <f>I25+I27+I30</f>
        <v>33</v>
      </c>
      <c r="J33" s="327">
        <f>E33-E29-E32</f>
        <v>1507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499</v>
      </c>
      <c r="C34" s="823">
        <f>E29+E35+E32</f>
        <v>674</v>
      </c>
      <c r="D34" s="824"/>
      <c r="E34" s="823">
        <f>148+286</f>
        <v>434</v>
      </c>
      <c r="F34" s="824"/>
      <c r="G34" s="183">
        <f>370+367</f>
        <v>737</v>
      </c>
      <c r="H34" s="183">
        <f>B34+C34-E34</f>
        <v>739</v>
      </c>
      <c r="I34" s="183">
        <f>G34-H34</f>
        <v>-2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3079</v>
      </c>
      <c r="C35" s="825">
        <v>1041</v>
      </c>
      <c r="D35" s="826"/>
      <c r="E35" s="827">
        <v>417</v>
      </c>
      <c r="F35" s="828"/>
      <c r="G35" s="181">
        <v>3703</v>
      </c>
      <c r="H35" s="182">
        <f>B35+C35-E35</f>
        <v>3703</v>
      </c>
      <c r="I35" s="182">
        <f>G35-H35</f>
        <v>0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210+674</f>
        <v>884</v>
      </c>
      <c r="E36" s="79" t="s">
        <v>47</v>
      </c>
      <c r="F36" s="80" t="s">
        <v>46</v>
      </c>
      <c r="G36" s="55">
        <f>84040+D36</f>
        <v>84924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126+417</f>
        <v>543</v>
      </c>
      <c r="E37" s="79" t="s">
        <v>47</v>
      </c>
      <c r="F37" s="80" t="s">
        <v>46</v>
      </c>
      <c r="G37" s="55">
        <f>46327+D37</f>
        <v>46870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/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/>
      <c r="O39" s="76"/>
      <c r="P39" s="76">
        <f t="shared" si="1"/>
        <v>0</v>
      </c>
      <c r="Q39" s="10">
        <f t="shared" si="3"/>
        <v>0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/>
      <c r="O40" s="76"/>
      <c r="P40" s="76">
        <f t="shared" si="1"/>
        <v>0</v>
      </c>
      <c r="Q40" s="10">
        <f t="shared" si="3"/>
        <v>0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50" t="s">
        <v>34</v>
      </c>
      <c r="F41" s="650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/>
      <c r="O41" s="76"/>
      <c r="P41" s="76">
        <f t="shared" si="1"/>
        <v>0</v>
      </c>
      <c r="Q41" s="10">
        <f t="shared" si="3"/>
        <v>0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/>
      <c r="O42" s="76"/>
      <c r="P42" s="76">
        <f t="shared" si="1"/>
        <v>0</v>
      </c>
      <c r="Q42" s="10">
        <f t="shared" si="3"/>
        <v>0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53">
        <v>6730</v>
      </c>
      <c r="C43" s="883"/>
      <c r="D43" s="884"/>
      <c r="E43" s="653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/>
      <c r="O43" s="76"/>
      <c r="P43" s="76">
        <f t="shared" si="1"/>
        <v>0</v>
      </c>
      <c r="Q43" s="10">
        <f t="shared" si="3"/>
        <v>0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53">
        <v>6347</v>
      </c>
      <c r="C44" s="883">
        <f>1569+2114+464+1600+300</f>
        <v>6047</v>
      </c>
      <c r="D44" s="884"/>
      <c r="E44" s="653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/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53">
        <v>6714</v>
      </c>
      <c r="C45" s="883"/>
      <c r="D45" s="884"/>
      <c r="E45" s="653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/>
      <c r="O45" s="76"/>
      <c r="P45" s="76">
        <f t="shared" si="1"/>
        <v>0</v>
      </c>
      <c r="Q45" s="10">
        <f t="shared" si="3"/>
        <v>0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53">
        <v>27400</v>
      </c>
      <c r="C46" s="883">
        <f>2006+2081+1392+1491+1299+1407+1300-200-1081+1241+1196+1217+1997+1358+2052+2021-100+450</f>
        <v>21127</v>
      </c>
      <c r="D46" s="884"/>
      <c r="E46" s="653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/>
      <c r="O46" s="76"/>
      <c r="P46" s="76">
        <f t="shared" si="1"/>
        <v>0</v>
      </c>
      <c r="Q46" s="10">
        <f t="shared" si="3"/>
        <v>0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53">
        <v>6800</v>
      </c>
      <c r="C47" s="883"/>
      <c r="D47" s="884"/>
      <c r="E47" s="653">
        <v>6800</v>
      </c>
      <c r="F47" s="447">
        <f t="shared" si="4"/>
        <v>0</v>
      </c>
      <c r="G47" s="883">
        <f t="shared" ref="G47:G48" si="10">SUM(E47:F47)</f>
        <v>6800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/>
      <c r="O47" s="76"/>
      <c r="P47" s="76">
        <f t="shared" si="1"/>
        <v>0</v>
      </c>
      <c r="Q47" s="10">
        <f t="shared" si="3"/>
        <v>0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53">
        <v>27531</v>
      </c>
      <c r="C48" s="883">
        <f>1359+2140+1356</f>
        <v>4855</v>
      </c>
      <c r="D48" s="884"/>
      <c r="E48" s="653">
        <f>27531-13280</f>
        <v>14251</v>
      </c>
      <c r="F48" s="447">
        <f t="shared" si="4"/>
        <v>8425</v>
      </c>
      <c r="G48" s="883">
        <f t="shared" si="10"/>
        <v>22676</v>
      </c>
      <c r="H48" s="884"/>
      <c r="I48" s="450" t="s">
        <v>416</v>
      </c>
      <c r="J48" s="57"/>
      <c r="K48" s="57"/>
      <c r="L48" s="100" t="s">
        <v>656</v>
      </c>
      <c r="M48" s="11"/>
      <c r="N48" s="67"/>
      <c r="O48" s="76"/>
      <c r="P48" s="76">
        <f t="shared" si="1"/>
        <v>0</v>
      </c>
      <c r="Q48" s="10">
        <f t="shared" si="3"/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51">
        <f>SUM(B42:B48)</f>
        <v>88602</v>
      </c>
      <c r="C49" s="845">
        <f>SUM(C42:D48)</f>
        <v>32029</v>
      </c>
      <c r="D49" s="845"/>
      <c r="E49" s="651">
        <f>SUM(E42:E48)</f>
        <v>47305</v>
      </c>
      <c r="F49" s="651">
        <f>SUM(F42:F48)</f>
        <v>9268</v>
      </c>
      <c r="G49" s="845">
        <f>SUM(G42:H48)</f>
        <v>56573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3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3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3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3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49" t="s">
        <v>3</v>
      </c>
      <c r="C53" s="152" t="s">
        <v>82</v>
      </c>
      <c r="D53" s="649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3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97</v>
      </c>
      <c r="C54" s="154">
        <v>70</v>
      </c>
      <c r="D54" s="184">
        <v>29</v>
      </c>
      <c r="E54" s="153">
        <v>29</v>
      </c>
      <c r="F54" s="153"/>
      <c r="G54" s="185">
        <v>2</v>
      </c>
      <c r="H54" s="846">
        <f>B54+D54-F54</f>
        <v>126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3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128</v>
      </c>
      <c r="C55" s="646">
        <v>100</v>
      </c>
      <c r="D55" s="184">
        <v>29</v>
      </c>
      <c r="E55" s="153">
        <v>29</v>
      </c>
      <c r="F55" s="153"/>
      <c r="G55" s="185">
        <v>1</v>
      </c>
      <c r="H55" s="846">
        <f>B55+D55-F55</f>
        <v>157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225</v>
      </c>
      <c r="C56" s="149">
        <f>SUM(C54:C55)</f>
        <v>170</v>
      </c>
      <c r="D56" s="149">
        <f t="shared" ref="D56:G56" si="11">SUM(D54:D55)</f>
        <v>58</v>
      </c>
      <c r="E56" s="149">
        <f t="shared" si="11"/>
        <v>58</v>
      </c>
      <c r="F56" s="149">
        <f t="shared" si="11"/>
        <v>0</v>
      </c>
      <c r="G56" s="149">
        <f t="shared" si="11"/>
        <v>3</v>
      </c>
      <c r="H56" s="846">
        <f t="shared" ref="H56" si="12">B56+D56-F56</f>
        <v>283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3">SUM(M37:M69)</f>
        <v>0</v>
      </c>
      <c r="N70" s="120">
        <f t="shared" si="13"/>
        <v>85</v>
      </c>
      <c r="O70" s="61">
        <f t="shared" si="13"/>
        <v>3</v>
      </c>
      <c r="P70" s="61">
        <f t="shared" si="13"/>
        <v>82</v>
      </c>
      <c r="Q70" s="10">
        <f t="shared" ref="Q70" si="14">P70*(1-S70)*1.057</f>
        <v>86.673999999999992</v>
      </c>
      <c r="R70" s="61">
        <f t="shared" si="13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  <mergeCell ref="Q5:R5"/>
    <mergeCell ref="H6:I6"/>
    <mergeCell ref="C7:D7"/>
    <mergeCell ref="E7:F7"/>
    <mergeCell ref="H7:I7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  <mergeCell ref="A23:A24"/>
    <mergeCell ref="B23:B24"/>
    <mergeCell ref="C23:D24"/>
    <mergeCell ref="E23:F24"/>
    <mergeCell ref="G23:I23"/>
    <mergeCell ref="I25:I26"/>
    <mergeCell ref="C26:D26"/>
    <mergeCell ref="C17:D17"/>
    <mergeCell ref="E17:F17"/>
    <mergeCell ref="G17:I17"/>
    <mergeCell ref="C18:D18"/>
    <mergeCell ref="G18:I18"/>
    <mergeCell ref="B25:B26"/>
    <mergeCell ref="C25:D25"/>
    <mergeCell ref="E25:F26"/>
    <mergeCell ref="G25:G26"/>
    <mergeCell ref="H25:H26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A40:A41"/>
    <mergeCell ref="C40:D41"/>
    <mergeCell ref="E40:H40"/>
    <mergeCell ref="I40:I41"/>
    <mergeCell ref="G41:H41"/>
    <mergeCell ref="C43:D43"/>
    <mergeCell ref="G43:H43"/>
    <mergeCell ref="C44:D44"/>
    <mergeCell ref="G44:H44"/>
    <mergeCell ref="C45:D45"/>
    <mergeCell ref="G45:H45"/>
    <mergeCell ref="C46:D46"/>
    <mergeCell ref="G46:H46"/>
    <mergeCell ref="C47:D47"/>
    <mergeCell ref="G47:H47"/>
    <mergeCell ref="C48:D48"/>
    <mergeCell ref="G48:H48"/>
    <mergeCell ref="A52:A53"/>
    <mergeCell ref="B52:C52"/>
    <mergeCell ref="D52:E52"/>
    <mergeCell ref="F52:G52"/>
    <mergeCell ref="H52:I53"/>
    <mergeCell ref="H54:I54"/>
    <mergeCell ref="H55:I55"/>
    <mergeCell ref="H56:I56"/>
    <mergeCell ref="C49:D49"/>
    <mergeCell ref="G49:H49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8934-B935-4448-815C-3EE10C90CF11}">
  <dimension ref="A1:U89"/>
  <sheetViews>
    <sheetView workbookViewId="0">
      <selection activeCell="K20" sqref="K20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45"/>
      <c r="B2" s="645"/>
      <c r="C2" s="645"/>
      <c r="D2" s="645"/>
      <c r="E2" s="645"/>
      <c r="F2" s="645"/>
      <c r="G2" s="645"/>
      <c r="H2" s="645"/>
      <c r="I2" s="645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56" t="s">
        <v>692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44"/>
      <c r="P5" s="644"/>
      <c r="Q5" s="748"/>
      <c r="R5" s="748"/>
      <c r="S5" s="644"/>
      <c r="T5" s="644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44"/>
      <c r="P6" s="82"/>
      <c r="Q6" s="644"/>
      <c r="R6" s="82"/>
      <c r="S6" s="82"/>
      <c r="T6" s="293"/>
      <c r="U6" s="107"/>
    </row>
    <row r="7" spans="1:21" ht="18.8" thickTop="1">
      <c r="A7" s="19" t="s">
        <v>14</v>
      </c>
      <c r="B7" s="20">
        <v>23.5</v>
      </c>
      <c r="C7" s="751">
        <f>1896+86</f>
        <v>1982</v>
      </c>
      <c r="D7" s="752"/>
      <c r="E7" s="753">
        <f>(C7/B7)+0.04</f>
        <v>84.380425531914895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44"/>
      <c r="P7" s="22"/>
      <c r="Q7" s="17"/>
      <c r="R7" s="17"/>
      <c r="S7" s="17"/>
      <c r="U7" s="369"/>
    </row>
    <row r="8" spans="1:21">
      <c r="A8" s="23" t="s">
        <v>15</v>
      </c>
      <c r="B8" s="74">
        <f>23.5</f>
        <v>23.5</v>
      </c>
      <c r="C8" s="769">
        <f>1982</f>
        <v>1982</v>
      </c>
      <c r="D8" s="770"/>
      <c r="E8" s="771">
        <f>C8/B8</f>
        <v>84.340425531914889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44"/>
      <c r="P8" s="22"/>
      <c r="Q8" s="14"/>
      <c r="T8" s="107"/>
      <c r="U8" s="107"/>
    </row>
    <row r="9" spans="1:21">
      <c r="A9" s="23" t="s">
        <v>16</v>
      </c>
      <c r="B9" s="24">
        <f>4146.7+B8</f>
        <v>4170.2</v>
      </c>
      <c r="C9" s="774">
        <f>341251+C8</f>
        <v>343233</v>
      </c>
      <c r="D9" s="775"/>
      <c r="E9" s="771">
        <f>C9/B9</f>
        <v>82.306124406503287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44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654" t="s">
        <v>693</v>
      </c>
      <c r="G11" s="54">
        <v>2000</v>
      </c>
      <c r="H11" s="54">
        <f>C8</f>
        <v>1982</v>
      </c>
      <c r="I11" s="490">
        <f>H11/G11*100</f>
        <v>99.1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47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71160</v>
      </c>
      <c r="C15" s="771">
        <f>(B15/C7)</f>
        <v>35.903128153380422</v>
      </c>
      <c r="D15" s="772"/>
      <c r="E15" s="779">
        <v>10152</v>
      </c>
      <c r="F15" s="779"/>
      <c r="G15" s="780">
        <f>E15/C7</f>
        <v>5.1220988900100908</v>
      </c>
      <c r="H15" s="780"/>
      <c r="I15" s="780"/>
      <c r="J15" s="594"/>
      <c r="K15" s="528"/>
      <c r="L15" s="365"/>
      <c r="M15" s="652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</f>
        <v>71160</v>
      </c>
      <c r="C16" s="771">
        <f>B16/C8</f>
        <v>35.903128153380422</v>
      </c>
      <c r="D16" s="772"/>
      <c r="E16" s="781">
        <f>10152</f>
        <v>10152</v>
      </c>
      <c r="F16" s="781"/>
      <c r="G16" s="782">
        <f>E16/C8</f>
        <v>5.1220988900100908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12173573</v>
      </c>
      <c r="C17" s="797">
        <f>B17/C9</f>
        <v>35.467373475161189</v>
      </c>
      <c r="D17" s="798"/>
      <c r="E17" s="799">
        <f>1809835+E16</f>
        <v>1819987</v>
      </c>
      <c r="F17" s="799"/>
      <c r="G17" s="800">
        <f>E17/C9</f>
        <v>5.3024825701491407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-9.0972700000000302</v>
      </c>
      <c r="D18" s="934"/>
      <c r="E18" s="540"/>
      <c r="F18" s="540"/>
      <c r="G18" s="934">
        <f>-(5.3-G15)*593*C7/10000</f>
        <v>-20.909179999999981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/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2276</v>
      </c>
      <c r="C25" s="785">
        <v>1982</v>
      </c>
      <c r="D25" s="786"/>
      <c r="E25" s="787">
        <v>118</v>
      </c>
      <c r="F25" s="788"/>
      <c r="G25" s="791">
        <v>4091</v>
      </c>
      <c r="H25" s="793">
        <f>B25+C25+C26-E25</f>
        <v>4140</v>
      </c>
      <c r="I25" s="793">
        <f>G25-H25</f>
        <v>-49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4613</v>
      </c>
      <c r="C27" s="813"/>
      <c r="D27" s="814"/>
      <c r="E27" s="815"/>
      <c r="F27" s="816"/>
      <c r="G27" s="801">
        <v>4671</v>
      </c>
      <c r="H27" s="803">
        <f>B27+C27+C28-E27-E29</f>
        <v>4613</v>
      </c>
      <c r="I27" s="803">
        <f>G27-H27</f>
        <v>58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10638</v>
      </c>
      <c r="C30" s="829"/>
      <c r="D30" s="830"/>
      <c r="E30" s="815"/>
      <c r="F30" s="816"/>
      <c r="G30" s="801">
        <v>10638</v>
      </c>
      <c r="H30" s="803">
        <f>B30+C30+C31-E30-E32</f>
        <v>10638</v>
      </c>
      <c r="I30" s="803">
        <f>G30-H30</f>
        <v>0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/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17527</v>
      </c>
      <c r="C33" s="821">
        <f>SUM(C25:D32)</f>
        <v>1982</v>
      </c>
      <c r="D33" s="822"/>
      <c r="E33" s="821">
        <f>SUM(E25:F32)</f>
        <v>118</v>
      </c>
      <c r="F33" s="822"/>
      <c r="G33" s="648">
        <f>G25+G27+G30</f>
        <v>19400</v>
      </c>
      <c r="H33" s="648">
        <f>H25+H27+H30</f>
        <v>19391</v>
      </c>
      <c r="I33" s="648">
        <f>I25+I27+I30</f>
        <v>9</v>
      </c>
      <c r="J33" s="327">
        <f>E33-E29-E32</f>
        <v>118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737</v>
      </c>
      <c r="C34" s="823">
        <f>E29+E35+E32</f>
        <v>0</v>
      </c>
      <c r="D34" s="824"/>
      <c r="E34" s="823"/>
      <c r="F34" s="824"/>
      <c r="G34" s="183">
        <f>370+367</f>
        <v>737</v>
      </c>
      <c r="H34" s="183">
        <f>B34+C34-E34</f>
        <v>737</v>
      </c>
      <c r="I34" s="183">
        <f>G34-H34</f>
        <v>0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3079</v>
      </c>
      <c r="C35" s="825"/>
      <c r="D35" s="826"/>
      <c r="E35" s="827"/>
      <c r="F35" s="828"/>
      <c r="G35" s="181">
        <v>3703</v>
      </c>
      <c r="H35" s="182">
        <f>B35+C35-E35</f>
        <v>3079</v>
      </c>
      <c r="I35" s="182">
        <f>G35-H35</f>
        <v>624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884</f>
        <v>884</v>
      </c>
      <c r="E36" s="79" t="s">
        <v>47</v>
      </c>
      <c r="F36" s="80" t="s">
        <v>46</v>
      </c>
      <c r="G36" s="55">
        <f>84040+D36</f>
        <v>84924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543</f>
        <v>543</v>
      </c>
      <c r="E37" s="79" t="s">
        <v>47</v>
      </c>
      <c r="F37" s="80" t="s">
        <v>46</v>
      </c>
      <c r="G37" s="55">
        <f>46327+D37</f>
        <v>46870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/>
      <c r="O40" s="76"/>
      <c r="P40" s="76">
        <f t="shared" si="1"/>
        <v>0</v>
      </c>
      <c r="Q40" s="10">
        <f t="shared" si="3"/>
        <v>0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50" t="s">
        <v>34</v>
      </c>
      <c r="F41" s="650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/>
      <c r="O41" s="76"/>
      <c r="P41" s="76">
        <f t="shared" si="1"/>
        <v>0</v>
      </c>
      <c r="Q41" s="10">
        <f t="shared" si="3"/>
        <v>0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/>
      <c r="O42" s="76"/>
      <c r="P42" s="76">
        <f t="shared" si="1"/>
        <v>0</v>
      </c>
      <c r="Q42" s="10">
        <f t="shared" si="3"/>
        <v>0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53">
        <v>6730</v>
      </c>
      <c r="C43" s="883"/>
      <c r="D43" s="884"/>
      <c r="E43" s="653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/>
      <c r="O43" s="76"/>
      <c r="P43" s="76">
        <f t="shared" si="1"/>
        <v>0</v>
      </c>
      <c r="Q43" s="10">
        <f t="shared" si="3"/>
        <v>0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53">
        <v>6347</v>
      </c>
      <c r="C44" s="883">
        <f>1569+2114+464+1600+300</f>
        <v>6047</v>
      </c>
      <c r="D44" s="884"/>
      <c r="E44" s="653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/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53">
        <v>6714</v>
      </c>
      <c r="C45" s="883"/>
      <c r="D45" s="884"/>
      <c r="E45" s="653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/>
      <c r="O45" s="76"/>
      <c r="P45" s="76">
        <f t="shared" si="1"/>
        <v>0</v>
      </c>
      <c r="Q45" s="10">
        <f t="shared" si="3"/>
        <v>0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53">
        <v>27400</v>
      </c>
      <c r="C46" s="883">
        <f>2006+2081+1392+1491+1299+1407+1300-200-1081+1241+1196+1217+1997+1358+2052+2021-100+450</f>
        <v>21127</v>
      </c>
      <c r="D46" s="884"/>
      <c r="E46" s="653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/>
      <c r="O46" s="76"/>
      <c r="P46" s="76">
        <f t="shared" si="1"/>
        <v>0</v>
      </c>
      <c r="Q46" s="10">
        <f t="shared" si="3"/>
        <v>0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53">
        <v>6800</v>
      </c>
      <c r="C47" s="883"/>
      <c r="D47" s="884"/>
      <c r="E47" s="653">
        <v>6800</v>
      </c>
      <c r="F47" s="447">
        <f t="shared" si="4"/>
        <v>0</v>
      </c>
      <c r="G47" s="883">
        <f t="shared" ref="G47:G48" si="10">SUM(E47:F47)</f>
        <v>6800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/>
      <c r="O47" s="76"/>
      <c r="P47" s="76">
        <f t="shared" si="1"/>
        <v>0</v>
      </c>
      <c r="Q47" s="10">
        <f t="shared" si="3"/>
        <v>0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53">
        <v>27531</v>
      </c>
      <c r="C48" s="883">
        <f>1359+2140+1356+1964</f>
        <v>6819</v>
      </c>
      <c r="D48" s="884"/>
      <c r="E48" s="653">
        <f>27531-13280</f>
        <v>14251</v>
      </c>
      <c r="F48" s="447">
        <f t="shared" si="4"/>
        <v>6461</v>
      </c>
      <c r="G48" s="883">
        <f t="shared" si="10"/>
        <v>20712</v>
      </c>
      <c r="H48" s="884"/>
      <c r="I48" s="450" t="s">
        <v>416</v>
      </c>
      <c r="J48" s="57"/>
      <c r="K48" s="57"/>
      <c r="L48" s="100" t="s">
        <v>656</v>
      </c>
      <c r="M48" s="11"/>
      <c r="N48" s="67"/>
      <c r="O48" s="76"/>
      <c r="P48" s="76">
        <f t="shared" si="1"/>
        <v>0</v>
      </c>
      <c r="Q48" s="10">
        <f t="shared" si="3"/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51">
        <f>SUM(B42:B48)</f>
        <v>88602</v>
      </c>
      <c r="C49" s="845">
        <f>SUM(C42:D48)</f>
        <v>33993</v>
      </c>
      <c r="D49" s="845"/>
      <c r="E49" s="651">
        <f>SUM(E42:E48)</f>
        <v>47305</v>
      </c>
      <c r="F49" s="651">
        <f>SUM(F42:F48)</f>
        <v>7304</v>
      </c>
      <c r="G49" s="845">
        <f>SUM(G42:H48)</f>
        <v>54609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3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3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3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3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49" t="s">
        <v>3</v>
      </c>
      <c r="C53" s="152" t="s">
        <v>82</v>
      </c>
      <c r="D53" s="649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3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126</v>
      </c>
      <c r="C54" s="154">
        <v>70</v>
      </c>
      <c r="D54" s="184">
        <v>29</v>
      </c>
      <c r="E54" s="153">
        <v>58</v>
      </c>
      <c r="F54" s="153">
        <v>46</v>
      </c>
      <c r="G54" s="185">
        <v>48</v>
      </c>
      <c r="H54" s="846">
        <f>B54+D54-F54</f>
        <v>109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3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172</v>
      </c>
      <c r="C55" s="646">
        <v>100</v>
      </c>
      <c r="D55" s="184">
        <v>0</v>
      </c>
      <c r="E55" s="153">
        <v>29</v>
      </c>
      <c r="F55" s="153">
        <v>22</v>
      </c>
      <c r="G55" s="185">
        <v>23</v>
      </c>
      <c r="H55" s="846">
        <f>B55+D55-F55</f>
        <v>150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298</v>
      </c>
      <c r="C56" s="149">
        <f>SUM(C54:C55)</f>
        <v>170</v>
      </c>
      <c r="D56" s="149">
        <f t="shared" ref="D56:G56" si="11">SUM(D54:D55)</f>
        <v>29</v>
      </c>
      <c r="E56" s="149">
        <f t="shared" si="11"/>
        <v>87</v>
      </c>
      <c r="F56" s="149">
        <f t="shared" si="11"/>
        <v>68</v>
      </c>
      <c r="G56" s="149">
        <f t="shared" si="11"/>
        <v>71</v>
      </c>
      <c r="H56" s="846">
        <f t="shared" ref="H56" si="12">B56+D56-F56</f>
        <v>259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3">SUM(M37:M69)</f>
        <v>0</v>
      </c>
      <c r="N70" s="120">
        <f t="shared" si="13"/>
        <v>1981</v>
      </c>
      <c r="O70" s="61">
        <f t="shared" si="13"/>
        <v>70</v>
      </c>
      <c r="P70" s="61">
        <f t="shared" si="13"/>
        <v>1911</v>
      </c>
      <c r="Q70" s="10">
        <f t="shared" ref="Q70" si="14">P70*(1-S70)*1.057</f>
        <v>2019.9269999999999</v>
      </c>
      <c r="R70" s="61">
        <f t="shared" si="13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  <mergeCell ref="Q5:R5"/>
    <mergeCell ref="H6:I6"/>
    <mergeCell ref="C7:D7"/>
    <mergeCell ref="E7:F7"/>
    <mergeCell ref="H7:I7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  <mergeCell ref="A23:A24"/>
    <mergeCell ref="B23:B24"/>
    <mergeCell ref="C23:D24"/>
    <mergeCell ref="E23:F24"/>
    <mergeCell ref="G23:I23"/>
    <mergeCell ref="I25:I26"/>
    <mergeCell ref="C26:D26"/>
    <mergeCell ref="C17:D17"/>
    <mergeCell ref="E17:F17"/>
    <mergeCell ref="G17:I17"/>
    <mergeCell ref="C18:D18"/>
    <mergeCell ref="G18:I18"/>
    <mergeCell ref="B25:B26"/>
    <mergeCell ref="C25:D25"/>
    <mergeCell ref="E25:F26"/>
    <mergeCell ref="G25:G26"/>
    <mergeCell ref="H25:H26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A40:A41"/>
    <mergeCell ref="C40:D41"/>
    <mergeCell ref="E40:H40"/>
    <mergeCell ref="I40:I41"/>
    <mergeCell ref="G41:H41"/>
    <mergeCell ref="C43:D43"/>
    <mergeCell ref="G43:H43"/>
    <mergeCell ref="C44:D44"/>
    <mergeCell ref="G44:H44"/>
    <mergeCell ref="C45:D45"/>
    <mergeCell ref="G45:H45"/>
    <mergeCell ref="C46:D46"/>
    <mergeCell ref="G46:H46"/>
    <mergeCell ref="C47:D47"/>
    <mergeCell ref="G47:H47"/>
    <mergeCell ref="C48:D48"/>
    <mergeCell ref="G48:H48"/>
    <mergeCell ref="A52:A53"/>
    <mergeCell ref="B52:C52"/>
    <mergeCell ref="D52:E52"/>
    <mergeCell ref="F52:G52"/>
    <mergeCell ref="H52:I53"/>
    <mergeCell ref="H54:I54"/>
    <mergeCell ref="H55:I55"/>
    <mergeCell ref="H56:I56"/>
    <mergeCell ref="C49:D49"/>
    <mergeCell ref="G49:H49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8B4D-4172-4880-9544-364DB0957B33}">
  <dimension ref="A1:U89"/>
  <sheetViews>
    <sheetView workbookViewId="0">
      <selection activeCell="K38" sqref="K38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56"/>
      <c r="B2" s="656"/>
      <c r="C2" s="656"/>
      <c r="D2" s="656"/>
      <c r="E2" s="656"/>
      <c r="F2" s="656"/>
      <c r="G2" s="656"/>
      <c r="H2" s="656"/>
      <c r="I2" s="656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57" t="s">
        <v>694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55"/>
      <c r="P5" s="655"/>
      <c r="Q5" s="748"/>
      <c r="R5" s="748"/>
      <c r="S5" s="655"/>
      <c r="T5" s="655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55"/>
      <c r="P6" s="82"/>
      <c r="Q6" s="655"/>
      <c r="R6" s="82"/>
      <c r="S6" s="82"/>
      <c r="T6" s="293"/>
      <c r="U6" s="107"/>
    </row>
    <row r="7" spans="1:21" ht="18.8" thickTop="1">
      <c r="A7" s="19" t="s">
        <v>14</v>
      </c>
      <c r="B7" s="20">
        <v>15.66</v>
      </c>
      <c r="C7" s="751">
        <v>1315</v>
      </c>
      <c r="D7" s="752"/>
      <c r="E7" s="753">
        <f>(C7/B7)+0.04</f>
        <v>84.011902937420189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55"/>
      <c r="P7" s="22"/>
      <c r="Q7" s="17"/>
      <c r="R7" s="17"/>
      <c r="S7" s="17"/>
      <c r="U7" s="369"/>
    </row>
    <row r="8" spans="1:21">
      <c r="A8" s="23" t="s">
        <v>15</v>
      </c>
      <c r="B8" s="74">
        <f>23.5+15.66</f>
        <v>39.159999999999997</v>
      </c>
      <c r="C8" s="769">
        <f>1982+1315</f>
        <v>3297</v>
      </c>
      <c r="D8" s="770"/>
      <c r="E8" s="771">
        <f>C8/B8</f>
        <v>84.193054136874366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55"/>
      <c r="P8" s="22"/>
      <c r="Q8" s="14"/>
      <c r="T8" s="107"/>
      <c r="U8" s="107"/>
    </row>
    <row r="9" spans="1:21">
      <c r="A9" s="23" t="s">
        <v>16</v>
      </c>
      <c r="B9" s="24">
        <f>4146.7+B8</f>
        <v>4185.8599999999997</v>
      </c>
      <c r="C9" s="774">
        <f>341251+C8</f>
        <v>344548</v>
      </c>
      <c r="D9" s="775"/>
      <c r="E9" s="771">
        <f>C9/B9</f>
        <v>82.312356361655674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55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666" t="s">
        <v>695</v>
      </c>
      <c r="G11" s="54">
        <v>3300</v>
      </c>
      <c r="H11" s="54">
        <f>C8</f>
        <v>3297</v>
      </c>
      <c r="I11" s="490">
        <f>H11/G11*100</f>
        <v>99.909090909090921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58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44700</v>
      </c>
      <c r="C15" s="771">
        <f>(B15/C7)</f>
        <v>33.99239543726236</v>
      </c>
      <c r="D15" s="772"/>
      <c r="E15" s="779">
        <v>7297</v>
      </c>
      <c r="F15" s="779"/>
      <c r="G15" s="780">
        <f>E15/C7</f>
        <v>5.5490494296577948</v>
      </c>
      <c r="H15" s="780"/>
      <c r="I15" s="780"/>
      <c r="J15" s="594"/>
      <c r="K15" s="528"/>
      <c r="L15" s="365"/>
      <c r="M15" s="663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</f>
        <v>115860</v>
      </c>
      <c r="C16" s="771">
        <f>B16/C8</f>
        <v>35.141037306642403</v>
      </c>
      <c r="D16" s="772"/>
      <c r="E16" s="781">
        <f>10152+7297</f>
        <v>17449</v>
      </c>
      <c r="F16" s="781"/>
      <c r="G16" s="782">
        <f>E16/C8</f>
        <v>5.2923870185016684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12218273</v>
      </c>
      <c r="C17" s="797">
        <f>B17/C9</f>
        <v>35.461744082101767</v>
      </c>
      <c r="D17" s="798"/>
      <c r="E17" s="799">
        <f>1809835+E16</f>
        <v>1827284</v>
      </c>
      <c r="F17" s="799"/>
      <c r="G17" s="800">
        <f>E17/C9</f>
        <v>5.3034236158677457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-25.357774999999975</v>
      </c>
      <c r="D18" s="934"/>
      <c r="E18" s="540"/>
      <c r="F18" s="540"/>
      <c r="G18" s="934">
        <f>-(5.3-G15)*593*C7/10000</f>
        <v>19.420750000000023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/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4091</v>
      </c>
      <c r="C25" s="785">
        <v>1315</v>
      </c>
      <c r="D25" s="786"/>
      <c r="E25" s="787">
        <v>1490</v>
      </c>
      <c r="F25" s="788"/>
      <c r="G25" s="791">
        <v>3898</v>
      </c>
      <c r="H25" s="793">
        <f>B25+C25+C26-E25</f>
        <v>3916</v>
      </c>
      <c r="I25" s="793">
        <f>G25-H25</f>
        <v>-18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4671</v>
      </c>
      <c r="C27" s="813"/>
      <c r="D27" s="814"/>
      <c r="E27" s="815">
        <v>438</v>
      </c>
      <c r="F27" s="816"/>
      <c r="G27" s="801">
        <v>4285</v>
      </c>
      <c r="H27" s="803">
        <f>B27+C27+C28-E27-E29</f>
        <v>4233</v>
      </c>
      <c r="I27" s="803">
        <f>G27-H27</f>
        <v>52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10638</v>
      </c>
      <c r="C30" s="829"/>
      <c r="D30" s="830"/>
      <c r="E30" s="815"/>
      <c r="F30" s="816"/>
      <c r="G30" s="801">
        <v>10412</v>
      </c>
      <c r="H30" s="803">
        <f>B30+C30+C31-E30-E32</f>
        <v>10310</v>
      </c>
      <c r="I30" s="803">
        <f>G30-H30</f>
        <v>102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>
        <v>328</v>
      </c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19400</v>
      </c>
      <c r="C33" s="821">
        <f>SUM(C25:D32)</f>
        <v>1315</v>
      </c>
      <c r="D33" s="822"/>
      <c r="E33" s="821">
        <f>SUM(E25:F32)</f>
        <v>2256</v>
      </c>
      <c r="F33" s="822"/>
      <c r="G33" s="659">
        <f>G25+G27+G30</f>
        <v>18595</v>
      </c>
      <c r="H33" s="659">
        <f>H25+H27+H30</f>
        <v>18459</v>
      </c>
      <c r="I33" s="659">
        <f>I25+I27+I30</f>
        <v>136</v>
      </c>
      <c r="J33" s="327">
        <f>E33-E29-E32</f>
        <v>1928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737</v>
      </c>
      <c r="C34" s="823">
        <f>E29+E35+E32</f>
        <v>817</v>
      </c>
      <c r="D34" s="824"/>
      <c r="E34" s="823">
        <f>354+289</f>
        <v>643</v>
      </c>
      <c r="F34" s="824"/>
      <c r="G34" s="183">
        <f>438+473</f>
        <v>911</v>
      </c>
      <c r="H34" s="183">
        <f>B34+C34-E34</f>
        <v>911</v>
      </c>
      <c r="I34" s="183">
        <f>G34-H34</f>
        <v>0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3703</v>
      </c>
      <c r="C35" s="825"/>
      <c r="D35" s="826"/>
      <c r="E35" s="827">
        <v>489</v>
      </c>
      <c r="F35" s="828"/>
      <c r="G35" s="181">
        <v>3218</v>
      </c>
      <c r="H35" s="182">
        <f>B35+C35-E35</f>
        <v>3214</v>
      </c>
      <c r="I35" s="182">
        <f>G35-H35</f>
        <v>4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884+817</f>
        <v>1701</v>
      </c>
      <c r="E36" s="79" t="s">
        <v>47</v>
      </c>
      <c r="F36" s="80" t="s">
        <v>46</v>
      </c>
      <c r="G36" s="55">
        <f>84040+D36</f>
        <v>85741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543+489</f>
        <v>1032</v>
      </c>
      <c r="E37" s="79" t="s">
        <v>47</v>
      </c>
      <c r="F37" s="80" t="s">
        <v>46</v>
      </c>
      <c r="G37" s="55">
        <f>46327+D37</f>
        <v>47359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61" t="s">
        <v>34</v>
      </c>
      <c r="F41" s="661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/>
      <c r="O41" s="76"/>
      <c r="P41" s="76">
        <f t="shared" si="1"/>
        <v>0</v>
      </c>
      <c r="Q41" s="10">
        <f t="shared" si="3"/>
        <v>0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/>
      <c r="O42" s="76"/>
      <c r="P42" s="76">
        <f t="shared" si="1"/>
        <v>0</v>
      </c>
      <c r="Q42" s="10">
        <f t="shared" si="3"/>
        <v>0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64">
        <v>6730</v>
      </c>
      <c r="C43" s="883"/>
      <c r="D43" s="884"/>
      <c r="E43" s="664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/>
      <c r="O43" s="76"/>
      <c r="P43" s="76">
        <f t="shared" si="1"/>
        <v>0</v>
      </c>
      <c r="Q43" s="10">
        <f t="shared" si="3"/>
        <v>0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64">
        <v>6347</v>
      </c>
      <c r="C44" s="883">
        <f>1569+2114+464+1600+300</f>
        <v>6047</v>
      </c>
      <c r="D44" s="884"/>
      <c r="E44" s="664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/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64">
        <v>6714</v>
      </c>
      <c r="C45" s="883"/>
      <c r="D45" s="884"/>
      <c r="E45" s="664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/>
      <c r="O45" s="76"/>
      <c r="P45" s="76">
        <f t="shared" si="1"/>
        <v>0</v>
      </c>
      <c r="Q45" s="10">
        <f t="shared" si="3"/>
        <v>0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64">
        <v>27400</v>
      </c>
      <c r="C46" s="883">
        <f>2006+2081+1392+1491+1299+1407+1300-200-1081+1241+1196+1217+1997+1358+2052+2021-100+450</f>
        <v>21127</v>
      </c>
      <c r="D46" s="884"/>
      <c r="E46" s="664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/>
      <c r="O46" s="76"/>
      <c r="P46" s="76">
        <f t="shared" si="1"/>
        <v>0</v>
      </c>
      <c r="Q46" s="10">
        <f t="shared" si="3"/>
        <v>0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64">
        <v>6800</v>
      </c>
      <c r="C47" s="883"/>
      <c r="D47" s="884"/>
      <c r="E47" s="664">
        <v>6800</v>
      </c>
      <c r="F47" s="447">
        <f t="shared" si="4"/>
        <v>0</v>
      </c>
      <c r="G47" s="883">
        <f t="shared" ref="G47:G48" si="10">SUM(E47:F47)</f>
        <v>6800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/>
      <c r="O47" s="76"/>
      <c r="P47" s="76">
        <f t="shared" si="1"/>
        <v>0</v>
      </c>
      <c r="Q47" s="10">
        <f t="shared" si="3"/>
        <v>0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64">
        <v>27531</v>
      </c>
      <c r="C48" s="883">
        <f>1359+2140+1356+1964+1362</f>
        <v>8181</v>
      </c>
      <c r="D48" s="884"/>
      <c r="E48" s="664">
        <f>27531-13280</f>
        <v>14251</v>
      </c>
      <c r="F48" s="447">
        <f t="shared" si="4"/>
        <v>5099</v>
      </c>
      <c r="G48" s="883">
        <f t="shared" si="10"/>
        <v>19350</v>
      </c>
      <c r="H48" s="884"/>
      <c r="I48" s="450" t="s">
        <v>416</v>
      </c>
      <c r="J48" s="57"/>
      <c r="K48" s="57"/>
      <c r="L48" s="100" t="s">
        <v>656</v>
      </c>
      <c r="M48" s="11"/>
      <c r="N48" s="67"/>
      <c r="O48" s="76"/>
      <c r="P48" s="76">
        <f t="shared" si="1"/>
        <v>0</v>
      </c>
      <c r="Q48" s="10">
        <f t="shared" si="3"/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62">
        <f>SUM(B42:B48)</f>
        <v>88602</v>
      </c>
      <c r="C49" s="845">
        <f>SUM(C42:D48)</f>
        <v>35355</v>
      </c>
      <c r="D49" s="845"/>
      <c r="E49" s="662">
        <f>SUM(E42:E48)</f>
        <v>47305</v>
      </c>
      <c r="F49" s="662">
        <f>SUM(F42:F48)</f>
        <v>5942</v>
      </c>
      <c r="G49" s="845">
        <f>SUM(G42:H48)</f>
        <v>53247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3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3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3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3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60" t="s">
        <v>3</v>
      </c>
      <c r="C53" s="152" t="s">
        <v>82</v>
      </c>
      <c r="D53" s="660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3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109</v>
      </c>
      <c r="C54" s="154">
        <v>70</v>
      </c>
      <c r="D54" s="184">
        <v>29</v>
      </c>
      <c r="E54" s="153">
        <v>58</v>
      </c>
      <c r="F54" s="153">
        <v>23</v>
      </c>
      <c r="G54" s="185">
        <v>71</v>
      </c>
      <c r="H54" s="846">
        <f>B54+D54-F54</f>
        <v>115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3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150</v>
      </c>
      <c r="C55" s="657">
        <v>100</v>
      </c>
      <c r="D55" s="184">
        <v>0</v>
      </c>
      <c r="E55" s="153">
        <v>29</v>
      </c>
      <c r="F55" s="153">
        <v>24</v>
      </c>
      <c r="G55" s="185">
        <v>46</v>
      </c>
      <c r="H55" s="846">
        <f>B55+D55-F55</f>
        <v>126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259</v>
      </c>
      <c r="C56" s="149">
        <f>SUM(C54:C55)</f>
        <v>170</v>
      </c>
      <c r="D56" s="149">
        <f t="shared" ref="D56:G56" si="11">SUM(D54:D55)</f>
        <v>29</v>
      </c>
      <c r="E56" s="149">
        <f t="shared" si="11"/>
        <v>87</v>
      </c>
      <c r="F56" s="149">
        <f t="shared" si="11"/>
        <v>47</v>
      </c>
      <c r="G56" s="149">
        <f t="shared" si="11"/>
        <v>117</v>
      </c>
      <c r="H56" s="846">
        <f t="shared" ref="H56" si="12">B56+D56-F56</f>
        <v>241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3">SUM(M37:M69)</f>
        <v>0</v>
      </c>
      <c r="N70" s="120">
        <f t="shared" si="13"/>
        <v>3296</v>
      </c>
      <c r="O70" s="61">
        <f t="shared" si="13"/>
        <v>117</v>
      </c>
      <c r="P70" s="61">
        <f t="shared" si="13"/>
        <v>3179</v>
      </c>
      <c r="Q70" s="10">
        <f t="shared" ref="Q70" si="14">P70*(1-S70)*1.057</f>
        <v>3360.203</v>
      </c>
      <c r="R70" s="61">
        <f t="shared" si="13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  <mergeCell ref="Q5:R5"/>
    <mergeCell ref="H6:I6"/>
    <mergeCell ref="C7:D7"/>
    <mergeCell ref="E7:F7"/>
    <mergeCell ref="H7:I7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  <mergeCell ref="A23:A24"/>
    <mergeCell ref="B23:B24"/>
    <mergeCell ref="C23:D24"/>
    <mergeCell ref="E23:F24"/>
    <mergeCell ref="G23:I23"/>
    <mergeCell ref="I25:I26"/>
    <mergeCell ref="C26:D26"/>
    <mergeCell ref="C17:D17"/>
    <mergeCell ref="E17:F17"/>
    <mergeCell ref="G17:I17"/>
    <mergeCell ref="C18:D18"/>
    <mergeCell ref="G18:I18"/>
    <mergeCell ref="B25:B26"/>
    <mergeCell ref="C25:D25"/>
    <mergeCell ref="E25:F26"/>
    <mergeCell ref="G25:G26"/>
    <mergeCell ref="H25:H26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A40:A41"/>
    <mergeCell ref="C40:D41"/>
    <mergeCell ref="E40:H40"/>
    <mergeCell ref="I40:I41"/>
    <mergeCell ref="G41:H41"/>
    <mergeCell ref="C43:D43"/>
    <mergeCell ref="G43:H43"/>
    <mergeCell ref="C44:D44"/>
    <mergeCell ref="G44:H44"/>
    <mergeCell ref="C45:D45"/>
    <mergeCell ref="G45:H45"/>
    <mergeCell ref="C46:D46"/>
    <mergeCell ref="G46:H46"/>
    <mergeCell ref="C47:D47"/>
    <mergeCell ref="G47:H47"/>
    <mergeCell ref="C48:D48"/>
    <mergeCell ref="G48:H48"/>
    <mergeCell ref="A52:A53"/>
    <mergeCell ref="B52:C52"/>
    <mergeCell ref="D52:E52"/>
    <mergeCell ref="F52:G52"/>
    <mergeCell ref="H52:I53"/>
    <mergeCell ref="H54:I54"/>
    <mergeCell ref="H55:I55"/>
    <mergeCell ref="H56:I56"/>
    <mergeCell ref="C49:D49"/>
    <mergeCell ref="G49:H49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E245-609B-4F1A-B4AC-B27A3FED3FCD}">
  <dimension ref="A1:U89"/>
  <sheetViews>
    <sheetView workbookViewId="0">
      <selection activeCell="M16" sqref="M16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56"/>
      <c r="B2" s="656"/>
      <c r="C2" s="656"/>
      <c r="D2" s="656"/>
      <c r="E2" s="656"/>
      <c r="F2" s="656"/>
      <c r="G2" s="656"/>
      <c r="H2" s="656"/>
      <c r="I2" s="656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57" t="s">
        <v>696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55"/>
      <c r="P5" s="655"/>
      <c r="Q5" s="748"/>
      <c r="R5" s="748"/>
      <c r="S5" s="655"/>
      <c r="T5" s="655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55"/>
      <c r="P6" s="82"/>
      <c r="Q6" s="655"/>
      <c r="R6" s="82"/>
      <c r="S6" s="82"/>
      <c r="T6" s="293"/>
      <c r="U6" s="107"/>
    </row>
    <row r="7" spans="1:21" ht="18.8" thickTop="1">
      <c r="A7" s="19" t="s">
        <v>14</v>
      </c>
      <c r="B7" s="20">
        <v>15.5</v>
      </c>
      <c r="C7" s="751">
        <v>1311</v>
      </c>
      <c r="D7" s="752"/>
      <c r="E7" s="753">
        <f>(C7/B7)+0.04</f>
        <v>84.620645161290327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55"/>
      <c r="P7" s="22"/>
      <c r="Q7" s="17"/>
      <c r="R7" s="17"/>
      <c r="S7" s="17"/>
      <c r="U7" s="369"/>
    </row>
    <row r="8" spans="1:21">
      <c r="A8" s="23" t="s">
        <v>15</v>
      </c>
      <c r="B8" s="74">
        <f>23.5+15.66+15.5</f>
        <v>54.66</v>
      </c>
      <c r="C8" s="769">
        <f>1982+1315+1311</f>
        <v>4608</v>
      </c>
      <c r="D8" s="770"/>
      <c r="E8" s="771">
        <f>C8/B8</f>
        <v>84.302963776070257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55"/>
      <c r="P8" s="22"/>
      <c r="Q8" s="14"/>
      <c r="T8" s="107"/>
      <c r="U8" s="107"/>
    </row>
    <row r="9" spans="1:21">
      <c r="A9" s="23" t="s">
        <v>16</v>
      </c>
      <c r="B9" s="24">
        <f>4146.7+B8</f>
        <v>4201.3599999999997</v>
      </c>
      <c r="C9" s="774">
        <f>341251+C8</f>
        <v>345859</v>
      </c>
      <c r="D9" s="775"/>
      <c r="E9" s="771">
        <f>C9/B9</f>
        <v>82.320724717710462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55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666" t="s">
        <v>697</v>
      </c>
      <c r="G11" s="54">
        <v>4600</v>
      </c>
      <c r="H11" s="54">
        <f>C8</f>
        <v>4608</v>
      </c>
      <c r="I11" s="490">
        <f>H11/G11*100</f>
        <v>100.17391304347827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58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44400</v>
      </c>
      <c r="C15" s="771">
        <f>(B15/C7)</f>
        <v>33.867276887871853</v>
      </c>
      <c r="D15" s="772"/>
      <c r="E15" s="779">
        <v>7637</v>
      </c>
      <c r="F15" s="779"/>
      <c r="G15" s="780">
        <f>E15/C7</f>
        <v>5.8253241800152553</v>
      </c>
      <c r="H15" s="780"/>
      <c r="I15" s="780"/>
      <c r="J15" s="594"/>
      <c r="K15" s="528"/>
      <c r="L15" s="365"/>
      <c r="M15" s="663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71160+44700+44400</f>
        <v>160260</v>
      </c>
      <c r="C16" s="771">
        <f>B16/C8</f>
        <v>34.778645833333336</v>
      </c>
      <c r="D16" s="772"/>
      <c r="E16" s="781">
        <f>10152+7297+7367</f>
        <v>24816</v>
      </c>
      <c r="F16" s="781"/>
      <c r="G16" s="782">
        <f>E16/C8</f>
        <v>5.385416666666667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12262673</v>
      </c>
      <c r="C17" s="797">
        <f>B17/C9</f>
        <v>35.455700155265582</v>
      </c>
      <c r="D17" s="798"/>
      <c r="E17" s="799">
        <f>1809835+E16</f>
        <v>1834651</v>
      </c>
      <c r="F17" s="799"/>
      <c r="G17" s="800">
        <f>E17/C9</f>
        <v>5.3046212473869412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-26.542035000000009</v>
      </c>
      <c r="D18" s="934"/>
      <c r="E18" s="540"/>
      <c r="F18" s="540"/>
      <c r="G18" s="934">
        <f>-(5.3-G15)*593*C7/10000</f>
        <v>40.839909999999996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/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3898</v>
      </c>
      <c r="C25" s="785">
        <v>1311</v>
      </c>
      <c r="D25" s="786"/>
      <c r="E25" s="787">
        <v>59</v>
      </c>
      <c r="F25" s="788"/>
      <c r="G25" s="791">
        <v>5114</v>
      </c>
      <c r="H25" s="793">
        <f>B25+C25+C26-E25</f>
        <v>5150</v>
      </c>
      <c r="I25" s="793">
        <f>G25-H25</f>
        <v>-36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4285</v>
      </c>
      <c r="C27" s="813"/>
      <c r="D27" s="814"/>
      <c r="E27" s="815"/>
      <c r="F27" s="816"/>
      <c r="G27" s="801">
        <v>4285</v>
      </c>
      <c r="H27" s="803">
        <f>B27+C27+C28-E27-E29</f>
        <v>4285</v>
      </c>
      <c r="I27" s="803">
        <f>G27-H27</f>
        <v>0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10412</v>
      </c>
      <c r="C30" s="829"/>
      <c r="D30" s="830"/>
      <c r="E30" s="815"/>
      <c r="F30" s="816"/>
      <c r="G30" s="801">
        <v>10412</v>
      </c>
      <c r="H30" s="803">
        <f>B30+C30+C31-E30-E32</f>
        <v>10412</v>
      </c>
      <c r="I30" s="803">
        <f>G30-H30</f>
        <v>0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/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18595</v>
      </c>
      <c r="C33" s="821">
        <f>SUM(C25:D32)</f>
        <v>1311</v>
      </c>
      <c r="D33" s="822"/>
      <c r="E33" s="821">
        <f>SUM(E25:F32)</f>
        <v>59</v>
      </c>
      <c r="F33" s="822"/>
      <c r="G33" s="659">
        <f>G25+G27+G30</f>
        <v>19811</v>
      </c>
      <c r="H33" s="659">
        <f>H25+H27+H30</f>
        <v>19847</v>
      </c>
      <c r="I33" s="659">
        <f>I25+I27+I30</f>
        <v>-36</v>
      </c>
      <c r="J33" s="327">
        <f>E33-E29-E32</f>
        <v>59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911</v>
      </c>
      <c r="C34" s="823">
        <f>E29+E35+E32</f>
        <v>0</v>
      </c>
      <c r="D34" s="824"/>
      <c r="E34" s="823">
        <v>29</v>
      </c>
      <c r="F34" s="824"/>
      <c r="G34" s="183">
        <f>409+473</f>
        <v>882</v>
      </c>
      <c r="H34" s="183">
        <f>B34+C34-E34</f>
        <v>882</v>
      </c>
      <c r="I34" s="183">
        <f>G34-H34</f>
        <v>0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3218</v>
      </c>
      <c r="C35" s="825"/>
      <c r="D35" s="826"/>
      <c r="E35" s="827"/>
      <c r="F35" s="828"/>
      <c r="G35" s="181">
        <v>3287</v>
      </c>
      <c r="H35" s="182">
        <f>B35+C35-E35</f>
        <v>3218</v>
      </c>
      <c r="I35" s="182">
        <f>G35-H35</f>
        <v>69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1701</f>
        <v>1701</v>
      </c>
      <c r="E36" s="79" t="s">
        <v>47</v>
      </c>
      <c r="F36" s="80" t="s">
        <v>46</v>
      </c>
      <c r="G36" s="55">
        <f>84040+D36</f>
        <v>85741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1032</f>
        <v>1032</v>
      </c>
      <c r="E37" s="79" t="s">
        <v>47</v>
      </c>
      <c r="F37" s="80" t="s">
        <v>46</v>
      </c>
      <c r="G37" s="55">
        <f>46327+D37</f>
        <v>47359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61" t="s">
        <v>34</v>
      </c>
      <c r="F41" s="661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>
        <v>1311</v>
      </c>
      <c r="O41" s="76">
        <v>46</v>
      </c>
      <c r="P41" s="76">
        <f t="shared" si="1"/>
        <v>1265</v>
      </c>
      <c r="Q41" s="10">
        <f t="shared" si="3"/>
        <v>1358.6100000000001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/>
      <c r="O42" s="76"/>
      <c r="P42" s="76">
        <f t="shared" si="1"/>
        <v>0</v>
      </c>
      <c r="Q42" s="10">
        <f t="shared" si="3"/>
        <v>0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64">
        <v>6730</v>
      </c>
      <c r="C43" s="883"/>
      <c r="D43" s="884"/>
      <c r="E43" s="664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/>
      <c r="O43" s="76"/>
      <c r="P43" s="76">
        <f t="shared" si="1"/>
        <v>0</v>
      </c>
      <c r="Q43" s="10">
        <f t="shared" si="3"/>
        <v>0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64">
        <v>6347</v>
      </c>
      <c r="C44" s="883">
        <f>1569+2114+464+1600+300</f>
        <v>6047</v>
      </c>
      <c r="D44" s="884"/>
      <c r="E44" s="664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/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64">
        <v>6714</v>
      </c>
      <c r="C45" s="883"/>
      <c r="D45" s="884"/>
      <c r="E45" s="664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/>
      <c r="O45" s="76"/>
      <c r="P45" s="76">
        <f t="shared" si="1"/>
        <v>0</v>
      </c>
      <c r="Q45" s="10">
        <f t="shared" si="3"/>
        <v>0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64">
        <v>27400</v>
      </c>
      <c r="C46" s="883">
        <f>2006+2081+1392+1491+1299+1407+1300-200-1081+1241+1196+1217+1997+1358+2052+2021-100+450</f>
        <v>21127</v>
      </c>
      <c r="D46" s="884"/>
      <c r="E46" s="664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/>
      <c r="O46" s="76"/>
      <c r="P46" s="76">
        <f t="shared" si="1"/>
        <v>0</v>
      </c>
      <c r="Q46" s="10">
        <f t="shared" si="3"/>
        <v>0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64">
        <v>6800</v>
      </c>
      <c r="C47" s="883"/>
      <c r="D47" s="884"/>
      <c r="E47" s="664">
        <v>6800</v>
      </c>
      <c r="F47" s="447">
        <f t="shared" si="4"/>
        <v>0</v>
      </c>
      <c r="G47" s="883">
        <f t="shared" ref="G47:G48" si="10">SUM(E47:F47)</f>
        <v>6800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/>
      <c r="O47" s="76"/>
      <c r="P47" s="76">
        <f t="shared" si="1"/>
        <v>0</v>
      </c>
      <c r="Q47" s="10">
        <f t="shared" si="3"/>
        <v>0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64">
        <v>27531</v>
      </c>
      <c r="C48" s="883">
        <f>1359+2140+1356+1964+1362+1359</f>
        <v>9540</v>
      </c>
      <c r="D48" s="884"/>
      <c r="E48" s="664">
        <f>27531-13280</f>
        <v>14251</v>
      </c>
      <c r="F48" s="447">
        <f t="shared" si="4"/>
        <v>3740</v>
      </c>
      <c r="G48" s="883">
        <f t="shared" si="10"/>
        <v>17991</v>
      </c>
      <c r="H48" s="884"/>
      <c r="I48" s="450" t="s">
        <v>416</v>
      </c>
      <c r="J48" s="57"/>
      <c r="K48" s="57"/>
      <c r="L48" s="100" t="s">
        <v>656</v>
      </c>
      <c r="M48" s="11"/>
      <c r="N48" s="67"/>
      <c r="O48" s="76"/>
      <c r="P48" s="76">
        <f t="shared" si="1"/>
        <v>0</v>
      </c>
      <c r="Q48" s="10">
        <f t="shared" si="3"/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62">
        <f>SUM(B42:B48)</f>
        <v>88602</v>
      </c>
      <c r="C49" s="845">
        <f>SUM(C42:D48)</f>
        <v>36714</v>
      </c>
      <c r="D49" s="845"/>
      <c r="E49" s="662">
        <f>SUM(E42:E48)</f>
        <v>47305</v>
      </c>
      <c r="F49" s="662">
        <f>SUM(F42:F48)</f>
        <v>4583</v>
      </c>
      <c r="G49" s="845">
        <f>SUM(G42:H48)</f>
        <v>51888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3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3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3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3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60" t="s">
        <v>3</v>
      </c>
      <c r="C53" s="152" t="s">
        <v>82</v>
      </c>
      <c r="D53" s="660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3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115</v>
      </c>
      <c r="C54" s="154">
        <v>70</v>
      </c>
      <c r="D54" s="184">
        <v>29</v>
      </c>
      <c r="E54" s="153">
        <v>87</v>
      </c>
      <c r="F54" s="153">
        <v>23</v>
      </c>
      <c r="G54" s="185">
        <v>94</v>
      </c>
      <c r="H54" s="846">
        <f>B54+D54-F54</f>
        <v>121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3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127</v>
      </c>
      <c r="C55" s="657">
        <v>100</v>
      </c>
      <c r="D55" s="184">
        <v>0</v>
      </c>
      <c r="E55" s="153">
        <v>58</v>
      </c>
      <c r="F55" s="153">
        <v>23</v>
      </c>
      <c r="G55" s="185">
        <v>69</v>
      </c>
      <c r="H55" s="846">
        <f>B55+D55-F55</f>
        <v>104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242</v>
      </c>
      <c r="C56" s="149">
        <f>SUM(C54:C55)</f>
        <v>170</v>
      </c>
      <c r="D56" s="149">
        <f t="shared" ref="D56:G56" si="11">SUM(D54:D55)</f>
        <v>29</v>
      </c>
      <c r="E56" s="149">
        <f t="shared" si="11"/>
        <v>145</v>
      </c>
      <c r="F56" s="149">
        <f t="shared" si="11"/>
        <v>46</v>
      </c>
      <c r="G56" s="149">
        <f t="shared" si="11"/>
        <v>163</v>
      </c>
      <c r="H56" s="846">
        <f t="shared" ref="H56" si="12">B56+D56-F56</f>
        <v>225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3">SUM(M37:M69)</f>
        <v>0</v>
      </c>
      <c r="N70" s="120">
        <f t="shared" si="13"/>
        <v>4607</v>
      </c>
      <c r="O70" s="61">
        <f t="shared" si="13"/>
        <v>163</v>
      </c>
      <c r="P70" s="61">
        <f t="shared" si="13"/>
        <v>4444</v>
      </c>
      <c r="Q70" s="10">
        <f t="shared" ref="Q70" si="14">P70*(1-S70)*1.057</f>
        <v>4697.308</v>
      </c>
      <c r="R70" s="61">
        <f t="shared" si="13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  <mergeCell ref="Q5:R5"/>
    <mergeCell ref="H6:I6"/>
    <mergeCell ref="C7:D7"/>
    <mergeCell ref="E7:F7"/>
    <mergeCell ref="H7:I7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  <mergeCell ref="A23:A24"/>
    <mergeCell ref="B23:B24"/>
    <mergeCell ref="C23:D24"/>
    <mergeCell ref="E23:F24"/>
    <mergeCell ref="G23:I23"/>
    <mergeCell ref="I25:I26"/>
    <mergeCell ref="C26:D26"/>
    <mergeCell ref="C17:D17"/>
    <mergeCell ref="E17:F17"/>
    <mergeCell ref="G17:I17"/>
    <mergeCell ref="C18:D18"/>
    <mergeCell ref="G18:I18"/>
    <mergeCell ref="B25:B26"/>
    <mergeCell ref="C25:D25"/>
    <mergeCell ref="E25:F26"/>
    <mergeCell ref="G25:G26"/>
    <mergeCell ref="H25:H26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A40:A41"/>
    <mergeCell ref="C40:D41"/>
    <mergeCell ref="E40:H40"/>
    <mergeCell ref="I40:I41"/>
    <mergeCell ref="G41:H41"/>
    <mergeCell ref="C43:D43"/>
    <mergeCell ref="G43:H43"/>
    <mergeCell ref="C44:D44"/>
    <mergeCell ref="G44:H44"/>
    <mergeCell ref="C45:D45"/>
    <mergeCell ref="G45:H45"/>
    <mergeCell ref="C46:D46"/>
    <mergeCell ref="G46:H46"/>
    <mergeCell ref="C47:D47"/>
    <mergeCell ref="G47:H47"/>
    <mergeCell ref="C48:D48"/>
    <mergeCell ref="G48:H48"/>
    <mergeCell ref="A52:A53"/>
    <mergeCell ref="B52:C52"/>
    <mergeCell ref="D52:E52"/>
    <mergeCell ref="F52:G52"/>
    <mergeCell ref="H52:I53"/>
    <mergeCell ref="H54:I54"/>
    <mergeCell ref="H55:I55"/>
    <mergeCell ref="H56:I56"/>
    <mergeCell ref="C49:D49"/>
    <mergeCell ref="G49:H49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5040-CB7F-4FE8-B565-2EAAA0957F5D}">
  <dimension ref="A1:U89"/>
  <sheetViews>
    <sheetView workbookViewId="0">
      <selection activeCell="F48" sqref="F48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56"/>
      <c r="B2" s="656"/>
      <c r="C2" s="656"/>
      <c r="D2" s="656"/>
      <c r="E2" s="656"/>
      <c r="F2" s="656"/>
      <c r="G2" s="656"/>
      <c r="H2" s="656"/>
      <c r="I2" s="656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57" t="s">
        <v>698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55"/>
      <c r="P5" s="655"/>
      <c r="Q5" s="748"/>
      <c r="R5" s="748"/>
      <c r="S5" s="655"/>
      <c r="T5" s="655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55"/>
      <c r="P6" s="82"/>
      <c r="Q6" s="655"/>
      <c r="R6" s="82"/>
      <c r="S6" s="82"/>
      <c r="T6" s="293"/>
      <c r="U6" s="107"/>
    </row>
    <row r="7" spans="1:21" ht="18.8" thickTop="1">
      <c r="A7" s="19" t="s">
        <v>14</v>
      </c>
      <c r="B7" s="20">
        <v>24</v>
      </c>
      <c r="C7" s="751">
        <v>2019</v>
      </c>
      <c r="D7" s="752"/>
      <c r="E7" s="753">
        <f>(C7/B7)+0.04</f>
        <v>84.165000000000006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55"/>
      <c r="P7" s="22"/>
      <c r="Q7" s="17"/>
      <c r="R7" s="17"/>
      <c r="S7" s="17"/>
      <c r="U7" s="369"/>
    </row>
    <row r="8" spans="1:21">
      <c r="A8" s="23" t="s">
        <v>15</v>
      </c>
      <c r="B8" s="74">
        <f>23.5+15.66+15.5+24</f>
        <v>78.66</v>
      </c>
      <c r="C8" s="769">
        <f>1982+1315+1311+2019</f>
        <v>6627</v>
      </c>
      <c r="D8" s="770"/>
      <c r="E8" s="771">
        <f>C8/B8</f>
        <v>84.248665141113662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55"/>
      <c r="P8" s="22"/>
      <c r="Q8" s="14"/>
      <c r="T8" s="107"/>
      <c r="U8" s="107"/>
    </row>
    <row r="9" spans="1:21">
      <c r="A9" s="23" t="s">
        <v>16</v>
      </c>
      <c r="B9" s="24">
        <f>4146.7+B8</f>
        <v>4225.3599999999997</v>
      </c>
      <c r="C9" s="774">
        <f>341251+C8</f>
        <v>347878</v>
      </c>
      <c r="D9" s="775"/>
      <c r="E9" s="771">
        <f>C9/B9</f>
        <v>82.330972982183766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55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666" t="s">
        <v>699</v>
      </c>
      <c r="G11" s="54">
        <v>6600</v>
      </c>
      <c r="H11" s="54">
        <f>C8</f>
        <v>6627</v>
      </c>
      <c r="I11" s="490">
        <f>H11/G11*100</f>
        <v>100.40909090909092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58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65760</v>
      </c>
      <c r="C15" s="771">
        <f>(B15/C7)</f>
        <v>32.570579494799404</v>
      </c>
      <c r="D15" s="772"/>
      <c r="E15" s="779">
        <v>10542</v>
      </c>
      <c r="F15" s="779"/>
      <c r="G15" s="780">
        <f>E15/C7</f>
        <v>5.2213967310549778</v>
      </c>
      <c r="H15" s="780"/>
      <c r="I15" s="780"/>
      <c r="J15" s="594"/>
      <c r="K15" s="528"/>
      <c r="L15" s="365"/>
      <c r="M15" s="663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71160+44700+44400+65760</f>
        <v>226020</v>
      </c>
      <c r="C16" s="771">
        <f>B16/C8</f>
        <v>34.105930285196919</v>
      </c>
      <c r="D16" s="772"/>
      <c r="E16" s="781">
        <f>10152+7297+7367+10542</f>
        <v>35358</v>
      </c>
      <c r="F16" s="781"/>
      <c r="G16" s="782">
        <f>E16/C8</f>
        <v>5.3354459031235857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12328433</v>
      </c>
      <c r="C17" s="797">
        <f>B17/C9</f>
        <v>35.438955610875077</v>
      </c>
      <c r="D17" s="798"/>
      <c r="E17" s="799">
        <f>1809835+E16</f>
        <v>1845193</v>
      </c>
      <c r="F17" s="799"/>
      <c r="G17" s="800">
        <f>E17/C9</f>
        <v>5.3041382323688193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-61.008615000000034</v>
      </c>
      <c r="D18" s="934"/>
      <c r="E18" s="540"/>
      <c r="F18" s="540"/>
      <c r="G18" s="934">
        <f>-(5.3-G15)*593*C7/10000</f>
        <v>-9.4109099999999675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/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5114</v>
      </c>
      <c r="C25" s="785">
        <v>292</v>
      </c>
      <c r="D25" s="786"/>
      <c r="E25" s="787"/>
      <c r="F25" s="788"/>
      <c r="G25" s="791">
        <v>5346</v>
      </c>
      <c r="H25" s="793">
        <f>B25+C25+C26-E25</f>
        <v>5406</v>
      </c>
      <c r="I25" s="793">
        <f>G25-H25</f>
        <v>-60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4085</v>
      </c>
      <c r="C27" s="813">
        <v>1275</v>
      </c>
      <c r="D27" s="814"/>
      <c r="E27" s="815"/>
      <c r="F27" s="816"/>
      <c r="G27" s="801">
        <v>5153</v>
      </c>
      <c r="H27" s="803">
        <f>B27+C27+C28-E27-E29</f>
        <v>5360</v>
      </c>
      <c r="I27" s="803">
        <f>G27-H27</f>
        <v>-207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10412</v>
      </c>
      <c r="C30" s="829">
        <v>451</v>
      </c>
      <c r="D30" s="830"/>
      <c r="E30" s="815"/>
      <c r="F30" s="816"/>
      <c r="G30" s="801">
        <v>10863</v>
      </c>
      <c r="H30" s="803">
        <f>B30+C30+C31-E30-E32</f>
        <v>10863</v>
      </c>
      <c r="I30" s="803">
        <f>G30-H30</f>
        <v>0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/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19611</v>
      </c>
      <c r="C33" s="821">
        <f>SUM(C25:D32)</f>
        <v>2018</v>
      </c>
      <c r="D33" s="822"/>
      <c r="E33" s="821">
        <f>SUM(E25:F32)</f>
        <v>0</v>
      </c>
      <c r="F33" s="822"/>
      <c r="G33" s="659">
        <f>G25+G27+G30</f>
        <v>21362</v>
      </c>
      <c r="H33" s="659">
        <f>H25+H27+H30</f>
        <v>21629</v>
      </c>
      <c r="I33" s="659">
        <f>I25+I27+I30</f>
        <v>-267</v>
      </c>
      <c r="J33" s="327">
        <f>E33-E29-E32</f>
        <v>0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882</v>
      </c>
      <c r="C34" s="823">
        <f>E29+E35+E32</f>
        <v>0</v>
      </c>
      <c r="D34" s="824"/>
      <c r="E34" s="823"/>
      <c r="F34" s="824"/>
      <c r="G34" s="183">
        <f>409+473</f>
        <v>882</v>
      </c>
      <c r="H34" s="183">
        <f>B34+C34-E34</f>
        <v>882</v>
      </c>
      <c r="I34" s="183">
        <f>G34-H34</f>
        <v>0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3287</v>
      </c>
      <c r="C35" s="825"/>
      <c r="D35" s="826"/>
      <c r="E35" s="827"/>
      <c r="F35" s="828"/>
      <c r="G35" s="181">
        <v>3287</v>
      </c>
      <c r="H35" s="182">
        <f>B35+C35-E35</f>
        <v>3287</v>
      </c>
      <c r="I35" s="182">
        <f>G35-H35</f>
        <v>0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1701</f>
        <v>1701</v>
      </c>
      <c r="E36" s="79" t="s">
        <v>47</v>
      </c>
      <c r="F36" s="80" t="s">
        <v>46</v>
      </c>
      <c r="G36" s="55">
        <f>84040+D36</f>
        <v>85741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1032</f>
        <v>1032</v>
      </c>
      <c r="E37" s="79" t="s">
        <v>47</v>
      </c>
      <c r="F37" s="80" t="s">
        <v>46</v>
      </c>
      <c r="G37" s="55">
        <f>46327+D37</f>
        <v>47359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61" t="s">
        <v>34</v>
      </c>
      <c r="F41" s="661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>
        <v>1311</v>
      </c>
      <c r="O41" s="76">
        <v>46</v>
      </c>
      <c r="P41" s="76">
        <f t="shared" si="1"/>
        <v>1265</v>
      </c>
      <c r="Q41" s="10">
        <f t="shared" si="3"/>
        <v>1358.6100000000001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>
        <v>2018</v>
      </c>
      <c r="O42" s="76">
        <v>93</v>
      </c>
      <c r="P42" s="76">
        <f t="shared" si="1"/>
        <v>1925</v>
      </c>
      <c r="Q42" s="10">
        <f t="shared" si="3"/>
        <v>2067.4500000000003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64">
        <v>6730</v>
      </c>
      <c r="C43" s="883"/>
      <c r="D43" s="884"/>
      <c r="E43" s="664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/>
      <c r="O43" s="76"/>
      <c r="P43" s="76">
        <f t="shared" si="1"/>
        <v>0</v>
      </c>
      <c r="Q43" s="10">
        <f t="shared" si="3"/>
        <v>0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64">
        <v>6347</v>
      </c>
      <c r="C44" s="883">
        <f>1569+2114+464+1600+300</f>
        <v>6047</v>
      </c>
      <c r="D44" s="884"/>
      <c r="E44" s="664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/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64">
        <v>6714</v>
      </c>
      <c r="C45" s="883"/>
      <c r="D45" s="884"/>
      <c r="E45" s="664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/>
      <c r="O45" s="76"/>
      <c r="P45" s="76">
        <f t="shared" si="1"/>
        <v>0</v>
      </c>
      <c r="Q45" s="10">
        <f t="shared" si="3"/>
        <v>0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64">
        <v>27400</v>
      </c>
      <c r="C46" s="883">
        <f>2006+2081+1392+1491+1299+1407+1300-200-1081+1241+1196+1217+1997+1358+2052+2021-100+450</f>
        <v>21127</v>
      </c>
      <c r="D46" s="884"/>
      <c r="E46" s="664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/>
      <c r="O46" s="76"/>
      <c r="P46" s="76">
        <f t="shared" si="1"/>
        <v>0</v>
      </c>
      <c r="Q46" s="10">
        <f t="shared" si="3"/>
        <v>0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64">
        <v>6800</v>
      </c>
      <c r="C47" s="883"/>
      <c r="D47" s="884"/>
      <c r="E47" s="664">
        <v>6800</v>
      </c>
      <c r="F47" s="447">
        <f t="shared" si="4"/>
        <v>0</v>
      </c>
      <c r="G47" s="883">
        <f t="shared" ref="G47:G48" si="10">SUM(E47:F47)</f>
        <v>6800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/>
      <c r="O47" s="76"/>
      <c r="P47" s="76">
        <f t="shared" si="1"/>
        <v>0</v>
      </c>
      <c r="Q47" s="10">
        <f t="shared" si="3"/>
        <v>0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64">
        <v>27531</v>
      </c>
      <c r="C48" s="883">
        <f>1359+2140+1356+1964+1362+1359+2067</f>
        <v>11607</v>
      </c>
      <c r="D48" s="884"/>
      <c r="E48" s="664">
        <f>27531-13280</f>
        <v>14251</v>
      </c>
      <c r="F48" s="447">
        <f t="shared" si="4"/>
        <v>1673</v>
      </c>
      <c r="G48" s="883">
        <f t="shared" si="10"/>
        <v>15924</v>
      </c>
      <c r="H48" s="884"/>
      <c r="I48" s="450" t="s">
        <v>416</v>
      </c>
      <c r="J48" s="57"/>
      <c r="K48" s="57"/>
      <c r="L48" s="100" t="s">
        <v>656</v>
      </c>
      <c r="M48" s="11"/>
      <c r="N48" s="67"/>
      <c r="O48" s="76"/>
      <c r="P48" s="76">
        <f t="shared" si="1"/>
        <v>0</v>
      </c>
      <c r="Q48" s="10">
        <f t="shared" si="3"/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62">
        <f>SUM(B42:B48)</f>
        <v>88602</v>
      </c>
      <c r="C49" s="845">
        <f>SUM(C42:D48)</f>
        <v>38781</v>
      </c>
      <c r="D49" s="845"/>
      <c r="E49" s="662">
        <f>SUM(E42:E48)</f>
        <v>47305</v>
      </c>
      <c r="F49" s="662">
        <f>SUM(F42:F48)</f>
        <v>2516</v>
      </c>
      <c r="G49" s="845">
        <f>SUM(G42:H48)</f>
        <v>49821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3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3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3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3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60" t="s">
        <v>3</v>
      </c>
      <c r="C53" s="152" t="s">
        <v>82</v>
      </c>
      <c r="D53" s="660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3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121</v>
      </c>
      <c r="C54" s="154">
        <v>70</v>
      </c>
      <c r="D54" s="184">
        <v>29</v>
      </c>
      <c r="E54" s="153">
        <v>87</v>
      </c>
      <c r="F54" s="153">
        <v>45</v>
      </c>
      <c r="G54" s="185">
        <v>139</v>
      </c>
      <c r="H54" s="846">
        <f>B54+D54-F54</f>
        <v>105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3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104</v>
      </c>
      <c r="C55" s="657">
        <v>100</v>
      </c>
      <c r="D55" s="184">
        <v>0</v>
      </c>
      <c r="E55" s="153">
        <v>58</v>
      </c>
      <c r="F55" s="153">
        <v>45</v>
      </c>
      <c r="G55" s="185">
        <v>109</v>
      </c>
      <c r="H55" s="846">
        <f>B55+D55-F55</f>
        <v>59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225</v>
      </c>
      <c r="C56" s="149">
        <f>SUM(C54:C55)</f>
        <v>170</v>
      </c>
      <c r="D56" s="149">
        <f t="shared" ref="D56:G56" si="11">SUM(D54:D55)</f>
        <v>29</v>
      </c>
      <c r="E56" s="149">
        <f t="shared" si="11"/>
        <v>145</v>
      </c>
      <c r="F56" s="149">
        <f t="shared" si="11"/>
        <v>90</v>
      </c>
      <c r="G56" s="149">
        <f t="shared" si="11"/>
        <v>248</v>
      </c>
      <c r="H56" s="846">
        <f t="shared" ref="H56" si="12">B56+D56-F56</f>
        <v>164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3">SUM(M37:M69)</f>
        <v>0</v>
      </c>
      <c r="N70" s="120">
        <f t="shared" si="13"/>
        <v>6625</v>
      </c>
      <c r="O70" s="61">
        <f t="shared" si="13"/>
        <v>256</v>
      </c>
      <c r="P70" s="61">
        <f t="shared" si="13"/>
        <v>6369</v>
      </c>
      <c r="Q70" s="10">
        <f t="shared" ref="Q70" si="14">P70*(1-S70)*1.057</f>
        <v>6732.0329999999994</v>
      </c>
      <c r="R70" s="61">
        <f t="shared" si="13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  <mergeCell ref="Q5:R5"/>
    <mergeCell ref="H6:I6"/>
    <mergeCell ref="C7:D7"/>
    <mergeCell ref="E7:F7"/>
    <mergeCell ref="H7:I7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  <mergeCell ref="A23:A24"/>
    <mergeCell ref="B23:B24"/>
    <mergeCell ref="C23:D24"/>
    <mergeCell ref="E23:F24"/>
    <mergeCell ref="G23:I23"/>
    <mergeCell ref="I25:I26"/>
    <mergeCell ref="C26:D26"/>
    <mergeCell ref="C17:D17"/>
    <mergeCell ref="E17:F17"/>
    <mergeCell ref="G17:I17"/>
    <mergeCell ref="C18:D18"/>
    <mergeCell ref="G18:I18"/>
    <mergeCell ref="B25:B26"/>
    <mergeCell ref="C25:D25"/>
    <mergeCell ref="E25:F26"/>
    <mergeCell ref="G25:G26"/>
    <mergeCell ref="H25:H26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A40:A41"/>
    <mergeCell ref="C40:D41"/>
    <mergeCell ref="E40:H40"/>
    <mergeCell ref="I40:I41"/>
    <mergeCell ref="G41:H41"/>
    <mergeCell ref="C43:D43"/>
    <mergeCell ref="G43:H43"/>
    <mergeCell ref="C44:D44"/>
    <mergeCell ref="G44:H44"/>
    <mergeCell ref="C45:D45"/>
    <mergeCell ref="G45:H45"/>
    <mergeCell ref="C46:D46"/>
    <mergeCell ref="G46:H46"/>
    <mergeCell ref="C47:D47"/>
    <mergeCell ref="G47:H47"/>
    <mergeCell ref="C48:D48"/>
    <mergeCell ref="G48:H48"/>
    <mergeCell ref="A52:A53"/>
    <mergeCell ref="B52:C52"/>
    <mergeCell ref="D52:E52"/>
    <mergeCell ref="F52:G52"/>
    <mergeCell ref="H52:I53"/>
    <mergeCell ref="H54:I54"/>
    <mergeCell ref="H55:I55"/>
    <mergeCell ref="H56:I56"/>
    <mergeCell ref="C49:D49"/>
    <mergeCell ref="G49:H49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9B61-C3A2-46A4-B395-6033784E4AE7}">
  <dimension ref="A1:U89"/>
  <sheetViews>
    <sheetView workbookViewId="0">
      <selection activeCell="L20" sqref="L20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68"/>
      <c r="B2" s="668"/>
      <c r="C2" s="668"/>
      <c r="D2" s="668"/>
      <c r="E2" s="668"/>
      <c r="F2" s="668"/>
      <c r="G2" s="668"/>
      <c r="H2" s="668"/>
      <c r="I2" s="668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58" t="s">
        <v>700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67"/>
      <c r="P5" s="667"/>
      <c r="Q5" s="748"/>
      <c r="R5" s="748"/>
      <c r="S5" s="667"/>
      <c r="T5" s="667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67"/>
      <c r="P6" s="82"/>
      <c r="Q6" s="667"/>
      <c r="R6" s="82"/>
      <c r="S6" s="82"/>
      <c r="T6" s="293"/>
      <c r="U6" s="107"/>
    </row>
    <row r="7" spans="1:21" ht="18.8" thickTop="1">
      <c r="A7" s="19" t="s">
        <v>14</v>
      </c>
      <c r="B7" s="20">
        <v>11.67</v>
      </c>
      <c r="C7" s="751">
        <v>973</v>
      </c>
      <c r="D7" s="752"/>
      <c r="E7" s="753">
        <f>(C7/B7)+0.04</f>
        <v>83.416178234790067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67"/>
      <c r="P7" s="22"/>
      <c r="Q7" s="17"/>
      <c r="R7" s="17"/>
      <c r="S7" s="17"/>
      <c r="U7" s="369"/>
    </row>
    <row r="8" spans="1:21">
      <c r="A8" s="23" t="s">
        <v>15</v>
      </c>
      <c r="B8" s="74">
        <f>23.5+15.66+15.5+24+11.7</f>
        <v>90.36</v>
      </c>
      <c r="C8" s="769">
        <f>1982+1315+1311+2019+973</f>
        <v>7600</v>
      </c>
      <c r="D8" s="770"/>
      <c r="E8" s="771">
        <f>C8/B8</f>
        <v>84.108012394864986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67"/>
      <c r="P8" s="22"/>
      <c r="Q8" s="14"/>
      <c r="T8" s="107"/>
      <c r="U8" s="107"/>
    </row>
    <row r="9" spans="1:21">
      <c r="A9" s="23" t="s">
        <v>16</v>
      </c>
      <c r="B9" s="24">
        <f>4146.7+B8</f>
        <v>4237.0599999999995</v>
      </c>
      <c r="C9" s="774">
        <f>341251+C8</f>
        <v>348851</v>
      </c>
      <c r="D9" s="775"/>
      <c r="E9" s="771">
        <f>C9/B9</f>
        <v>82.33326882319345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67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687" t="s">
        <v>701</v>
      </c>
      <c r="G11" s="54">
        <v>7900</v>
      </c>
      <c r="H11" s="54">
        <f>C8</f>
        <v>7600</v>
      </c>
      <c r="I11" s="490">
        <f>H11/G11*100</f>
        <v>96.202531645569621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70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34680</v>
      </c>
      <c r="C15" s="771">
        <f>(B15/C7)</f>
        <v>35.642343268242549</v>
      </c>
      <c r="D15" s="772"/>
      <c r="E15" s="779">
        <v>5153</v>
      </c>
      <c r="F15" s="779"/>
      <c r="G15" s="780">
        <f>E15/C7</f>
        <v>5.2959917780061669</v>
      </c>
      <c r="H15" s="780"/>
      <c r="I15" s="780"/>
      <c r="J15" s="594"/>
      <c r="K15" s="528"/>
      <c r="L15" s="365"/>
      <c r="M15" s="675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71160+44700+44400+65760+34680</f>
        <v>260700</v>
      </c>
      <c r="C16" s="771">
        <f>B16/C8</f>
        <v>34.30263157894737</v>
      </c>
      <c r="D16" s="772"/>
      <c r="E16" s="781">
        <f>10152+7297+7367+10542+5513</f>
        <v>40871</v>
      </c>
      <c r="F16" s="781"/>
      <c r="G16" s="782">
        <f>E16/C8</f>
        <v>5.3777631578947371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12363113</v>
      </c>
      <c r="C17" s="797">
        <f>B17/C9</f>
        <v>35.439522890861717</v>
      </c>
      <c r="D17" s="798"/>
      <c r="E17" s="799">
        <f>1809835+E16</f>
        <v>1850706</v>
      </c>
      <c r="F17" s="799"/>
      <c r="G17" s="800">
        <f>E17/C9</f>
        <v>5.3051474698366921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-6.4173050000000034</v>
      </c>
      <c r="D18" s="934"/>
      <c r="E18" s="540"/>
      <c r="F18" s="540"/>
      <c r="G18" s="934">
        <f>-(5.3-G15)*593*C7/10000</f>
        <v>-0.23126999999996414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/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5346</v>
      </c>
      <c r="C25" s="785">
        <v>341</v>
      </c>
      <c r="D25" s="786"/>
      <c r="E25" s="787">
        <v>664</v>
      </c>
      <c r="F25" s="788"/>
      <c r="G25" s="791">
        <v>5056</v>
      </c>
      <c r="H25" s="793">
        <f>B25+C25+C26-E25</f>
        <v>5023</v>
      </c>
      <c r="I25" s="793">
        <f>G25-H25</f>
        <v>33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5153</v>
      </c>
      <c r="C27" s="813">
        <v>642</v>
      </c>
      <c r="D27" s="814"/>
      <c r="E27" s="815">
        <v>293</v>
      </c>
      <c r="F27" s="816"/>
      <c r="G27" s="801">
        <v>5346</v>
      </c>
      <c r="H27" s="803">
        <f>B27+C27+C28-E27-E29</f>
        <v>5330</v>
      </c>
      <c r="I27" s="803">
        <f>G27-H27</f>
        <v>16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>
        <v>172</v>
      </c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10463</v>
      </c>
      <c r="C30" s="829"/>
      <c r="D30" s="830"/>
      <c r="E30" s="815"/>
      <c r="F30" s="816"/>
      <c r="G30" s="801">
        <v>10412</v>
      </c>
      <c r="H30" s="803">
        <f>B30+C30+C31-E30-E32</f>
        <v>10463</v>
      </c>
      <c r="I30" s="803">
        <f>G30-H30</f>
        <v>-51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/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20962</v>
      </c>
      <c r="C33" s="821">
        <f>SUM(C25:D32)</f>
        <v>983</v>
      </c>
      <c r="D33" s="822"/>
      <c r="E33" s="821">
        <f>SUM(E25:F32)</f>
        <v>1129</v>
      </c>
      <c r="F33" s="822"/>
      <c r="G33" s="671">
        <f>G25+G27+G30</f>
        <v>20814</v>
      </c>
      <c r="H33" s="671">
        <f>H25+H27+H30</f>
        <v>20816</v>
      </c>
      <c r="I33" s="671">
        <f>I25+I27+I30</f>
        <v>-2</v>
      </c>
      <c r="J33" s="327">
        <f>E33-E29-E32</f>
        <v>957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882</v>
      </c>
      <c r="C34" s="823">
        <f>E29+E35+E32</f>
        <v>344</v>
      </c>
      <c r="D34" s="824"/>
      <c r="E34" s="823">
        <f>295+59</f>
        <v>354</v>
      </c>
      <c r="F34" s="824"/>
      <c r="G34" s="183">
        <f>458+414</f>
        <v>872</v>
      </c>
      <c r="H34" s="183">
        <f>B34+C34-E34</f>
        <v>872</v>
      </c>
      <c r="I34" s="183">
        <f>G34-H34</f>
        <v>0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3287</v>
      </c>
      <c r="C35" s="825">
        <v>1071</v>
      </c>
      <c r="D35" s="826"/>
      <c r="E35" s="827">
        <v>172</v>
      </c>
      <c r="F35" s="828"/>
      <c r="G35" s="181">
        <v>4142</v>
      </c>
      <c r="H35" s="182">
        <f>B35+C35-E35</f>
        <v>4186</v>
      </c>
      <c r="I35" s="182">
        <f>G35-H35</f>
        <v>-44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1701+344</f>
        <v>2045</v>
      </c>
      <c r="E36" s="79" t="s">
        <v>47</v>
      </c>
      <c r="F36" s="80" t="s">
        <v>46</v>
      </c>
      <c r="G36" s="55">
        <f>84040+D36</f>
        <v>86085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1032+172</f>
        <v>1204</v>
      </c>
      <c r="E37" s="79" t="s">
        <v>47</v>
      </c>
      <c r="F37" s="80" t="s">
        <v>46</v>
      </c>
      <c r="G37" s="55">
        <f>46327+D37</f>
        <v>47531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73" t="s">
        <v>34</v>
      </c>
      <c r="F41" s="673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>
        <v>1311</v>
      </c>
      <c r="O41" s="76">
        <v>46</v>
      </c>
      <c r="P41" s="76">
        <f t="shared" si="1"/>
        <v>1265</v>
      </c>
      <c r="Q41" s="10">
        <f t="shared" si="3"/>
        <v>1358.6100000000001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>
        <v>2018</v>
      </c>
      <c r="O42" s="76">
        <v>93</v>
      </c>
      <c r="P42" s="76">
        <f t="shared" si="1"/>
        <v>1925</v>
      </c>
      <c r="Q42" s="10">
        <f t="shared" si="3"/>
        <v>2067.4500000000003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76">
        <v>6730</v>
      </c>
      <c r="C43" s="883"/>
      <c r="D43" s="884"/>
      <c r="E43" s="676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>
        <v>973</v>
      </c>
      <c r="O43" s="76">
        <v>43</v>
      </c>
      <c r="P43" s="76">
        <f t="shared" si="1"/>
        <v>930</v>
      </c>
      <c r="Q43" s="10">
        <f t="shared" si="3"/>
        <v>998.82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76">
        <v>6347</v>
      </c>
      <c r="C44" s="883">
        <f>1569+2114+464+1600+300</f>
        <v>6047</v>
      </c>
      <c r="D44" s="884"/>
      <c r="E44" s="676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/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76">
        <v>6714</v>
      </c>
      <c r="C45" s="883"/>
      <c r="D45" s="884"/>
      <c r="E45" s="676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/>
      <c r="O45" s="76"/>
      <c r="P45" s="76">
        <f t="shared" si="1"/>
        <v>0</v>
      </c>
      <c r="Q45" s="10">
        <f t="shared" si="3"/>
        <v>0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76">
        <v>27400</v>
      </c>
      <c r="C46" s="883">
        <f>2006+2081+1392+1491+1299+1407+1300-200-1081+1241+1196+1217+1997+1358+2052+2021-100+450</f>
        <v>21127</v>
      </c>
      <c r="D46" s="884"/>
      <c r="E46" s="676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/>
      <c r="O46" s="76"/>
      <c r="P46" s="76">
        <f t="shared" si="1"/>
        <v>0</v>
      </c>
      <c r="Q46" s="10">
        <f t="shared" si="3"/>
        <v>0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76">
        <v>6800</v>
      </c>
      <c r="C47" s="883"/>
      <c r="D47" s="884"/>
      <c r="E47" s="676">
        <v>6800</v>
      </c>
      <c r="F47" s="447">
        <f t="shared" si="4"/>
        <v>0</v>
      </c>
      <c r="G47" s="883">
        <f t="shared" ref="G47:G48" si="10">SUM(E47:F47)</f>
        <v>6800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/>
      <c r="O47" s="76"/>
      <c r="P47" s="76">
        <f t="shared" si="1"/>
        <v>0</v>
      </c>
      <c r="Q47" s="10">
        <f t="shared" si="3"/>
        <v>0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76">
        <v>27531</v>
      </c>
      <c r="C48" s="883">
        <f>1359+2140+1356+1964+1362+1359+2067+999</f>
        <v>12606</v>
      </c>
      <c r="D48" s="884"/>
      <c r="E48" s="676">
        <f>27531-13280</f>
        <v>14251</v>
      </c>
      <c r="F48" s="447">
        <f t="shared" si="4"/>
        <v>674</v>
      </c>
      <c r="G48" s="883">
        <f t="shared" si="10"/>
        <v>14925</v>
      </c>
      <c r="H48" s="884"/>
      <c r="I48" s="450" t="s">
        <v>416</v>
      </c>
      <c r="J48" s="57"/>
      <c r="K48" s="57"/>
      <c r="L48" s="100" t="s">
        <v>656</v>
      </c>
      <c r="M48" s="11"/>
      <c r="N48" s="67"/>
      <c r="O48" s="76"/>
      <c r="P48" s="76">
        <f t="shared" si="1"/>
        <v>0</v>
      </c>
      <c r="Q48" s="10">
        <f t="shared" si="3"/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74">
        <f>SUM(B42:B48)</f>
        <v>88602</v>
      </c>
      <c r="C49" s="845">
        <f>SUM(C42:D48)</f>
        <v>39780</v>
      </c>
      <c r="D49" s="845"/>
      <c r="E49" s="674">
        <f>SUM(E42:E48)</f>
        <v>47305</v>
      </c>
      <c r="F49" s="674">
        <f>SUM(F42:F48)</f>
        <v>1517</v>
      </c>
      <c r="G49" s="845">
        <f>SUM(G42:H48)</f>
        <v>48822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3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3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3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3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72" t="s">
        <v>3</v>
      </c>
      <c r="C53" s="152" t="s">
        <v>82</v>
      </c>
      <c r="D53" s="672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3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105</v>
      </c>
      <c r="C54" s="154">
        <v>70</v>
      </c>
      <c r="D54" s="184">
        <v>29</v>
      </c>
      <c r="E54" s="153">
        <v>207</v>
      </c>
      <c r="F54" s="153">
        <v>23</v>
      </c>
      <c r="G54" s="185">
        <v>162</v>
      </c>
      <c r="H54" s="846">
        <f>B54+D54-F54</f>
        <v>111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3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59</v>
      </c>
      <c r="C55" s="669">
        <v>100</v>
      </c>
      <c r="D55" s="184">
        <v>29</v>
      </c>
      <c r="E55" s="153">
        <v>89</v>
      </c>
      <c r="F55" s="153">
        <v>20</v>
      </c>
      <c r="G55" s="185">
        <v>129</v>
      </c>
      <c r="H55" s="846">
        <f>B55+D55-F55</f>
        <v>68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164</v>
      </c>
      <c r="C56" s="149">
        <f>SUM(C54:C55)</f>
        <v>170</v>
      </c>
      <c r="D56" s="149">
        <f t="shared" ref="D56:G56" si="11">SUM(D54:D55)</f>
        <v>58</v>
      </c>
      <c r="E56" s="149">
        <f t="shared" si="11"/>
        <v>296</v>
      </c>
      <c r="F56" s="149">
        <f t="shared" si="11"/>
        <v>43</v>
      </c>
      <c r="G56" s="149">
        <f t="shared" si="11"/>
        <v>291</v>
      </c>
      <c r="H56" s="846">
        <f t="shared" ref="H56" si="12">B56+D56-F56</f>
        <v>179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3">SUM(M37:M69)</f>
        <v>0</v>
      </c>
      <c r="N70" s="120">
        <f t="shared" si="13"/>
        <v>7598</v>
      </c>
      <c r="O70" s="61">
        <f t="shared" si="13"/>
        <v>299</v>
      </c>
      <c r="P70" s="61">
        <f t="shared" si="13"/>
        <v>7299</v>
      </c>
      <c r="Q70" s="10">
        <f t="shared" ref="Q70" si="14">P70*(1-S70)*1.057</f>
        <v>7715.0429999999997</v>
      </c>
      <c r="R70" s="61">
        <f t="shared" si="13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  <mergeCell ref="Q5:R5"/>
    <mergeCell ref="H6:I6"/>
    <mergeCell ref="C7:D7"/>
    <mergeCell ref="E7:F7"/>
    <mergeCell ref="H7:I7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  <mergeCell ref="A23:A24"/>
    <mergeCell ref="B23:B24"/>
    <mergeCell ref="C23:D24"/>
    <mergeCell ref="E23:F24"/>
    <mergeCell ref="G23:I23"/>
    <mergeCell ref="I25:I26"/>
    <mergeCell ref="C26:D26"/>
    <mergeCell ref="C17:D17"/>
    <mergeCell ref="E17:F17"/>
    <mergeCell ref="G17:I17"/>
    <mergeCell ref="C18:D18"/>
    <mergeCell ref="G18:I18"/>
    <mergeCell ref="B25:B26"/>
    <mergeCell ref="C25:D25"/>
    <mergeCell ref="E25:F26"/>
    <mergeCell ref="G25:G26"/>
    <mergeCell ref="H25:H26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A40:A41"/>
    <mergeCell ref="C40:D41"/>
    <mergeCell ref="E40:H40"/>
    <mergeCell ref="I40:I41"/>
    <mergeCell ref="G41:H41"/>
    <mergeCell ref="C43:D43"/>
    <mergeCell ref="G43:H43"/>
    <mergeCell ref="C44:D44"/>
    <mergeCell ref="G44:H44"/>
    <mergeCell ref="C45:D45"/>
    <mergeCell ref="G45:H45"/>
    <mergeCell ref="C46:D46"/>
    <mergeCell ref="G46:H46"/>
    <mergeCell ref="C47:D47"/>
    <mergeCell ref="G47:H47"/>
    <mergeCell ref="C48:D48"/>
    <mergeCell ref="G48:H48"/>
    <mergeCell ref="A52:A53"/>
    <mergeCell ref="B52:C52"/>
    <mergeCell ref="D52:E52"/>
    <mergeCell ref="F52:G52"/>
    <mergeCell ref="H52:I53"/>
    <mergeCell ref="H54:I54"/>
    <mergeCell ref="H55:I55"/>
    <mergeCell ref="H56:I56"/>
    <mergeCell ref="C49:D49"/>
    <mergeCell ref="G49:H49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D934-0B3A-445E-A494-74511CA6A0D1}">
  <dimension ref="A1:U89"/>
  <sheetViews>
    <sheetView workbookViewId="0">
      <selection activeCell="L18" sqref="L18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83"/>
      <c r="B2" s="683"/>
      <c r="C2" s="683"/>
      <c r="D2" s="683"/>
      <c r="E2" s="683"/>
      <c r="F2" s="683"/>
      <c r="G2" s="683"/>
      <c r="H2" s="683"/>
      <c r="I2" s="683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59" t="s">
        <v>702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85"/>
      <c r="P5" s="685"/>
      <c r="Q5" s="748"/>
      <c r="R5" s="748"/>
      <c r="S5" s="685"/>
      <c r="T5" s="685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85"/>
      <c r="P6" s="82"/>
      <c r="Q6" s="685"/>
      <c r="R6" s="82"/>
      <c r="S6" s="82"/>
      <c r="T6" s="293"/>
      <c r="U6" s="107"/>
    </row>
    <row r="7" spans="1:21" ht="18.8" thickTop="1">
      <c r="A7" s="19" t="s">
        <v>14</v>
      </c>
      <c r="B7" s="20"/>
      <c r="C7" s="751"/>
      <c r="D7" s="752"/>
      <c r="E7" s="753" t="e">
        <f>(C7/B7)+0.04</f>
        <v>#DIV/0!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85"/>
      <c r="P7" s="22"/>
      <c r="Q7" s="17"/>
      <c r="R7" s="17"/>
      <c r="S7" s="17"/>
      <c r="U7" s="369"/>
    </row>
    <row r="8" spans="1:21">
      <c r="A8" s="23" t="s">
        <v>15</v>
      </c>
      <c r="B8" s="74">
        <f>23.5+15.66+15.5+24+11.7</f>
        <v>90.36</v>
      </c>
      <c r="C8" s="769">
        <f>1982+1315+1311+2019+973</f>
        <v>7600</v>
      </c>
      <c r="D8" s="770"/>
      <c r="E8" s="771">
        <f>C8/B8</f>
        <v>84.108012394864986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85"/>
      <c r="P8" s="22"/>
      <c r="Q8" s="14"/>
      <c r="T8" s="107"/>
      <c r="U8" s="107"/>
    </row>
    <row r="9" spans="1:21">
      <c r="A9" s="23" t="s">
        <v>16</v>
      </c>
      <c r="B9" s="24">
        <f>4146.7+B8</f>
        <v>4237.0599999999995</v>
      </c>
      <c r="C9" s="774">
        <f>341251+C8</f>
        <v>348851</v>
      </c>
      <c r="D9" s="775"/>
      <c r="E9" s="771">
        <f>C9/B9</f>
        <v>82.33326882319345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85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688" t="s">
        <v>703</v>
      </c>
      <c r="G11" s="54">
        <v>7900</v>
      </c>
      <c r="H11" s="54">
        <f>C8</f>
        <v>7600</v>
      </c>
      <c r="I11" s="490">
        <f>H11/G11*100</f>
        <v>96.202531645569621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84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/>
      <c r="C15" s="771" t="e">
        <f>(B15/C7)</f>
        <v>#DIV/0!</v>
      </c>
      <c r="D15" s="772"/>
      <c r="E15" s="779"/>
      <c r="F15" s="779"/>
      <c r="G15" s="780" t="e">
        <f>E15/C7</f>
        <v>#DIV/0!</v>
      </c>
      <c r="H15" s="780"/>
      <c r="I15" s="780"/>
      <c r="J15" s="594"/>
      <c r="K15" s="528"/>
      <c r="L15" s="365"/>
      <c r="M15" s="677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71160+44700+44400+65760+34680</f>
        <v>260700</v>
      </c>
      <c r="C16" s="771">
        <f>B16/C8</f>
        <v>34.30263157894737</v>
      </c>
      <c r="D16" s="772"/>
      <c r="E16" s="781">
        <f>10152+7297+7367+10542+5513</f>
        <v>40871</v>
      </c>
      <c r="F16" s="781"/>
      <c r="G16" s="782">
        <f>E16/C8</f>
        <v>5.3777631578947371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12363113</v>
      </c>
      <c r="C17" s="797">
        <f>B17/C9</f>
        <v>35.439522890861717</v>
      </c>
      <c r="D17" s="798"/>
      <c r="E17" s="799">
        <f>1809835+E16</f>
        <v>1850706</v>
      </c>
      <c r="F17" s="799"/>
      <c r="G17" s="800">
        <f>E17/C9</f>
        <v>5.3051474698366921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 t="e">
        <f>-(36.5-C15)*76.9*C7/10000</f>
        <v>#DIV/0!</v>
      </c>
      <c r="D18" s="934"/>
      <c r="E18" s="540"/>
      <c r="F18" s="540"/>
      <c r="G18" s="934" t="e">
        <f>-(5.3-G15)*593*C7/10000</f>
        <v>#DIV/0!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/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5056</v>
      </c>
      <c r="C25" s="785"/>
      <c r="D25" s="786"/>
      <c r="E25" s="787">
        <v>1440</v>
      </c>
      <c r="F25" s="788"/>
      <c r="G25" s="791">
        <v>3608</v>
      </c>
      <c r="H25" s="793">
        <f>B25+C25+C26-E25</f>
        <v>3616</v>
      </c>
      <c r="I25" s="793">
        <f>G25-H25</f>
        <v>-8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5346</v>
      </c>
      <c r="C27" s="813"/>
      <c r="D27" s="814"/>
      <c r="E27" s="815">
        <v>205</v>
      </c>
      <c r="F27" s="816"/>
      <c r="G27" s="801">
        <v>5153</v>
      </c>
      <c r="H27" s="803">
        <f>B27+C27+C28-E27-E29</f>
        <v>5141</v>
      </c>
      <c r="I27" s="803">
        <f>G27-H27</f>
        <v>12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10412</v>
      </c>
      <c r="C30" s="829"/>
      <c r="D30" s="830"/>
      <c r="E30" s="815">
        <v>206</v>
      </c>
      <c r="F30" s="816"/>
      <c r="G30" s="801">
        <v>10277</v>
      </c>
      <c r="H30" s="803">
        <f>B30+C30+C31-E30-E32</f>
        <v>10206</v>
      </c>
      <c r="I30" s="803">
        <f>G30-H30</f>
        <v>71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/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20814</v>
      </c>
      <c r="C33" s="821">
        <f>SUM(C25:D32)</f>
        <v>0</v>
      </c>
      <c r="D33" s="822"/>
      <c r="E33" s="821">
        <f>SUM(E25:F32)</f>
        <v>1851</v>
      </c>
      <c r="F33" s="822"/>
      <c r="G33" s="681">
        <f>G25+G27+G30</f>
        <v>19038</v>
      </c>
      <c r="H33" s="681">
        <f>H25+H27+H30</f>
        <v>18963</v>
      </c>
      <c r="I33" s="681">
        <f>I25+I27+I30</f>
        <v>75</v>
      </c>
      <c r="J33" s="327">
        <f>E33-E29-E32</f>
        <v>1851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872</v>
      </c>
      <c r="C34" s="823">
        <f>E29+E35+E32</f>
        <v>0</v>
      </c>
      <c r="D34" s="824"/>
      <c r="E34" s="823">
        <f>291+169</f>
        <v>460</v>
      </c>
      <c r="F34" s="824"/>
      <c r="G34" s="183">
        <f>167+245</f>
        <v>412</v>
      </c>
      <c r="H34" s="183">
        <f>B34+C34-E34</f>
        <v>412</v>
      </c>
      <c r="I34" s="183">
        <f>G34-H34</f>
        <v>0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4142</v>
      </c>
      <c r="C35" s="825"/>
      <c r="D35" s="826"/>
      <c r="E35" s="827"/>
      <c r="F35" s="828"/>
      <c r="G35" s="181">
        <v>4142</v>
      </c>
      <c r="H35" s="182">
        <f>B35+C35-E35</f>
        <v>4142</v>
      </c>
      <c r="I35" s="182">
        <f>G35-H35</f>
        <v>0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1701+344</f>
        <v>2045</v>
      </c>
      <c r="E36" s="79" t="s">
        <v>47</v>
      </c>
      <c r="F36" s="80" t="s">
        <v>46</v>
      </c>
      <c r="G36" s="55">
        <f>84040+D36</f>
        <v>86085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1032+172</f>
        <v>1204</v>
      </c>
      <c r="E37" s="79" t="s">
        <v>47</v>
      </c>
      <c r="F37" s="80" t="s">
        <v>46</v>
      </c>
      <c r="G37" s="55">
        <f>46327+D37</f>
        <v>47531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80" t="s">
        <v>34</v>
      </c>
      <c r="F41" s="680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>
        <v>1311</v>
      </c>
      <c r="O41" s="76">
        <v>46</v>
      </c>
      <c r="P41" s="76">
        <f t="shared" si="1"/>
        <v>1265</v>
      </c>
      <c r="Q41" s="10">
        <f t="shared" si="3"/>
        <v>1358.6100000000001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>
        <v>2018</v>
      </c>
      <c r="O42" s="76">
        <v>93</v>
      </c>
      <c r="P42" s="76">
        <f t="shared" si="1"/>
        <v>1925</v>
      </c>
      <c r="Q42" s="10">
        <f t="shared" si="3"/>
        <v>2067.4500000000003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86">
        <v>6730</v>
      </c>
      <c r="C43" s="883"/>
      <c r="D43" s="884"/>
      <c r="E43" s="686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>
        <v>973</v>
      </c>
      <c r="O43" s="76">
        <v>43</v>
      </c>
      <c r="P43" s="76">
        <f t="shared" si="1"/>
        <v>930</v>
      </c>
      <c r="Q43" s="10">
        <f t="shared" si="3"/>
        <v>998.82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86">
        <v>6347</v>
      </c>
      <c r="C44" s="883">
        <f>1569+2114+464+1600+300</f>
        <v>6047</v>
      </c>
      <c r="D44" s="884"/>
      <c r="E44" s="686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/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86">
        <v>6714</v>
      </c>
      <c r="C45" s="883"/>
      <c r="D45" s="884"/>
      <c r="E45" s="686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/>
      <c r="O45" s="76"/>
      <c r="P45" s="76">
        <f t="shared" si="1"/>
        <v>0</v>
      </c>
      <c r="Q45" s="10">
        <f t="shared" si="3"/>
        <v>0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86">
        <v>27400</v>
      </c>
      <c r="C46" s="883">
        <f>2006+2081+1392+1491+1299+1407+1300-200-1081+1241+1196+1217+1997+1358+2052+2021-100+450</f>
        <v>21127</v>
      </c>
      <c r="D46" s="884"/>
      <c r="E46" s="686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/>
      <c r="O46" s="76"/>
      <c r="P46" s="76">
        <f t="shared" si="1"/>
        <v>0</v>
      </c>
      <c r="Q46" s="10">
        <f t="shared" si="3"/>
        <v>0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86">
        <v>6800</v>
      </c>
      <c r="C47" s="883"/>
      <c r="D47" s="884"/>
      <c r="E47" s="686">
        <v>6800</v>
      </c>
      <c r="F47" s="447">
        <f t="shared" si="4"/>
        <v>0</v>
      </c>
      <c r="G47" s="883">
        <f t="shared" ref="G47:G48" si="10">SUM(E47:F47)</f>
        <v>6800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/>
      <c r="O47" s="76"/>
      <c r="P47" s="76">
        <f t="shared" si="1"/>
        <v>0</v>
      </c>
      <c r="Q47" s="10">
        <f t="shared" si="3"/>
        <v>0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86">
        <v>27531</v>
      </c>
      <c r="C48" s="883">
        <f>1359+2140+1356+1964+1362+1359+2067+999</f>
        <v>12606</v>
      </c>
      <c r="D48" s="884"/>
      <c r="E48" s="686">
        <f>27531-13280</f>
        <v>14251</v>
      </c>
      <c r="F48" s="447">
        <f t="shared" si="4"/>
        <v>674</v>
      </c>
      <c r="G48" s="883">
        <f t="shared" si="10"/>
        <v>14925</v>
      </c>
      <c r="H48" s="884"/>
      <c r="I48" s="450" t="s">
        <v>416</v>
      </c>
      <c r="J48" s="57"/>
      <c r="K48" s="57"/>
      <c r="L48" s="100" t="s">
        <v>656</v>
      </c>
      <c r="M48" s="11"/>
      <c r="N48" s="67"/>
      <c r="O48" s="76"/>
      <c r="P48" s="76">
        <f t="shared" si="1"/>
        <v>0</v>
      </c>
      <c r="Q48" s="10">
        <f t="shared" si="3"/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78">
        <f>SUM(B42:B48)</f>
        <v>88602</v>
      </c>
      <c r="C49" s="845">
        <f>SUM(C42:D48)</f>
        <v>39780</v>
      </c>
      <c r="D49" s="845"/>
      <c r="E49" s="678">
        <f>SUM(E42:E48)</f>
        <v>47305</v>
      </c>
      <c r="F49" s="678">
        <f>SUM(F42:F48)</f>
        <v>1517</v>
      </c>
      <c r="G49" s="845">
        <f>SUM(G42:H48)</f>
        <v>48822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3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3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3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3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79" t="s">
        <v>3</v>
      </c>
      <c r="C53" s="152" t="s">
        <v>82</v>
      </c>
      <c r="D53" s="679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3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105</v>
      </c>
      <c r="C54" s="154">
        <v>70</v>
      </c>
      <c r="D54" s="184">
        <v>29</v>
      </c>
      <c r="E54" s="153">
        <v>207</v>
      </c>
      <c r="F54" s="153">
        <v>23</v>
      </c>
      <c r="G54" s="185">
        <v>162</v>
      </c>
      <c r="H54" s="846">
        <f>B54+D54-F54</f>
        <v>111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3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59</v>
      </c>
      <c r="C55" s="682">
        <v>100</v>
      </c>
      <c r="D55" s="184">
        <v>29</v>
      </c>
      <c r="E55" s="153">
        <v>89</v>
      </c>
      <c r="F55" s="153">
        <v>20</v>
      </c>
      <c r="G55" s="185">
        <v>129</v>
      </c>
      <c r="H55" s="846">
        <f>B55+D55-F55</f>
        <v>68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164</v>
      </c>
      <c r="C56" s="149">
        <f>SUM(C54:C55)</f>
        <v>170</v>
      </c>
      <c r="D56" s="149">
        <f t="shared" ref="D56:G56" si="11">SUM(D54:D55)</f>
        <v>58</v>
      </c>
      <c r="E56" s="149">
        <f t="shared" si="11"/>
        <v>296</v>
      </c>
      <c r="F56" s="149">
        <f t="shared" si="11"/>
        <v>43</v>
      </c>
      <c r="G56" s="149">
        <f t="shared" si="11"/>
        <v>291</v>
      </c>
      <c r="H56" s="846">
        <f t="shared" ref="H56" si="12">B56+D56-F56</f>
        <v>179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3">SUM(M37:M69)</f>
        <v>0</v>
      </c>
      <c r="N70" s="120">
        <f t="shared" si="13"/>
        <v>7598</v>
      </c>
      <c r="O70" s="61">
        <f t="shared" si="13"/>
        <v>299</v>
      </c>
      <c r="P70" s="61">
        <f t="shared" si="13"/>
        <v>7299</v>
      </c>
      <c r="Q70" s="10">
        <f t="shared" ref="Q70" si="14">P70*(1-S70)*1.057</f>
        <v>7715.0429999999997</v>
      </c>
      <c r="R70" s="61">
        <f t="shared" si="13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H54:I54"/>
    <mergeCell ref="H55:I55"/>
    <mergeCell ref="H56:I56"/>
    <mergeCell ref="C49:D49"/>
    <mergeCell ref="G49:H49"/>
    <mergeCell ref="A52:A53"/>
    <mergeCell ref="B52:C52"/>
    <mergeCell ref="D52:E52"/>
    <mergeCell ref="F52:G52"/>
    <mergeCell ref="H52:I53"/>
    <mergeCell ref="C46:D46"/>
    <mergeCell ref="G46:H46"/>
    <mergeCell ref="C47:D47"/>
    <mergeCell ref="G47:H47"/>
    <mergeCell ref="C48:D48"/>
    <mergeCell ref="G48:H48"/>
    <mergeCell ref="C43:D43"/>
    <mergeCell ref="G43:H43"/>
    <mergeCell ref="C44:D44"/>
    <mergeCell ref="G44:H44"/>
    <mergeCell ref="C45:D45"/>
    <mergeCell ref="G45:H45"/>
    <mergeCell ref="A40:A41"/>
    <mergeCell ref="C40:D41"/>
    <mergeCell ref="E40:H40"/>
    <mergeCell ref="I40:I41"/>
    <mergeCell ref="G41:H4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B25:B26"/>
    <mergeCell ref="C25:D25"/>
    <mergeCell ref="E25:F26"/>
    <mergeCell ref="G25:G26"/>
    <mergeCell ref="H25:H26"/>
    <mergeCell ref="I25:I26"/>
    <mergeCell ref="C26:D26"/>
    <mergeCell ref="C17:D17"/>
    <mergeCell ref="E17:F17"/>
    <mergeCell ref="G17:I17"/>
    <mergeCell ref="C18:D18"/>
    <mergeCell ref="G18:I18"/>
    <mergeCell ref="A23:A24"/>
    <mergeCell ref="B23:B24"/>
    <mergeCell ref="C23:D24"/>
    <mergeCell ref="E23:F24"/>
    <mergeCell ref="G23:I23"/>
    <mergeCell ref="C15:D15"/>
    <mergeCell ref="E15:F15"/>
    <mergeCell ref="G15:I15"/>
    <mergeCell ref="C16:D16"/>
    <mergeCell ref="E16:F16"/>
    <mergeCell ref="G16:I16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Q5:R5"/>
    <mergeCell ref="H6:I6"/>
    <mergeCell ref="C7:D7"/>
    <mergeCell ref="E7:F7"/>
    <mergeCell ref="H7:I7"/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F0F9-F70F-41D9-A830-AC9B495558E2}">
  <dimension ref="A1:U89"/>
  <sheetViews>
    <sheetView topLeftCell="A4" workbookViewId="0">
      <selection activeCell="L30" sqref="L30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83"/>
      <c r="B2" s="683"/>
      <c r="C2" s="683"/>
      <c r="D2" s="683"/>
      <c r="E2" s="683"/>
      <c r="F2" s="683"/>
      <c r="G2" s="683"/>
      <c r="H2" s="683"/>
      <c r="I2" s="683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59" t="s">
        <v>704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85"/>
      <c r="P5" s="685"/>
      <c r="Q5" s="748"/>
      <c r="R5" s="748"/>
      <c r="S5" s="685"/>
      <c r="T5" s="685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85"/>
      <c r="P6" s="82"/>
      <c r="Q6" s="685"/>
      <c r="R6" s="82"/>
      <c r="S6" s="82"/>
      <c r="T6" s="293"/>
      <c r="U6" s="107"/>
    </row>
    <row r="7" spans="1:21" ht="18.8" thickTop="1">
      <c r="A7" s="19" t="s">
        <v>14</v>
      </c>
      <c r="B7" s="20">
        <v>22.13</v>
      </c>
      <c r="C7" s="751">
        <v>1787</v>
      </c>
      <c r="D7" s="752"/>
      <c r="E7" s="753">
        <f>(C7/B7)+0.04</f>
        <v>80.790112968820608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85"/>
      <c r="P7" s="22"/>
      <c r="Q7" s="17"/>
      <c r="R7" s="17"/>
      <c r="S7" s="17"/>
      <c r="U7" s="369"/>
    </row>
    <row r="8" spans="1:21">
      <c r="A8" s="23" t="s">
        <v>15</v>
      </c>
      <c r="B8" s="74">
        <f>23.5+15.66+15.5+24+11.7+22.13</f>
        <v>112.49</v>
      </c>
      <c r="C8" s="769">
        <f>1982+1315+1311+2019+973+1787</f>
        <v>9387</v>
      </c>
      <c r="D8" s="770"/>
      <c r="E8" s="771">
        <f>C8/B8</f>
        <v>83.447417548226511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85"/>
      <c r="P8" s="22"/>
      <c r="Q8" s="14"/>
      <c r="T8" s="107"/>
      <c r="U8" s="107"/>
    </row>
    <row r="9" spans="1:21">
      <c r="A9" s="23" t="s">
        <v>16</v>
      </c>
      <c r="B9" s="24">
        <f>4146.7+B8</f>
        <v>4259.1899999999996</v>
      </c>
      <c r="C9" s="774">
        <f>341251+C8</f>
        <v>350638</v>
      </c>
      <c r="D9" s="775"/>
      <c r="E9" s="771">
        <f>C9/B9</f>
        <v>82.325043024612668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85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688" t="s">
        <v>705</v>
      </c>
      <c r="G11" s="54">
        <v>7900</v>
      </c>
      <c r="H11" s="54">
        <f>C8</f>
        <v>9387</v>
      </c>
      <c r="I11" s="490">
        <f>H11/G11*100</f>
        <v>118.82278481012658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84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65760</v>
      </c>
      <c r="C15" s="771">
        <f>(B15/C7)</f>
        <v>36.799104644655849</v>
      </c>
      <c r="D15" s="772"/>
      <c r="E15" s="779">
        <v>10370</v>
      </c>
      <c r="F15" s="779"/>
      <c r="G15" s="780">
        <f>E15/C7</f>
        <v>5.8030218242865139</v>
      </c>
      <c r="H15" s="780"/>
      <c r="I15" s="780"/>
      <c r="J15" s="594"/>
      <c r="K15" s="528"/>
      <c r="L15" s="365"/>
      <c r="M15" s="677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71160+44700+44400+65760+34680+65760</f>
        <v>326460</v>
      </c>
      <c r="C16" s="771">
        <f>B16/C8</f>
        <v>34.777884308085653</v>
      </c>
      <c r="D16" s="772"/>
      <c r="E16" s="781">
        <f>10152+7297+7367+10542+5513+10370</f>
        <v>51241</v>
      </c>
      <c r="F16" s="781"/>
      <c r="G16" s="782">
        <f>E16/C8</f>
        <v>5.4587195056993716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12428873</v>
      </c>
      <c r="C17" s="797">
        <f>B17/C9</f>
        <v>35.446451896257678</v>
      </c>
      <c r="D17" s="798"/>
      <c r="E17" s="799">
        <f>1809835+E16</f>
        <v>1861076</v>
      </c>
      <c r="F17" s="799"/>
      <c r="G17" s="800">
        <f>E17/C9</f>
        <v>5.3076848487614008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4.1103050000000101</v>
      </c>
      <c r="D18" s="934"/>
      <c r="E18" s="540"/>
      <c r="F18" s="540"/>
      <c r="G18" s="934">
        <f>-(5.3-G15)*593*C7/10000</f>
        <v>53.30477000000004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/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3609</v>
      </c>
      <c r="C25" s="785">
        <v>1787</v>
      </c>
      <c r="D25" s="786"/>
      <c r="E25" s="787">
        <v>1297</v>
      </c>
      <c r="F25" s="788"/>
      <c r="G25" s="791">
        <v>4381</v>
      </c>
      <c r="H25" s="793">
        <f>B25+C25+C26-E25</f>
        <v>4099</v>
      </c>
      <c r="I25" s="793">
        <f>G25-H25</f>
        <v>282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5253</v>
      </c>
      <c r="C27" s="813"/>
      <c r="D27" s="814"/>
      <c r="E27" s="815">
        <v>263</v>
      </c>
      <c r="F27" s="816"/>
      <c r="G27" s="801">
        <v>4960</v>
      </c>
      <c r="H27" s="803">
        <f>B27+C27+C28-E27-E29</f>
        <v>4990</v>
      </c>
      <c r="I27" s="803">
        <f>G27-H27</f>
        <v>-30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10277</v>
      </c>
      <c r="C30" s="829"/>
      <c r="D30" s="830"/>
      <c r="E30" s="815"/>
      <c r="F30" s="816"/>
      <c r="G30" s="801">
        <v>9961</v>
      </c>
      <c r="H30" s="803">
        <f>B30+C30+C31-E30-E32</f>
        <v>9938</v>
      </c>
      <c r="I30" s="803">
        <f>G30-H30</f>
        <v>23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>
        <v>339</v>
      </c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19139</v>
      </c>
      <c r="C33" s="821">
        <f>SUM(C25:D32)</f>
        <v>1787</v>
      </c>
      <c r="D33" s="822"/>
      <c r="E33" s="821">
        <f>SUM(E25:F32)</f>
        <v>1899</v>
      </c>
      <c r="F33" s="822"/>
      <c r="G33" s="681">
        <f>G25+G27+G30</f>
        <v>19302</v>
      </c>
      <c r="H33" s="681">
        <f>H25+H27+H30</f>
        <v>19027</v>
      </c>
      <c r="I33" s="681">
        <f>I25+I27+I30</f>
        <v>275</v>
      </c>
      <c r="J33" s="327">
        <f>E33-E29-E32</f>
        <v>1560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412</v>
      </c>
      <c r="C34" s="823">
        <f>E29+E35+E32</f>
        <v>678</v>
      </c>
      <c r="D34" s="824"/>
      <c r="E34" s="823">
        <f>413+145</f>
        <v>558</v>
      </c>
      <c r="F34" s="824"/>
      <c r="G34" s="183">
        <v>532</v>
      </c>
      <c r="H34" s="183">
        <f>B34+C34-E34</f>
        <v>532</v>
      </c>
      <c r="I34" s="183">
        <f>G34-H34</f>
        <v>0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4142</v>
      </c>
      <c r="C35" s="825"/>
      <c r="D35" s="826"/>
      <c r="E35" s="827">
        <v>339</v>
      </c>
      <c r="F35" s="828"/>
      <c r="G35" s="181">
        <v>4487</v>
      </c>
      <c r="H35" s="182">
        <f>B35+C35-E35</f>
        <v>3803</v>
      </c>
      <c r="I35" s="182">
        <f>G35-H35</f>
        <v>684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1701+344+678</f>
        <v>2723</v>
      </c>
      <c r="E36" s="79" t="s">
        <v>47</v>
      </c>
      <c r="F36" s="80" t="s">
        <v>46</v>
      </c>
      <c r="G36" s="55">
        <f>84040+D36</f>
        <v>86763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1032+172+339</f>
        <v>1543</v>
      </c>
      <c r="E37" s="79" t="s">
        <v>47</v>
      </c>
      <c r="F37" s="80" t="s">
        <v>46</v>
      </c>
      <c r="G37" s="55">
        <f>46327+D37</f>
        <v>47870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80" t="s">
        <v>34</v>
      </c>
      <c r="F41" s="680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>
        <v>1311</v>
      </c>
      <c r="O41" s="76">
        <v>46</v>
      </c>
      <c r="P41" s="76">
        <f t="shared" si="1"/>
        <v>1265</v>
      </c>
      <c r="Q41" s="10">
        <f t="shared" si="3"/>
        <v>1358.6100000000001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>
        <v>2018</v>
      </c>
      <c r="O42" s="76">
        <v>93</v>
      </c>
      <c r="P42" s="76">
        <f t="shared" si="1"/>
        <v>1925</v>
      </c>
      <c r="Q42" s="10">
        <f t="shared" si="3"/>
        <v>2067.4500000000003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86">
        <v>6730</v>
      </c>
      <c r="C43" s="883"/>
      <c r="D43" s="884"/>
      <c r="E43" s="686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>
        <v>973</v>
      </c>
      <c r="O43" s="76">
        <v>43</v>
      </c>
      <c r="P43" s="76">
        <f t="shared" si="1"/>
        <v>930</v>
      </c>
      <c r="Q43" s="10">
        <f t="shared" si="3"/>
        <v>998.82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86">
        <v>6347</v>
      </c>
      <c r="C44" s="883">
        <f>1569+2114+464+1600+300</f>
        <v>6047</v>
      </c>
      <c r="D44" s="884"/>
      <c r="E44" s="686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>
        <v>0</v>
      </c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86">
        <v>6714</v>
      </c>
      <c r="C45" s="883"/>
      <c r="D45" s="884"/>
      <c r="E45" s="686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>
        <v>1787</v>
      </c>
      <c r="O45" s="76">
        <v>59</v>
      </c>
      <c r="P45" s="76">
        <f t="shared" si="1"/>
        <v>1728</v>
      </c>
      <c r="Q45" s="10">
        <f t="shared" si="3"/>
        <v>1855.8720000000001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86">
        <v>27400</v>
      </c>
      <c r="C46" s="883">
        <f>2006+2081+1392+1491+1299+1407+1300-200-1081+1241+1196+1217+1997+1358+2052+2021-100+450</f>
        <v>21127</v>
      </c>
      <c r="D46" s="884"/>
      <c r="E46" s="686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/>
      <c r="O46" s="76"/>
      <c r="P46" s="76">
        <f t="shared" si="1"/>
        <v>0</v>
      </c>
      <c r="Q46" s="10">
        <f t="shared" si="3"/>
        <v>0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86">
        <v>6800</v>
      </c>
      <c r="C47" s="883">
        <f>1856</f>
        <v>1856</v>
      </c>
      <c r="D47" s="884"/>
      <c r="E47" s="686">
        <f>6800-5050</f>
        <v>1750</v>
      </c>
      <c r="F47" s="447">
        <f t="shared" si="4"/>
        <v>3194</v>
      </c>
      <c r="G47" s="883">
        <f t="shared" ref="G47:G48" si="10">SUM(E47:F47)</f>
        <v>4944</v>
      </c>
      <c r="H47" s="884"/>
      <c r="I47" s="450" t="s">
        <v>416</v>
      </c>
      <c r="J47" s="57">
        <f t="shared" si="8"/>
        <v>0</v>
      </c>
      <c r="K47" s="57"/>
      <c r="L47" s="100" t="s">
        <v>655</v>
      </c>
      <c r="M47" s="11"/>
      <c r="N47" s="67"/>
      <c r="O47" s="76"/>
      <c r="P47" s="76">
        <f t="shared" si="1"/>
        <v>0</v>
      </c>
      <c r="Q47" s="10">
        <f t="shared" si="3"/>
        <v>0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86">
        <v>27531</v>
      </c>
      <c r="C48" s="883">
        <f>1359+2140+1356+1964+1362+1359+2067+999</f>
        <v>12606</v>
      </c>
      <c r="D48" s="884"/>
      <c r="E48" s="686">
        <f>27531-13280</f>
        <v>14251</v>
      </c>
      <c r="F48" s="447">
        <f t="shared" si="4"/>
        <v>674</v>
      </c>
      <c r="G48" s="883">
        <f t="shared" si="10"/>
        <v>14925</v>
      </c>
      <c r="H48" s="884"/>
      <c r="I48" s="450"/>
      <c r="J48" s="57"/>
      <c r="K48" s="57"/>
      <c r="L48" s="100" t="s">
        <v>656</v>
      </c>
      <c r="M48" s="11"/>
      <c r="N48" s="67"/>
      <c r="O48" s="76"/>
      <c r="P48" s="76">
        <f t="shared" si="1"/>
        <v>0</v>
      </c>
      <c r="Q48" s="10">
        <f t="shared" si="3"/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78">
        <f>SUM(B42:B48)</f>
        <v>88602</v>
      </c>
      <c r="C49" s="845">
        <f>SUM(C42:D48)</f>
        <v>41636</v>
      </c>
      <c r="D49" s="845"/>
      <c r="E49" s="678">
        <f>SUM(E42:E48)</f>
        <v>42255</v>
      </c>
      <c r="F49" s="678">
        <f>SUM(F42:F48)</f>
        <v>4711</v>
      </c>
      <c r="G49" s="845">
        <f>SUM(G42:H48)</f>
        <v>46966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3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3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3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3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79" t="s">
        <v>3</v>
      </c>
      <c r="C53" s="152" t="s">
        <v>82</v>
      </c>
      <c r="D53" s="679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3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105</v>
      </c>
      <c r="C54" s="154">
        <v>70</v>
      </c>
      <c r="D54" s="184">
        <v>29</v>
      </c>
      <c r="E54" s="153">
        <v>207</v>
      </c>
      <c r="F54" s="153">
        <v>23</v>
      </c>
      <c r="G54" s="185">
        <v>162</v>
      </c>
      <c r="H54" s="846">
        <f>B54+D54-F54</f>
        <v>111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3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59</v>
      </c>
      <c r="C55" s="682">
        <v>100</v>
      </c>
      <c r="D55" s="184">
        <v>29</v>
      </c>
      <c r="E55" s="153">
        <v>89</v>
      </c>
      <c r="F55" s="153">
        <v>20</v>
      </c>
      <c r="G55" s="185">
        <v>129</v>
      </c>
      <c r="H55" s="846">
        <f>B55+D55-F55</f>
        <v>68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164</v>
      </c>
      <c r="C56" s="149">
        <f>SUM(C54:C55)</f>
        <v>170</v>
      </c>
      <c r="D56" s="149">
        <f t="shared" ref="D56:G56" si="11">SUM(D54:D55)</f>
        <v>58</v>
      </c>
      <c r="E56" s="149">
        <f t="shared" si="11"/>
        <v>296</v>
      </c>
      <c r="F56" s="149">
        <f t="shared" si="11"/>
        <v>43</v>
      </c>
      <c r="G56" s="149">
        <f t="shared" si="11"/>
        <v>291</v>
      </c>
      <c r="H56" s="846">
        <f t="shared" ref="H56" si="12">B56+D56-F56</f>
        <v>179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3">SUM(M37:M69)</f>
        <v>0</v>
      </c>
      <c r="N70" s="120">
        <f t="shared" si="13"/>
        <v>9385</v>
      </c>
      <c r="O70" s="61">
        <f t="shared" si="13"/>
        <v>358</v>
      </c>
      <c r="P70" s="61">
        <f t="shared" si="13"/>
        <v>9027</v>
      </c>
      <c r="Q70" s="10">
        <f t="shared" ref="Q70" si="14">P70*(1-S70)*1.057</f>
        <v>9541.5389999999989</v>
      </c>
      <c r="R70" s="61">
        <f t="shared" si="13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H54:I54"/>
    <mergeCell ref="H55:I55"/>
    <mergeCell ref="H56:I56"/>
    <mergeCell ref="C49:D49"/>
    <mergeCell ref="G49:H49"/>
    <mergeCell ref="A52:A53"/>
    <mergeCell ref="B52:C52"/>
    <mergeCell ref="D52:E52"/>
    <mergeCell ref="F52:G52"/>
    <mergeCell ref="H52:I53"/>
    <mergeCell ref="C46:D46"/>
    <mergeCell ref="G46:H46"/>
    <mergeCell ref="C47:D47"/>
    <mergeCell ref="G47:H47"/>
    <mergeCell ref="C48:D48"/>
    <mergeCell ref="G48:H48"/>
    <mergeCell ref="C43:D43"/>
    <mergeCell ref="G43:H43"/>
    <mergeCell ref="C44:D44"/>
    <mergeCell ref="G44:H44"/>
    <mergeCell ref="C45:D45"/>
    <mergeCell ref="G45:H45"/>
    <mergeCell ref="A40:A41"/>
    <mergeCell ref="C40:D41"/>
    <mergeCell ref="E40:H40"/>
    <mergeCell ref="I40:I41"/>
    <mergeCell ref="G41:H4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B25:B26"/>
    <mergeCell ref="C25:D25"/>
    <mergeCell ref="E25:F26"/>
    <mergeCell ref="G25:G26"/>
    <mergeCell ref="H25:H26"/>
    <mergeCell ref="I25:I26"/>
    <mergeCell ref="C26:D26"/>
    <mergeCell ref="C17:D17"/>
    <mergeCell ref="E17:F17"/>
    <mergeCell ref="G17:I17"/>
    <mergeCell ref="C18:D18"/>
    <mergeCell ref="G18:I18"/>
    <mergeCell ref="A23:A24"/>
    <mergeCell ref="B23:B24"/>
    <mergeCell ref="C23:D24"/>
    <mergeCell ref="E23:F24"/>
    <mergeCell ref="G23:I23"/>
    <mergeCell ref="C15:D15"/>
    <mergeCell ref="E15:F15"/>
    <mergeCell ref="G15:I15"/>
    <mergeCell ref="C16:D16"/>
    <mergeCell ref="E16:F16"/>
    <mergeCell ref="G16:I16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Q5:R5"/>
    <mergeCell ref="H6:I6"/>
    <mergeCell ref="C7:D7"/>
    <mergeCell ref="E7:F7"/>
    <mergeCell ref="H7:I7"/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C39F-9A16-4376-81AE-C4A16CE9EABE}">
  <dimension ref="A1:U89"/>
  <sheetViews>
    <sheetView topLeftCell="A28" workbookViewId="0">
      <selection activeCell="O31" sqref="O31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83"/>
      <c r="B2" s="683"/>
      <c r="C2" s="683"/>
      <c r="D2" s="683"/>
      <c r="E2" s="683"/>
      <c r="F2" s="683"/>
      <c r="G2" s="683"/>
      <c r="H2" s="683"/>
      <c r="I2" s="683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59" t="s">
        <v>706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85"/>
      <c r="P5" s="685"/>
      <c r="Q5" s="748"/>
      <c r="R5" s="748"/>
      <c r="S5" s="685"/>
      <c r="T5" s="685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85"/>
      <c r="P6" s="82"/>
      <c r="Q6" s="685"/>
      <c r="R6" s="82"/>
      <c r="S6" s="82"/>
      <c r="T6" s="293"/>
      <c r="U6" s="107"/>
    </row>
    <row r="7" spans="1:21" ht="18.8" thickTop="1">
      <c r="A7" s="19" t="s">
        <v>14</v>
      </c>
      <c r="B7" s="20">
        <v>23.8</v>
      </c>
      <c r="C7" s="751">
        <v>1952</v>
      </c>
      <c r="D7" s="752"/>
      <c r="E7" s="753">
        <f>(C7/B7)+0.04</f>
        <v>82.056806722689075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85"/>
      <c r="P7" s="22"/>
      <c r="Q7" s="17"/>
      <c r="R7" s="17"/>
      <c r="S7" s="17"/>
      <c r="U7" s="369"/>
    </row>
    <row r="8" spans="1:21">
      <c r="A8" s="23" t="s">
        <v>15</v>
      </c>
      <c r="B8" s="74">
        <f>23.5+15.66+15.5+24+11.7+22.13+23.8</f>
        <v>136.29</v>
      </c>
      <c r="C8" s="769">
        <f>11341</f>
        <v>11341</v>
      </c>
      <c r="D8" s="770"/>
      <c r="E8" s="771">
        <f>C8/B8</f>
        <v>83.212267958030679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85"/>
      <c r="P8" s="22"/>
      <c r="Q8" s="14"/>
      <c r="T8" s="107"/>
      <c r="U8" s="107"/>
    </row>
    <row r="9" spans="1:21">
      <c r="A9" s="23" t="s">
        <v>16</v>
      </c>
      <c r="B9" s="24">
        <f>4146.7+B8</f>
        <v>4282.99</v>
      </c>
      <c r="C9" s="774">
        <f>341251+C8</f>
        <v>352592</v>
      </c>
      <c r="D9" s="775"/>
      <c r="E9" s="771">
        <f>C9/B9</f>
        <v>82.32379716039496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85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688" t="s">
        <v>707</v>
      </c>
      <c r="G11" s="54">
        <v>12500</v>
      </c>
      <c r="H11" s="54">
        <f>C8</f>
        <v>11341</v>
      </c>
      <c r="I11" s="490">
        <f>H11/G11*100</f>
        <v>90.727999999999994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84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64020</v>
      </c>
      <c r="C15" s="771">
        <f>(B15/C7)</f>
        <v>32.797131147540981</v>
      </c>
      <c r="D15" s="772"/>
      <c r="E15" s="779">
        <v>10729</v>
      </c>
      <c r="F15" s="779"/>
      <c r="G15" s="780">
        <f>E15/C7</f>
        <v>5.4964139344262293</v>
      </c>
      <c r="H15" s="780"/>
      <c r="I15" s="780"/>
      <c r="J15" s="594"/>
      <c r="K15" s="528"/>
      <c r="L15" s="365"/>
      <c r="M15" s="677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71160+44700+44400+65760+34680+65760+64020</f>
        <v>390480</v>
      </c>
      <c r="C16" s="771">
        <f>B16/C8</f>
        <v>34.430826205801957</v>
      </c>
      <c r="D16" s="772"/>
      <c r="E16" s="781">
        <f>10152+7297+7367+10542+5513+10370+10729</f>
        <v>61970</v>
      </c>
      <c r="F16" s="781"/>
      <c r="G16" s="782">
        <f>E16/C8</f>
        <v>5.4642447755929808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12492893</v>
      </c>
      <c r="C17" s="797">
        <f>B17/C9</f>
        <v>35.431583813586244</v>
      </c>
      <c r="D17" s="798"/>
      <c r="E17" s="799">
        <f>1809835+E16</f>
        <v>1871805</v>
      </c>
      <c r="F17" s="799"/>
      <c r="G17" s="800">
        <f>E17/C9</f>
        <v>5.3086995734446614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-55.583320000000043</v>
      </c>
      <c r="D18" s="934"/>
      <c r="E18" s="540"/>
      <c r="F18" s="540"/>
      <c r="G18" s="934">
        <f>-(5.3-G15)*593*C7/10000</f>
        <v>22.735619999999994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/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4381</v>
      </c>
      <c r="C25" s="785">
        <v>1952</v>
      </c>
      <c r="D25" s="786"/>
      <c r="E25" s="787">
        <v>1131</v>
      </c>
      <c r="F25" s="788"/>
      <c r="G25" s="791">
        <v>5056</v>
      </c>
      <c r="H25" s="793">
        <f>B25+C25+C26-E25</f>
        <v>5202</v>
      </c>
      <c r="I25" s="793">
        <f>G25-H25</f>
        <v>-146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4960</v>
      </c>
      <c r="C27" s="813"/>
      <c r="D27" s="814"/>
      <c r="E27" s="815">
        <v>262</v>
      </c>
      <c r="F27" s="816"/>
      <c r="G27" s="801">
        <v>4768</v>
      </c>
      <c r="H27" s="803">
        <f>B27+C27+C28-E27-E29</f>
        <v>4698</v>
      </c>
      <c r="I27" s="803">
        <f>G27-H27</f>
        <v>70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9961</v>
      </c>
      <c r="C30" s="829"/>
      <c r="D30" s="830"/>
      <c r="E30" s="815">
        <v>59</v>
      </c>
      <c r="F30" s="816"/>
      <c r="G30" s="801">
        <v>9645</v>
      </c>
      <c r="H30" s="803">
        <f>B30+C30+C31-E30-E32</f>
        <v>9627</v>
      </c>
      <c r="I30" s="803">
        <f>G30-H30</f>
        <v>18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>
        <v>275</v>
      </c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19302</v>
      </c>
      <c r="C33" s="821">
        <f>SUM(C25:D32)</f>
        <v>1952</v>
      </c>
      <c r="D33" s="822"/>
      <c r="E33" s="821">
        <f>SUM(E25:F32)</f>
        <v>1727</v>
      </c>
      <c r="F33" s="822"/>
      <c r="G33" s="681">
        <f>G25+G27+G30</f>
        <v>19469</v>
      </c>
      <c r="H33" s="681">
        <f>H25+H27+H30</f>
        <v>19527</v>
      </c>
      <c r="I33" s="681">
        <f>I25+I27+I30</f>
        <v>-58</v>
      </c>
      <c r="J33" s="327">
        <f>E33-E29-E32</f>
        <v>1452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532</v>
      </c>
      <c r="C34" s="823">
        <f>E29+E35+E32</f>
        <v>750</v>
      </c>
      <c r="D34" s="824"/>
      <c r="E34" s="823">
        <f>232+293</f>
        <v>525</v>
      </c>
      <c r="F34" s="824"/>
      <c r="G34" s="183">
        <f>446+505</f>
        <v>951</v>
      </c>
      <c r="H34" s="183">
        <f>B34+C34-E34</f>
        <v>757</v>
      </c>
      <c r="I34" s="183">
        <f>G34-H34</f>
        <v>194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4487</v>
      </c>
      <c r="C35" s="825"/>
      <c r="D35" s="826"/>
      <c r="E35" s="827">
        <v>475</v>
      </c>
      <c r="F35" s="828"/>
      <c r="G35" s="181">
        <v>4026</v>
      </c>
      <c r="H35" s="182">
        <f>B35+C35-E35</f>
        <v>4012</v>
      </c>
      <c r="I35" s="182">
        <f>G35-H35</f>
        <v>14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1701+344+678+750</f>
        <v>3473</v>
      </c>
      <c r="E36" s="79" t="s">
        <v>47</v>
      </c>
      <c r="F36" s="80" t="s">
        <v>46</v>
      </c>
      <c r="G36" s="55">
        <f>84040+D36</f>
        <v>87513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1032+172+339+475</f>
        <v>2018</v>
      </c>
      <c r="E37" s="79" t="s">
        <v>47</v>
      </c>
      <c r="F37" s="80" t="s">
        <v>46</v>
      </c>
      <c r="G37" s="55">
        <f>46327+D37</f>
        <v>48345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80" t="s">
        <v>34</v>
      </c>
      <c r="F41" s="680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>
        <v>1311</v>
      </c>
      <c r="O41" s="76">
        <v>46</v>
      </c>
      <c r="P41" s="76">
        <f t="shared" si="1"/>
        <v>1265</v>
      </c>
      <c r="Q41" s="10">
        <f t="shared" si="3"/>
        <v>1358.6100000000001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>
        <v>2018</v>
      </c>
      <c r="O42" s="76">
        <v>93</v>
      </c>
      <c r="P42" s="76">
        <f t="shared" si="1"/>
        <v>1925</v>
      </c>
      <c r="Q42" s="10">
        <f t="shared" si="3"/>
        <v>2067.4500000000003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86">
        <v>6730</v>
      </c>
      <c r="C43" s="883"/>
      <c r="D43" s="884"/>
      <c r="E43" s="686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>
        <v>973</v>
      </c>
      <c r="O43" s="76">
        <v>43</v>
      </c>
      <c r="P43" s="76">
        <f t="shared" si="1"/>
        <v>930</v>
      </c>
      <c r="Q43" s="10">
        <f t="shared" si="3"/>
        <v>998.82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86">
        <v>6347</v>
      </c>
      <c r="C44" s="883">
        <f>1569+2114+464+1600+300</f>
        <v>6047</v>
      </c>
      <c r="D44" s="884"/>
      <c r="E44" s="686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>
        <v>0</v>
      </c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86">
        <v>6714</v>
      </c>
      <c r="C45" s="883"/>
      <c r="D45" s="884"/>
      <c r="E45" s="686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>
        <v>1787</v>
      </c>
      <c r="O45" s="76">
        <v>59</v>
      </c>
      <c r="P45" s="76">
        <f t="shared" si="1"/>
        <v>1728</v>
      </c>
      <c r="Q45" s="10">
        <f t="shared" si="3"/>
        <v>1855.8720000000001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86">
        <v>27400</v>
      </c>
      <c r="C46" s="883">
        <f>2006+2081+1392+1491+1299+1407+1300-200-1081+1241+1196+1217+1997+1358+2052+2021-100+450</f>
        <v>21127</v>
      </c>
      <c r="D46" s="884"/>
      <c r="E46" s="686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>
        <v>1952</v>
      </c>
      <c r="O46" s="76">
        <v>69</v>
      </c>
      <c r="P46" s="76">
        <f t="shared" si="1"/>
        <v>1883</v>
      </c>
      <c r="Q46" s="10">
        <f t="shared" si="3"/>
        <v>2022.3420000000001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86">
        <v>6800</v>
      </c>
      <c r="C47" s="883">
        <f>1856</f>
        <v>1856</v>
      </c>
      <c r="D47" s="884"/>
      <c r="E47" s="686">
        <f>6800-5050-458</f>
        <v>1292</v>
      </c>
      <c r="F47" s="447">
        <f t="shared" si="4"/>
        <v>3652</v>
      </c>
      <c r="G47" s="883">
        <f t="shared" ref="G47:G48" si="10">SUM(E47:F47)</f>
        <v>4944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/>
      <c r="O47" s="76"/>
      <c r="P47" s="76">
        <f t="shared" si="1"/>
        <v>0</v>
      </c>
      <c r="Q47" s="10">
        <f t="shared" si="3"/>
        <v>0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86">
        <v>27531</v>
      </c>
      <c r="C48" s="883">
        <f>1359+2140+1356+1964+1362+1359+2067+999+2022</f>
        <v>14628</v>
      </c>
      <c r="D48" s="884"/>
      <c r="E48" s="686">
        <f>27531-13280-3330</f>
        <v>10921</v>
      </c>
      <c r="F48" s="447">
        <f t="shared" si="4"/>
        <v>1982</v>
      </c>
      <c r="G48" s="883">
        <f t="shared" si="10"/>
        <v>12903</v>
      </c>
      <c r="H48" s="884"/>
      <c r="I48" s="450" t="s">
        <v>416</v>
      </c>
      <c r="J48" s="57"/>
      <c r="K48" s="57"/>
      <c r="L48" s="100" t="s">
        <v>656</v>
      </c>
      <c r="M48" s="11"/>
      <c r="N48" s="67"/>
      <c r="O48" s="76"/>
      <c r="P48" s="76">
        <f t="shared" si="1"/>
        <v>0</v>
      </c>
      <c r="Q48" s="10">
        <f t="shared" si="3"/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78">
        <f>SUM(B42:B48)</f>
        <v>88602</v>
      </c>
      <c r="C49" s="845">
        <f>SUM(C42:D48)</f>
        <v>43658</v>
      </c>
      <c r="D49" s="845"/>
      <c r="E49" s="678">
        <f>SUM(E42:E48)</f>
        <v>38467</v>
      </c>
      <c r="F49" s="678">
        <f>SUM(F42:F48)</f>
        <v>6477</v>
      </c>
      <c r="G49" s="845">
        <f>SUM(G42:H48)</f>
        <v>44944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3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3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3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3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79" t="s">
        <v>3</v>
      </c>
      <c r="C53" s="152" t="s">
        <v>82</v>
      </c>
      <c r="D53" s="679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3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99</v>
      </c>
      <c r="C54" s="154">
        <v>70</v>
      </c>
      <c r="D54" s="184">
        <v>31</v>
      </c>
      <c r="E54" s="153">
        <v>296</v>
      </c>
      <c r="F54" s="153">
        <v>46</v>
      </c>
      <c r="G54" s="185">
        <v>267</v>
      </c>
      <c r="H54" s="846">
        <f>B54+D54-F54</f>
        <v>84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3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255</v>
      </c>
      <c r="C55" s="682">
        <v>100</v>
      </c>
      <c r="D55" s="184">
        <v>115</v>
      </c>
      <c r="E55" s="153">
        <v>261</v>
      </c>
      <c r="F55" s="153">
        <v>22</v>
      </c>
      <c r="G55" s="185">
        <v>106</v>
      </c>
      <c r="H55" s="846">
        <f>B55+D55-F55</f>
        <v>348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354</v>
      </c>
      <c r="C56" s="149">
        <f>SUM(C54:C55)</f>
        <v>170</v>
      </c>
      <c r="D56" s="149">
        <f t="shared" ref="D56:G56" si="11">SUM(D54:D55)</f>
        <v>146</v>
      </c>
      <c r="E56" s="149">
        <f t="shared" si="11"/>
        <v>557</v>
      </c>
      <c r="F56" s="149">
        <f t="shared" si="11"/>
        <v>68</v>
      </c>
      <c r="G56" s="149">
        <f t="shared" si="11"/>
        <v>373</v>
      </c>
      <c r="H56" s="846">
        <f t="shared" ref="H56" si="12">B56+D56-F56</f>
        <v>432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3">SUM(M37:M69)</f>
        <v>0</v>
      </c>
      <c r="N70" s="120">
        <f t="shared" si="13"/>
        <v>11337</v>
      </c>
      <c r="O70" s="61">
        <f t="shared" si="13"/>
        <v>427</v>
      </c>
      <c r="P70" s="61">
        <f t="shared" si="13"/>
        <v>10910</v>
      </c>
      <c r="Q70" s="10">
        <f t="shared" ref="Q70" si="14">P70*(1-S70)*1.057</f>
        <v>11531.869999999999</v>
      </c>
      <c r="R70" s="61">
        <f t="shared" si="13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H54:I54"/>
    <mergeCell ref="H55:I55"/>
    <mergeCell ref="H56:I56"/>
    <mergeCell ref="C49:D49"/>
    <mergeCell ref="G49:H49"/>
    <mergeCell ref="A52:A53"/>
    <mergeCell ref="B52:C52"/>
    <mergeCell ref="D52:E52"/>
    <mergeCell ref="F52:G52"/>
    <mergeCell ref="H52:I53"/>
    <mergeCell ref="C46:D46"/>
    <mergeCell ref="G46:H46"/>
    <mergeCell ref="C47:D47"/>
    <mergeCell ref="G47:H47"/>
    <mergeCell ref="C48:D48"/>
    <mergeCell ref="G48:H48"/>
    <mergeCell ref="C43:D43"/>
    <mergeCell ref="G43:H43"/>
    <mergeCell ref="C44:D44"/>
    <mergeCell ref="G44:H44"/>
    <mergeCell ref="C45:D45"/>
    <mergeCell ref="G45:H45"/>
    <mergeCell ref="A40:A41"/>
    <mergeCell ref="C40:D41"/>
    <mergeCell ref="E40:H40"/>
    <mergeCell ref="I40:I41"/>
    <mergeCell ref="G41:H4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B25:B26"/>
    <mergeCell ref="C25:D25"/>
    <mergeCell ref="E25:F26"/>
    <mergeCell ref="G25:G26"/>
    <mergeCell ref="H25:H26"/>
    <mergeCell ref="I25:I26"/>
    <mergeCell ref="C26:D26"/>
    <mergeCell ref="C17:D17"/>
    <mergeCell ref="E17:F17"/>
    <mergeCell ref="G17:I17"/>
    <mergeCell ref="C18:D18"/>
    <mergeCell ref="G18:I18"/>
    <mergeCell ref="A23:A24"/>
    <mergeCell ref="B23:B24"/>
    <mergeCell ref="C23:D24"/>
    <mergeCell ref="E23:F24"/>
    <mergeCell ref="G23:I23"/>
    <mergeCell ref="C15:D15"/>
    <mergeCell ref="E15:F15"/>
    <mergeCell ref="G15:I15"/>
    <mergeCell ref="C16:D16"/>
    <mergeCell ref="E16:F16"/>
    <mergeCell ref="G16:I16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Q5:R5"/>
    <mergeCell ref="H6:I6"/>
    <mergeCell ref="C7:D7"/>
    <mergeCell ref="E7:F7"/>
    <mergeCell ref="H7:I7"/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86"/>
  <sheetViews>
    <sheetView topLeftCell="A4" workbookViewId="0">
      <selection activeCell="R10" sqref="R10"/>
    </sheetView>
  </sheetViews>
  <sheetFormatPr defaultColWidth="8.69921875" defaultRowHeight="18.2"/>
  <cols>
    <col min="1" max="1" width="15.19921875" style="13" customWidth="1"/>
    <col min="2" max="2" width="12" style="13" customWidth="1"/>
    <col min="3" max="3" width="9.09765625" style="13" customWidth="1"/>
    <col min="4" max="5" width="8.59765625" style="13" customWidth="1"/>
    <col min="6" max="6" width="11.09765625" style="13" customWidth="1"/>
    <col min="7" max="7" width="8.296875" style="13" customWidth="1"/>
    <col min="8" max="8" width="7" style="13" customWidth="1"/>
    <col min="9" max="9" width="6.3984375" style="13" customWidth="1"/>
    <col min="10" max="10" width="11.19921875" style="13" bestFit="1" customWidth="1"/>
    <col min="11" max="11" width="10.19921875" style="13" customWidth="1"/>
    <col min="12" max="12" width="11.3984375" style="13" customWidth="1"/>
    <col min="13" max="13" width="10.09765625" style="13" customWidth="1"/>
    <col min="14" max="14" width="10.3984375" style="13" customWidth="1"/>
    <col min="15" max="15" width="11.296875" style="13" customWidth="1"/>
    <col min="16" max="16" width="8.69921875" style="13" customWidth="1"/>
    <col min="17" max="17" width="9.3984375" style="13" customWidth="1"/>
    <col min="18" max="18" width="10.3984375" style="13" customWidth="1"/>
    <col min="19" max="19" width="9.19921875" style="13" bestFit="1" customWidth="1"/>
    <col min="20" max="20" width="8.69921875" style="13"/>
    <col min="21" max="21" width="10.296875" style="13" customWidth="1"/>
    <col min="22" max="22" width="9.296875" style="13" customWidth="1"/>
    <col min="23" max="23" width="9.59765625" style="13" bestFit="1" customWidth="1"/>
    <col min="24" max="24" width="8.69921875" style="13"/>
    <col min="25" max="25" width="9.69921875" style="13" customWidth="1"/>
    <col min="26" max="29" width="8.69921875" style="13"/>
    <col min="30" max="30" width="0.69921875" style="13" customWidth="1"/>
    <col min="31" max="31" width="9.796875" style="13" customWidth="1"/>
    <col min="32" max="35" width="8.69921875" style="13"/>
    <col min="36" max="36" width="4.5" style="13" customWidth="1"/>
    <col min="37" max="38" width="8" style="13" customWidth="1"/>
    <col min="39" max="40" width="7.796875" style="13" customWidth="1"/>
    <col min="41" max="41" width="7.8984375" style="13" customWidth="1"/>
    <col min="42" max="42" width="7.19921875" style="13" customWidth="1"/>
    <col min="43" max="43" width="6.5" style="13" customWidth="1"/>
    <col min="44" max="44" width="0.5" style="13" customWidth="1"/>
    <col min="45" max="45" width="8.69921875" style="13"/>
    <col min="46" max="47" width="7.59765625" style="13" customWidth="1"/>
    <col min="48" max="48" width="8.59765625" style="13" customWidth="1"/>
    <col min="49" max="49" width="7.59765625" style="13" customWidth="1"/>
    <col min="50" max="50" width="6.796875" style="13" customWidth="1"/>
    <col min="51" max="53" width="8.69921875" style="13"/>
    <col min="54" max="54" width="9.3984375" style="13" bestFit="1" customWidth="1"/>
    <col min="55" max="16384" width="8.69921875" style="13"/>
  </cols>
  <sheetData>
    <row r="1" spans="1:4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  <c r="T1" s="142" t="s">
        <v>62</v>
      </c>
      <c r="U1" s="46">
        <v>4081</v>
      </c>
      <c r="V1" s="42"/>
    </row>
    <row r="2" spans="1:41" ht="21" customHeight="1">
      <c r="A2" s="306"/>
      <c r="B2" s="306"/>
      <c r="C2" s="306"/>
      <c r="D2" s="306"/>
      <c r="E2" s="306"/>
      <c r="F2" s="306"/>
      <c r="G2" s="306"/>
      <c r="H2" s="306"/>
      <c r="I2" s="306"/>
      <c r="T2" s="142"/>
      <c r="U2" s="46"/>
      <c r="V2" s="42"/>
    </row>
    <row r="3" spans="1:41">
      <c r="J3" s="14"/>
      <c r="T3" s="142" t="s">
        <v>63</v>
      </c>
      <c r="U3" s="46">
        <v>4247</v>
      </c>
      <c r="V3" s="42"/>
      <c r="AJ3" s="757" t="s">
        <v>229</v>
      </c>
      <c r="AK3" s="244" t="s">
        <v>230</v>
      </c>
      <c r="AL3" s="244" t="s">
        <v>231</v>
      </c>
      <c r="AM3" s="244" t="s">
        <v>232</v>
      </c>
    </row>
    <row r="4" spans="1:41">
      <c r="A4" s="15" t="s">
        <v>9</v>
      </c>
      <c r="H4" s="866" t="s">
        <v>284</v>
      </c>
      <c r="I4" s="760"/>
      <c r="K4" s="16"/>
      <c r="L4" s="81"/>
      <c r="T4" s="142" t="s">
        <v>64</v>
      </c>
      <c r="U4" s="48">
        <v>4287</v>
      </c>
      <c r="V4" s="42"/>
      <c r="AJ4" s="758"/>
      <c r="AK4" s="734"/>
      <c r="AL4" s="734"/>
      <c r="AM4" s="734"/>
    </row>
    <row r="5" spans="1:41" ht="17.399999999999999" customHeight="1">
      <c r="A5" s="736" t="s">
        <v>10</v>
      </c>
      <c r="B5" s="738" t="s">
        <v>11</v>
      </c>
      <c r="C5" s="736" t="s">
        <v>12</v>
      </c>
      <c r="D5" s="740"/>
      <c r="E5" s="742" t="s">
        <v>39</v>
      </c>
      <c r="F5" s="743"/>
      <c r="G5" s="867" t="s">
        <v>314</v>
      </c>
      <c r="H5" s="747"/>
      <c r="I5" s="747"/>
      <c r="J5" s="75"/>
      <c r="K5" s="17"/>
      <c r="L5" s="748"/>
      <c r="M5" s="748"/>
      <c r="N5" s="748" t="s">
        <v>52</v>
      </c>
      <c r="O5" s="748"/>
      <c r="P5" s="309"/>
      <c r="Q5" s="309"/>
      <c r="T5" s="142" t="s">
        <v>68</v>
      </c>
      <c r="U5" s="48">
        <v>4332</v>
      </c>
      <c r="V5" s="42"/>
      <c r="W5" s="48"/>
      <c r="AJ5" s="735"/>
      <c r="AK5" s="735"/>
      <c r="AL5" s="735"/>
      <c r="AM5" s="735"/>
    </row>
    <row r="6" spans="1:41" ht="18.8" thickBot="1">
      <c r="A6" s="737"/>
      <c r="B6" s="739"/>
      <c r="C6" s="737"/>
      <c r="D6" s="741"/>
      <c r="E6" s="744"/>
      <c r="F6" s="745"/>
      <c r="G6" s="87" t="s">
        <v>13</v>
      </c>
      <c r="H6" s="749" t="s">
        <v>239</v>
      </c>
      <c r="I6" s="750"/>
      <c r="K6" s="17"/>
      <c r="L6" s="309"/>
      <c r="M6" s="82"/>
      <c r="N6" s="309" t="s">
        <v>51</v>
      </c>
      <c r="O6" s="82"/>
      <c r="P6" s="82"/>
      <c r="Q6" s="82"/>
      <c r="T6" s="142" t="s">
        <v>65</v>
      </c>
      <c r="U6" s="42">
        <v>4171</v>
      </c>
      <c r="V6" s="42"/>
    </row>
    <row r="7" spans="1:41" ht="18.8" thickTop="1">
      <c r="A7" s="19" t="s">
        <v>14</v>
      </c>
      <c r="B7" s="20">
        <v>7.5</v>
      </c>
      <c r="C7" s="751">
        <v>565</v>
      </c>
      <c r="D7" s="752"/>
      <c r="E7" s="753">
        <f>C7/B7</f>
        <v>75.333333333333329</v>
      </c>
      <c r="F7" s="754"/>
      <c r="G7" s="88"/>
      <c r="H7" s="755"/>
      <c r="I7" s="755"/>
      <c r="J7" s="13">
        <f>40/60</f>
        <v>0.66666666666666663</v>
      </c>
      <c r="K7" s="272" t="s">
        <v>255</v>
      </c>
      <c r="L7" s="273" t="s">
        <v>256</v>
      </c>
      <c r="M7" s="22"/>
      <c r="N7" s="17">
        <v>2191718</v>
      </c>
      <c r="O7" s="17"/>
      <c r="P7" s="17"/>
      <c r="R7" s="222" t="s">
        <v>179</v>
      </c>
      <c r="S7" s="145"/>
      <c r="T7" s="143" t="s">
        <v>69</v>
      </c>
      <c r="U7" s="42">
        <v>4021</v>
      </c>
      <c r="V7" s="42"/>
    </row>
    <row r="8" spans="1:41">
      <c r="A8" s="23" t="s">
        <v>15</v>
      </c>
      <c r="B8" s="74">
        <f>10.13+10.33+6.6+10.3+10.33+24+10.3+10.2+10.2+10+10.2+10.2+24+10.2+10+10.1+2.16+7.66+24+10.2+2.67+7.5</f>
        <v>241.27999999999994</v>
      </c>
      <c r="C8" s="769">
        <f>17608+211+565</f>
        <v>18384</v>
      </c>
      <c r="D8" s="770"/>
      <c r="E8" s="771">
        <f>C8/B8</f>
        <v>76.193633952254658</v>
      </c>
      <c r="F8" s="772"/>
      <c r="G8" s="86">
        <v>25182</v>
      </c>
      <c r="H8" s="773">
        <v>18384</v>
      </c>
      <c r="I8" s="773"/>
      <c r="K8" s="83"/>
      <c r="L8" s="84"/>
      <c r="M8" s="22"/>
      <c r="N8" s="14"/>
      <c r="Q8" s="59"/>
      <c r="T8" s="143" t="s">
        <v>66</v>
      </c>
      <c r="U8" s="48">
        <f>U7+V8</f>
        <v>4021</v>
      </c>
      <c r="V8" s="42"/>
      <c r="AM8" s="13">
        <v>86200</v>
      </c>
      <c r="AN8" s="13">
        <v>846</v>
      </c>
      <c r="AO8" s="13">
        <f>AN8*AM8/10000</f>
        <v>7292.52</v>
      </c>
    </row>
    <row r="9" spans="1:41">
      <c r="A9" s="23" t="s">
        <v>16</v>
      </c>
      <c r="B9" s="24">
        <f>293.8+241.3</f>
        <v>535.1</v>
      </c>
      <c r="C9" s="774">
        <f>23200+18384</f>
        <v>41584</v>
      </c>
      <c r="D9" s="775"/>
      <c r="E9" s="771">
        <f>C9/B9</f>
        <v>77.712577088394696</v>
      </c>
      <c r="F9" s="772"/>
      <c r="G9" s="21"/>
      <c r="H9" s="776"/>
      <c r="I9" s="777"/>
      <c r="K9" s="83">
        <f>749/73.65</f>
        <v>10.169721656483366</v>
      </c>
      <c r="L9" s="85"/>
      <c r="M9" s="22"/>
      <c r="N9" s="123"/>
      <c r="Q9" s="219"/>
      <c r="R9" s="216"/>
      <c r="S9" s="207"/>
      <c r="T9" s="143" t="s">
        <v>71</v>
      </c>
      <c r="U9" s="48">
        <f>4021+W9</f>
        <v>3481</v>
      </c>
      <c r="V9" s="42"/>
      <c r="W9" s="144">
        <v>-540</v>
      </c>
      <c r="AM9" s="13">
        <v>90700</v>
      </c>
      <c r="AN9" s="13">
        <v>924</v>
      </c>
      <c r="AO9" s="13">
        <f>AN9*AM9/10000</f>
        <v>8380.68</v>
      </c>
    </row>
    <row r="10" spans="1:41">
      <c r="A10" s="312"/>
      <c r="B10" s="25"/>
      <c r="F10" s="27"/>
      <c r="G10" s="27"/>
      <c r="H10" s="28"/>
      <c r="I10" s="28"/>
      <c r="K10" s="276"/>
      <c r="L10" s="85"/>
      <c r="M10" s="22"/>
      <c r="N10" s="14"/>
      <c r="Q10" s="219">
        <v>956</v>
      </c>
      <c r="R10" s="216">
        <v>915</v>
      </c>
      <c r="S10" s="207"/>
      <c r="T10" s="143" t="s">
        <v>70</v>
      </c>
      <c r="U10" s="48">
        <v>3788</v>
      </c>
      <c r="V10" s="42"/>
      <c r="AM10" s="13">
        <f>SUM(AM8:AM9)</f>
        <v>176900</v>
      </c>
      <c r="AN10" s="13">
        <v>88700</v>
      </c>
      <c r="AO10" s="13">
        <f>SUM(AO8:AO9)</f>
        <v>15673.2</v>
      </c>
    </row>
    <row r="11" spans="1:41" ht="10.8" customHeight="1">
      <c r="A11" s="236"/>
      <c r="B11" s="25"/>
      <c r="C11" s="26"/>
      <c r="D11" s="26"/>
      <c r="E11" s="26"/>
      <c r="F11" s="27"/>
      <c r="G11" s="106"/>
      <c r="H11" s="28"/>
      <c r="I11" s="28"/>
      <c r="K11" s="91"/>
      <c r="L11" s="85"/>
      <c r="M11" s="22"/>
      <c r="N11" s="14"/>
      <c r="Q11" s="219"/>
      <c r="R11" s="216"/>
      <c r="S11" s="207"/>
      <c r="T11" s="141" t="s">
        <v>74</v>
      </c>
      <c r="U11" s="48">
        <v>3667</v>
      </c>
      <c r="V11" s="42"/>
    </row>
    <row r="12" spans="1:41">
      <c r="A12" s="31" t="s">
        <v>17</v>
      </c>
      <c r="J12" s="32"/>
      <c r="K12" s="146"/>
      <c r="L12" s="29">
        <v>528</v>
      </c>
      <c r="M12" s="102"/>
      <c r="Q12" s="219">
        <v>-350</v>
      </c>
      <c r="R12" s="219">
        <v>-624</v>
      </c>
      <c r="S12" s="257" t="s">
        <v>184</v>
      </c>
      <c r="T12" s="141" t="s">
        <v>75</v>
      </c>
      <c r="U12" s="42">
        <v>3982</v>
      </c>
      <c r="V12" s="42"/>
    </row>
    <row r="13" spans="1:4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K13" s="146"/>
      <c r="L13" s="29">
        <v>277</v>
      </c>
      <c r="M13" s="102"/>
      <c r="N13" s="36"/>
      <c r="Q13" s="92">
        <v>183</v>
      </c>
      <c r="R13" s="51"/>
      <c r="S13" s="257" t="s">
        <v>237</v>
      </c>
      <c r="T13" s="141" t="s">
        <v>76</v>
      </c>
      <c r="U13" s="42">
        <v>4081</v>
      </c>
      <c r="V13" s="42"/>
    </row>
    <row r="14" spans="1:41" ht="18.8" thickBot="1">
      <c r="A14" s="762"/>
      <c r="B14" s="307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146"/>
      <c r="L14" s="29">
        <f>SUM(L12:L13)</f>
        <v>805</v>
      </c>
      <c r="M14" s="102"/>
      <c r="N14" s="13">
        <v>25384</v>
      </c>
      <c r="Q14" s="92">
        <v>-29</v>
      </c>
      <c r="R14" s="51"/>
      <c r="S14" s="257" t="s">
        <v>236</v>
      </c>
      <c r="T14" s="287" t="s">
        <v>266</v>
      </c>
      <c r="U14" s="42">
        <f>U13+V14</f>
        <v>3631</v>
      </c>
      <c r="V14" s="42">
        <v>-450</v>
      </c>
    </row>
    <row r="15" spans="1:41" ht="18.8" thickTop="1">
      <c r="A15" s="19" t="s">
        <v>14</v>
      </c>
      <c r="B15" s="37">
        <v>22320</v>
      </c>
      <c r="C15" s="771">
        <f>(B15/C7)</f>
        <v>39.504424778761063</v>
      </c>
      <c r="D15" s="772"/>
      <c r="E15" s="779">
        <v>3245</v>
      </c>
      <c r="F15" s="779"/>
      <c r="G15" s="780">
        <f>E15/C7</f>
        <v>5.7433628318584073</v>
      </c>
      <c r="H15" s="780"/>
      <c r="I15" s="780"/>
      <c r="J15" s="298"/>
      <c r="K15" s="147"/>
      <c r="L15" s="147"/>
      <c r="M15" s="34"/>
      <c r="N15" s="13">
        <v>25182</v>
      </c>
      <c r="Q15" s="92">
        <f>143+39</f>
        <v>182</v>
      </c>
      <c r="T15" s="51">
        <v>-1403</v>
      </c>
    </row>
    <row r="16" spans="1:41">
      <c r="A16" s="23" t="s">
        <v>15</v>
      </c>
      <c r="B16" s="38">
        <f>474680+30840+30120+28860+10080+21900+66180+31083+11820+22320</f>
        <v>727883</v>
      </c>
      <c r="C16" s="771">
        <f>B16/C8</f>
        <v>39.593287641427331</v>
      </c>
      <c r="D16" s="772"/>
      <c r="E16" s="781">
        <f>72178+4836+4463+4318+1242+3305+10660+4650+1448+3245</f>
        <v>110345</v>
      </c>
      <c r="F16" s="781"/>
      <c r="G16" s="782">
        <f>E16/C8</f>
        <v>6.0022302001740648</v>
      </c>
      <c r="H16" s="782"/>
      <c r="I16" s="782"/>
      <c r="K16" s="33"/>
      <c r="L16" s="33"/>
      <c r="M16" s="33"/>
      <c r="N16" s="33">
        <f>SUM(N14:N15)</f>
        <v>50566</v>
      </c>
      <c r="Q16" s="216">
        <v>692</v>
      </c>
      <c r="R16" s="117">
        <v>416</v>
      </c>
      <c r="S16" s="284" t="s">
        <v>265</v>
      </c>
    </row>
    <row r="17" spans="1:50" ht="21.3">
      <c r="A17" s="23" t="s">
        <v>16</v>
      </c>
      <c r="B17" s="39">
        <f>882900+727883</f>
        <v>1610783</v>
      </c>
      <c r="C17" s="797">
        <f>B17/C9</f>
        <v>38.735643516737206</v>
      </c>
      <c r="D17" s="798"/>
      <c r="E17" s="799">
        <f>134461+110345</f>
        <v>244806</v>
      </c>
      <c r="F17" s="799"/>
      <c r="G17" s="800">
        <f>E17/C9</f>
        <v>5.8870238553289731</v>
      </c>
      <c r="H17" s="800"/>
      <c r="I17" s="800"/>
      <c r="K17" s="289" t="s">
        <v>267</v>
      </c>
      <c r="L17" s="33"/>
      <c r="Q17" s="92">
        <v>26</v>
      </c>
      <c r="R17" s="92"/>
      <c r="S17" s="288" t="s">
        <v>268</v>
      </c>
      <c r="Y17" s="854" t="s">
        <v>225</v>
      </c>
      <c r="Z17" s="854"/>
      <c r="AA17" s="854"/>
      <c r="AB17" s="854"/>
      <c r="AL17" s="868" t="s">
        <v>241</v>
      </c>
      <c r="AM17" s="868"/>
      <c r="AN17" s="868"/>
      <c r="AO17" s="868"/>
      <c r="AP17" s="868"/>
    </row>
    <row r="18" spans="1:50">
      <c r="A18" s="139" t="s">
        <v>72</v>
      </c>
      <c r="J18" s="41"/>
      <c r="K18" s="42"/>
      <c r="N18" s="133"/>
      <c r="Q18" s="219">
        <f>L36</f>
        <v>-323.32110999999924</v>
      </c>
      <c r="R18" s="219">
        <f>L35</f>
        <v>-189.64915199999896</v>
      </c>
      <c r="S18" s="288" t="s">
        <v>268</v>
      </c>
    </row>
    <row r="19" spans="1:50">
      <c r="A19" s="186" t="s">
        <v>145</v>
      </c>
      <c r="J19" s="43"/>
      <c r="K19" s="125">
        <v>17580</v>
      </c>
      <c r="L19" s="42"/>
      <c r="M19" s="42"/>
      <c r="N19" s="292"/>
      <c r="Q19" s="219"/>
      <c r="R19" s="219"/>
      <c r="S19" s="239"/>
    </row>
    <row r="20" spans="1:50" ht="12.05" customHeight="1">
      <c r="A20" s="40"/>
      <c r="B20" s="44"/>
      <c r="C20" s="36"/>
      <c r="D20" s="36"/>
      <c r="E20" s="36"/>
      <c r="F20" s="36"/>
      <c r="J20" s="45"/>
      <c r="K20" s="169">
        <v>-7743</v>
      </c>
      <c r="L20" s="42"/>
      <c r="M20" s="42"/>
      <c r="N20" s="292"/>
      <c r="Q20" s="219"/>
      <c r="R20" s="219"/>
      <c r="S20" s="243"/>
      <c r="Y20" s="32" t="s">
        <v>222</v>
      </c>
      <c r="AE20" s="32" t="s">
        <v>224</v>
      </c>
      <c r="AL20" s="32" t="s">
        <v>222</v>
      </c>
      <c r="AM20" s="32"/>
      <c r="AS20" s="32" t="s">
        <v>224</v>
      </c>
      <c r="AT20" s="32"/>
    </row>
    <row r="21" spans="1:50">
      <c r="A21" s="15" t="s">
        <v>49</v>
      </c>
      <c r="J21" s="43"/>
      <c r="K21" s="295">
        <f>SUM(K19:K20)</f>
        <v>9837</v>
      </c>
      <c r="L21" s="42"/>
      <c r="M21" s="42"/>
      <c r="N21" s="292"/>
      <c r="Q21" s="219"/>
      <c r="R21" s="219"/>
      <c r="S21" s="257"/>
      <c r="U21" s="291" t="s">
        <v>270</v>
      </c>
      <c r="Y21" s="225" t="s">
        <v>153</v>
      </c>
      <c r="Z21" s="225" t="s">
        <v>217</v>
      </c>
      <c r="AA21" s="225" t="s">
        <v>218</v>
      </c>
      <c r="AB21" s="225" t="s">
        <v>219</v>
      </c>
      <c r="AC21" s="225" t="s">
        <v>31</v>
      </c>
      <c r="AE21" s="225" t="s">
        <v>153</v>
      </c>
      <c r="AF21" s="225" t="s">
        <v>217</v>
      </c>
      <c r="AG21" s="225" t="s">
        <v>218</v>
      </c>
      <c r="AH21" s="225" t="s">
        <v>219</v>
      </c>
      <c r="AI21" s="225" t="s">
        <v>31</v>
      </c>
      <c r="AL21" s="869" t="s">
        <v>153</v>
      </c>
      <c r="AM21" s="871" t="s">
        <v>251</v>
      </c>
      <c r="AN21" s="871" t="s">
        <v>252</v>
      </c>
      <c r="AO21" s="871" t="s">
        <v>254</v>
      </c>
      <c r="AP21" s="871" t="s">
        <v>253</v>
      </c>
      <c r="AQ21" s="749" t="s">
        <v>245</v>
      </c>
      <c r="AS21" s="869" t="s">
        <v>153</v>
      </c>
      <c r="AT21" s="871" t="s">
        <v>251</v>
      </c>
      <c r="AU21" s="871" t="s">
        <v>252</v>
      </c>
      <c r="AV21" s="871" t="s">
        <v>254</v>
      </c>
      <c r="AW21" s="871" t="s">
        <v>253</v>
      </c>
      <c r="AX21" s="749" t="s">
        <v>245</v>
      </c>
    </row>
    <row r="22" spans="1:50" ht="15.65" customHeight="1">
      <c r="A22" s="761" t="s">
        <v>0</v>
      </c>
      <c r="B22" s="738" t="s">
        <v>24</v>
      </c>
      <c r="C22" s="736" t="s">
        <v>25</v>
      </c>
      <c r="D22" s="740"/>
      <c r="E22" s="736" t="s">
        <v>26</v>
      </c>
      <c r="F22" s="740"/>
      <c r="G22" s="766" t="s">
        <v>27</v>
      </c>
      <c r="H22" s="766"/>
      <c r="I22" s="766"/>
      <c r="J22" s="47"/>
      <c r="K22" s="171"/>
      <c r="L22" s="42"/>
      <c r="M22" s="42"/>
      <c r="N22" s="292"/>
      <c r="Q22" s="51"/>
      <c r="R22" s="51"/>
      <c r="U22" s="291" t="s">
        <v>271</v>
      </c>
      <c r="Y22" s="226" t="s">
        <v>190</v>
      </c>
      <c r="Z22" s="305">
        <v>0</v>
      </c>
      <c r="AA22" s="305">
        <v>0</v>
      </c>
      <c r="AB22" s="305">
        <v>0</v>
      </c>
      <c r="AC22" s="305">
        <f>SUM(Z22:AB22)</f>
        <v>0</v>
      </c>
      <c r="AE22" s="226" t="s">
        <v>190</v>
      </c>
      <c r="AF22" s="305">
        <v>0</v>
      </c>
      <c r="AG22" s="305">
        <v>0</v>
      </c>
      <c r="AH22" s="305">
        <v>0</v>
      </c>
      <c r="AI22" s="305">
        <f>SUM(AF22:AH22)</f>
        <v>0</v>
      </c>
      <c r="AL22" s="870"/>
      <c r="AM22" s="872"/>
      <c r="AN22" s="873"/>
      <c r="AO22" s="873"/>
      <c r="AP22" s="873"/>
      <c r="AQ22" s="873"/>
      <c r="AS22" s="870"/>
      <c r="AT22" s="872"/>
      <c r="AU22" s="873"/>
      <c r="AV22" s="873"/>
      <c r="AW22" s="873"/>
      <c r="AX22" s="873"/>
    </row>
    <row r="23" spans="1:50" ht="15.65" customHeight="1" thickBot="1">
      <c r="A23" s="778"/>
      <c r="B23" s="739"/>
      <c r="C23" s="737"/>
      <c r="D23" s="741"/>
      <c r="E23" s="737"/>
      <c r="F23" s="741"/>
      <c r="G23" s="89" t="s">
        <v>53</v>
      </c>
      <c r="H23" s="89" t="s">
        <v>54</v>
      </c>
      <c r="I23" s="89" t="s">
        <v>55</v>
      </c>
      <c r="J23" s="47"/>
      <c r="K23" s="135"/>
      <c r="L23" s="107"/>
      <c r="M23" s="42"/>
      <c r="N23" s="293"/>
      <c r="O23" s="46"/>
      <c r="P23" s="48"/>
      <c r="Q23" s="51"/>
      <c r="R23" s="51"/>
      <c r="U23" s="291" t="s">
        <v>272</v>
      </c>
      <c r="Y23" s="226" t="s">
        <v>191</v>
      </c>
      <c r="Z23" s="305">
        <v>7.7</v>
      </c>
      <c r="AA23" s="305">
        <v>0</v>
      </c>
      <c r="AB23" s="305">
        <v>0</v>
      </c>
      <c r="AC23" s="305">
        <f t="shared" ref="AC23:AC52" si="0">SUM(Z23:AB23)</f>
        <v>7.7</v>
      </c>
      <c r="AE23" s="226" t="s">
        <v>191</v>
      </c>
      <c r="AF23" s="305">
        <v>10</v>
      </c>
      <c r="AG23" s="305">
        <v>8</v>
      </c>
      <c r="AH23" s="305">
        <v>6</v>
      </c>
      <c r="AI23" s="305">
        <f t="shared" ref="AI23:AI33" si="1">SUM(AF23:AH23)</f>
        <v>24</v>
      </c>
      <c r="AL23" s="226" t="s">
        <v>191</v>
      </c>
      <c r="AM23" s="229">
        <v>7.7</v>
      </c>
      <c r="AN23" s="274">
        <v>6.31</v>
      </c>
      <c r="AO23" s="305">
        <v>700</v>
      </c>
      <c r="AP23" s="305">
        <v>77</v>
      </c>
      <c r="AQ23" s="274">
        <v>5.3</v>
      </c>
      <c r="AS23" s="226" t="s">
        <v>191</v>
      </c>
      <c r="AT23" s="229">
        <v>24</v>
      </c>
      <c r="AU23" s="274">
        <v>7.17</v>
      </c>
      <c r="AV23" s="305">
        <v>650</v>
      </c>
      <c r="AW23" s="305">
        <v>79</v>
      </c>
      <c r="AX23" s="274">
        <v>5.99</v>
      </c>
    </row>
    <row r="24" spans="1:50" ht="16.75" customHeight="1" thickTop="1">
      <c r="A24" s="95" t="s">
        <v>57</v>
      </c>
      <c r="B24" s="783">
        <v>3376</v>
      </c>
      <c r="C24" s="785">
        <v>565</v>
      </c>
      <c r="D24" s="786"/>
      <c r="E24" s="787">
        <v>976</v>
      </c>
      <c r="F24" s="788"/>
      <c r="G24" s="791">
        <v>2740</v>
      </c>
      <c r="H24" s="793">
        <f>B24+C24+C25-E24</f>
        <v>2965</v>
      </c>
      <c r="I24" s="793">
        <f>G24-H24</f>
        <v>-225</v>
      </c>
      <c r="L24" s="42"/>
      <c r="M24" s="42"/>
      <c r="N24" s="124"/>
      <c r="O24" s="36"/>
      <c r="P24" s="48"/>
      <c r="Q24" s="51"/>
      <c r="R24" s="51"/>
      <c r="U24" s="291" t="s">
        <v>273</v>
      </c>
      <c r="Y24" s="226" t="s">
        <v>192</v>
      </c>
      <c r="Z24" s="305">
        <v>10</v>
      </c>
      <c r="AA24" s="305">
        <v>3.8</v>
      </c>
      <c r="AB24" s="305">
        <v>2</v>
      </c>
      <c r="AC24" s="305">
        <f t="shared" si="0"/>
        <v>15.8</v>
      </c>
      <c r="AE24" s="226" t="s">
        <v>192</v>
      </c>
      <c r="AF24" s="305">
        <v>10</v>
      </c>
      <c r="AG24" s="305">
        <v>8</v>
      </c>
      <c r="AH24" s="305">
        <v>6</v>
      </c>
      <c r="AI24" s="305">
        <f t="shared" si="1"/>
        <v>24</v>
      </c>
      <c r="AL24" s="226" t="s">
        <v>192</v>
      </c>
      <c r="AM24" s="229">
        <v>15.8</v>
      </c>
      <c r="AN24" s="274">
        <v>5.93</v>
      </c>
      <c r="AO24" s="305">
        <v>700</v>
      </c>
      <c r="AP24" s="305">
        <v>78</v>
      </c>
      <c r="AQ24" s="274">
        <v>5.64</v>
      </c>
      <c r="AS24" s="226" t="s">
        <v>192</v>
      </c>
      <c r="AT24" s="229">
        <v>24</v>
      </c>
      <c r="AU24" s="274">
        <v>7.15</v>
      </c>
      <c r="AV24" s="305">
        <v>700</v>
      </c>
      <c r="AW24" s="305">
        <v>83</v>
      </c>
      <c r="AX24" s="274">
        <v>6.19</v>
      </c>
    </row>
    <row r="25" spans="1:50" ht="16.75" customHeight="1">
      <c r="A25" s="96" t="s">
        <v>58</v>
      </c>
      <c r="B25" s="784"/>
      <c r="C25" s="795"/>
      <c r="D25" s="796"/>
      <c r="E25" s="789"/>
      <c r="F25" s="790"/>
      <c r="G25" s="792"/>
      <c r="H25" s="794"/>
      <c r="I25" s="794"/>
      <c r="K25" s="49"/>
      <c r="L25" s="42"/>
      <c r="M25" s="42"/>
      <c r="N25" s="42"/>
      <c r="O25" s="218"/>
      <c r="P25" s="137"/>
      <c r="Q25" s="51"/>
      <c r="R25" s="51"/>
      <c r="U25" s="291" t="s">
        <v>274</v>
      </c>
      <c r="Y25" s="226" t="s">
        <v>193</v>
      </c>
      <c r="Z25" s="305">
        <v>10</v>
      </c>
      <c r="AA25" s="305">
        <v>3</v>
      </c>
      <c r="AB25" s="305">
        <v>2</v>
      </c>
      <c r="AC25" s="305">
        <f t="shared" si="0"/>
        <v>15</v>
      </c>
      <c r="AE25" s="226" t="s">
        <v>193</v>
      </c>
      <c r="AF25" s="305">
        <v>10</v>
      </c>
      <c r="AG25" s="305">
        <v>8</v>
      </c>
      <c r="AH25" s="305">
        <v>2.4</v>
      </c>
      <c r="AI25" s="305">
        <f t="shared" si="1"/>
        <v>20.399999999999999</v>
      </c>
      <c r="AL25" s="226" t="s">
        <v>193</v>
      </c>
      <c r="AM25" s="229">
        <v>15</v>
      </c>
      <c r="AN25" s="274">
        <v>7.05</v>
      </c>
      <c r="AO25" s="305">
        <v>700</v>
      </c>
      <c r="AP25" s="305">
        <v>75</v>
      </c>
      <c r="AQ25" s="274">
        <v>5.79</v>
      </c>
      <c r="AS25" s="226" t="s">
        <v>193</v>
      </c>
      <c r="AT25" s="229">
        <v>20.399999999999999</v>
      </c>
      <c r="AU25" s="274">
        <v>7.14</v>
      </c>
      <c r="AV25" s="305">
        <v>700</v>
      </c>
      <c r="AW25" s="305">
        <v>79</v>
      </c>
      <c r="AX25" s="274">
        <v>6.22</v>
      </c>
    </row>
    <row r="26" spans="1:50" ht="16.75" customHeight="1">
      <c r="A26" s="97" t="s">
        <v>59</v>
      </c>
      <c r="B26" s="811">
        <v>4825</v>
      </c>
      <c r="C26" s="813"/>
      <c r="D26" s="814"/>
      <c r="E26" s="815">
        <v>140</v>
      </c>
      <c r="F26" s="816"/>
      <c r="G26" s="801">
        <v>4806</v>
      </c>
      <c r="H26" s="803">
        <f>B26+C26+C27-E26-E28</f>
        <v>4487</v>
      </c>
      <c r="I26" s="803">
        <f>G26-H26</f>
        <v>319</v>
      </c>
      <c r="J26" s="50"/>
      <c r="K26" s="60"/>
      <c r="L26" s="42"/>
      <c r="M26" s="42"/>
      <c r="N26" s="292"/>
      <c r="O26" s="129"/>
      <c r="P26" s="129"/>
      <c r="Q26" s="51"/>
      <c r="R26" s="51"/>
      <c r="U26" s="291" t="s">
        <v>275</v>
      </c>
      <c r="Y26" s="226" t="s">
        <v>194</v>
      </c>
      <c r="Z26" s="305">
        <v>10</v>
      </c>
      <c r="AA26" s="305">
        <v>3.7</v>
      </c>
      <c r="AB26" s="305">
        <v>2</v>
      </c>
      <c r="AC26" s="305">
        <f t="shared" si="0"/>
        <v>15.7</v>
      </c>
      <c r="AE26" s="226" t="s">
        <v>194</v>
      </c>
      <c r="AF26" s="305">
        <v>10</v>
      </c>
      <c r="AG26" s="305">
        <v>7.5</v>
      </c>
      <c r="AH26" s="305">
        <v>6</v>
      </c>
      <c r="AI26" s="305">
        <f t="shared" si="1"/>
        <v>23.5</v>
      </c>
      <c r="AL26" s="226" t="s">
        <v>194</v>
      </c>
      <c r="AM26" s="229">
        <v>15.7</v>
      </c>
      <c r="AN26" s="274">
        <v>6.56</v>
      </c>
      <c r="AO26" s="305">
        <v>700</v>
      </c>
      <c r="AP26" s="305">
        <v>77</v>
      </c>
      <c r="AQ26" s="274">
        <v>5.58</v>
      </c>
      <c r="AS26" s="226" t="s">
        <v>194</v>
      </c>
      <c r="AT26" s="229">
        <v>23.5</v>
      </c>
      <c r="AU26" s="274">
        <v>7.1</v>
      </c>
      <c r="AV26" s="305">
        <v>700</v>
      </c>
      <c r="AW26" s="305">
        <v>79</v>
      </c>
      <c r="AX26" s="274">
        <v>6.02</v>
      </c>
    </row>
    <row r="27" spans="1:50" ht="16.75" customHeight="1">
      <c r="A27" s="174" t="s">
        <v>60</v>
      </c>
      <c r="B27" s="812"/>
      <c r="C27" s="819"/>
      <c r="D27" s="820"/>
      <c r="E27" s="817"/>
      <c r="F27" s="818"/>
      <c r="G27" s="802"/>
      <c r="H27" s="804"/>
      <c r="I27" s="804"/>
      <c r="J27" s="50"/>
      <c r="K27" s="60"/>
      <c r="L27" s="113"/>
      <c r="M27" s="48"/>
      <c r="N27" s="131"/>
      <c r="O27" s="130"/>
      <c r="P27" s="35"/>
      <c r="Q27" s="51"/>
      <c r="R27" s="51"/>
      <c r="U27" s="291" t="s">
        <v>276</v>
      </c>
      <c r="Y27" s="227" t="s">
        <v>88</v>
      </c>
      <c r="Z27" s="305">
        <v>24</v>
      </c>
      <c r="AA27" s="305">
        <v>0</v>
      </c>
      <c r="AB27" s="305">
        <v>0</v>
      </c>
      <c r="AC27" s="305">
        <f t="shared" si="0"/>
        <v>24</v>
      </c>
      <c r="AE27" s="229" t="s">
        <v>88</v>
      </c>
      <c r="AF27" s="305">
        <v>10</v>
      </c>
      <c r="AG27" s="305">
        <v>8</v>
      </c>
      <c r="AH27" s="305">
        <v>6</v>
      </c>
      <c r="AI27" s="305">
        <f t="shared" si="1"/>
        <v>24</v>
      </c>
      <c r="AL27" s="227" t="s">
        <v>88</v>
      </c>
      <c r="AM27" s="229">
        <v>24</v>
      </c>
      <c r="AN27" s="274">
        <v>6.4</v>
      </c>
      <c r="AO27" s="305">
        <v>450</v>
      </c>
      <c r="AP27" s="305">
        <v>77</v>
      </c>
      <c r="AQ27" s="274">
        <v>5.9</v>
      </c>
      <c r="AS27" s="229" t="s">
        <v>88</v>
      </c>
      <c r="AT27" s="229">
        <v>24</v>
      </c>
      <c r="AU27" s="274">
        <v>7.03</v>
      </c>
      <c r="AV27" s="305">
        <v>600</v>
      </c>
      <c r="AW27" s="305">
        <v>78</v>
      </c>
      <c r="AX27" s="274">
        <v>6</v>
      </c>
    </row>
    <row r="28" spans="1:50" ht="16.75" customHeight="1">
      <c r="A28" s="175" t="s">
        <v>43</v>
      </c>
      <c r="B28" s="812"/>
      <c r="C28" s="807"/>
      <c r="D28" s="808"/>
      <c r="E28" s="809">
        <v>198</v>
      </c>
      <c r="F28" s="810"/>
      <c r="G28" s="802"/>
      <c r="H28" s="804"/>
      <c r="I28" s="804"/>
      <c r="J28" s="14"/>
      <c r="K28" s="199"/>
      <c r="L28" s="46"/>
      <c r="M28" s="42"/>
      <c r="O28" s="132">
        <v>59600</v>
      </c>
      <c r="P28" s="294"/>
      <c r="Q28" s="51"/>
      <c r="R28" s="51"/>
      <c r="Y28" s="226" t="s">
        <v>195</v>
      </c>
      <c r="Z28" s="305">
        <v>0</v>
      </c>
      <c r="AA28" s="305">
        <v>0</v>
      </c>
      <c r="AB28" s="305">
        <v>0</v>
      </c>
      <c r="AC28" s="305">
        <f t="shared" si="0"/>
        <v>0</v>
      </c>
      <c r="AE28" s="227" t="s">
        <v>89</v>
      </c>
      <c r="AF28" s="305">
        <v>24</v>
      </c>
      <c r="AG28" s="305">
        <v>0</v>
      </c>
      <c r="AH28" s="305">
        <v>0</v>
      </c>
      <c r="AI28" s="305">
        <f t="shared" si="1"/>
        <v>24</v>
      </c>
      <c r="AL28" s="226" t="s">
        <v>202</v>
      </c>
      <c r="AM28" s="229">
        <v>6.8</v>
      </c>
      <c r="AN28" s="274">
        <v>4.8</v>
      </c>
      <c r="AO28" s="305">
        <v>250</v>
      </c>
      <c r="AP28" s="305">
        <v>83</v>
      </c>
      <c r="AQ28" s="274">
        <v>12.2</v>
      </c>
      <c r="AS28" s="227" t="s">
        <v>89</v>
      </c>
      <c r="AT28" s="229">
        <v>24</v>
      </c>
      <c r="AU28" s="274">
        <v>7.02</v>
      </c>
      <c r="AV28" s="305">
        <v>700</v>
      </c>
      <c r="AW28" s="305">
        <v>77</v>
      </c>
      <c r="AX28" s="274">
        <v>6.44</v>
      </c>
    </row>
    <row r="29" spans="1:50" ht="16.75" customHeight="1">
      <c r="A29" s="172" t="s">
        <v>141</v>
      </c>
      <c r="B29" s="811">
        <v>9555</v>
      </c>
      <c r="C29" s="829"/>
      <c r="D29" s="830"/>
      <c r="E29" s="815"/>
      <c r="F29" s="816"/>
      <c r="G29" s="801">
        <v>9555</v>
      </c>
      <c r="H29" s="803">
        <f>B29+C29+C30-E29-E31</f>
        <v>9555</v>
      </c>
      <c r="I29" s="803">
        <f>G29-H29</f>
        <v>0</v>
      </c>
      <c r="J29" s="14"/>
      <c r="K29" s="210">
        <f>55900*1.0048</f>
        <v>56168.319999999992</v>
      </c>
      <c r="L29" s="124">
        <v>54800</v>
      </c>
      <c r="M29" s="42">
        <f>L29-K29</f>
        <v>-1368.3199999999924</v>
      </c>
      <c r="N29" s="13">
        <v>1386</v>
      </c>
      <c r="O29" s="35"/>
      <c r="P29" s="284"/>
      <c r="R29" s="294" t="s">
        <v>269</v>
      </c>
      <c r="Y29" s="226" t="s">
        <v>196</v>
      </c>
      <c r="Z29" s="305">
        <v>0</v>
      </c>
      <c r="AA29" s="305">
        <v>0</v>
      </c>
      <c r="AB29" s="305">
        <v>0</v>
      </c>
      <c r="AC29" s="305">
        <f t="shared" si="0"/>
        <v>0</v>
      </c>
      <c r="AE29" s="229" t="s">
        <v>90</v>
      </c>
      <c r="AF29" s="305">
        <v>10</v>
      </c>
      <c r="AG29" s="305">
        <v>8</v>
      </c>
      <c r="AH29" s="305">
        <v>6</v>
      </c>
      <c r="AI29" s="305">
        <f t="shared" si="1"/>
        <v>24</v>
      </c>
      <c r="AL29" s="226" t="s">
        <v>203</v>
      </c>
      <c r="AM29" s="229">
        <v>14.8</v>
      </c>
      <c r="AN29" s="274">
        <v>5.09</v>
      </c>
      <c r="AO29" s="305">
        <v>70</v>
      </c>
      <c r="AP29" s="305">
        <v>90</v>
      </c>
      <c r="AQ29" s="274">
        <v>5.39</v>
      </c>
      <c r="AS29" s="229" t="s">
        <v>90</v>
      </c>
      <c r="AT29" s="229">
        <v>24</v>
      </c>
      <c r="AU29" s="274">
        <v>6.94</v>
      </c>
      <c r="AV29" s="305">
        <v>700</v>
      </c>
      <c r="AW29" s="305">
        <v>77</v>
      </c>
      <c r="AX29" s="274">
        <v>5.98</v>
      </c>
    </row>
    <row r="30" spans="1:50" ht="16.75" customHeight="1">
      <c r="A30" s="173" t="s">
        <v>142</v>
      </c>
      <c r="B30" s="812"/>
      <c r="C30" s="805"/>
      <c r="D30" s="806"/>
      <c r="E30" s="831"/>
      <c r="F30" s="832"/>
      <c r="G30" s="802"/>
      <c r="H30" s="804"/>
      <c r="I30" s="804"/>
      <c r="J30" s="14"/>
      <c r="K30" s="209">
        <f>55740*1.005</f>
        <v>56018.7</v>
      </c>
      <c r="L30" s="124">
        <f>L29</f>
        <v>54800</v>
      </c>
      <c r="M30" s="42">
        <f>L30-K30</f>
        <v>-1218.6999999999971</v>
      </c>
      <c r="N30" s="13">
        <v>2653</v>
      </c>
      <c r="O30" s="35"/>
      <c r="Q30" s="51"/>
      <c r="R30" s="296" t="s">
        <v>277</v>
      </c>
      <c r="Y30" s="226" t="s">
        <v>197</v>
      </c>
      <c r="Z30" s="305">
        <v>0</v>
      </c>
      <c r="AA30" s="305">
        <v>0</v>
      </c>
      <c r="AB30" s="305">
        <v>0</v>
      </c>
      <c r="AC30" s="305">
        <f t="shared" si="0"/>
        <v>0</v>
      </c>
      <c r="AE30" s="229" t="s">
        <v>92</v>
      </c>
      <c r="AF30" s="305">
        <v>8.9</v>
      </c>
      <c r="AG30" s="305">
        <v>1</v>
      </c>
      <c r="AH30" s="305">
        <v>3.7</v>
      </c>
      <c r="AI30" s="305">
        <f t="shared" si="1"/>
        <v>13.600000000000001</v>
      </c>
      <c r="AL30" s="226" t="s">
        <v>204</v>
      </c>
      <c r="AM30" s="229">
        <v>16.7</v>
      </c>
      <c r="AN30" s="274">
        <v>5.33</v>
      </c>
      <c r="AO30" s="305">
        <v>80</v>
      </c>
      <c r="AP30" s="305">
        <v>89</v>
      </c>
      <c r="AQ30" s="274">
        <v>5.62</v>
      </c>
      <c r="AS30" s="229" t="s">
        <v>92</v>
      </c>
      <c r="AT30" s="229">
        <v>13.600000000000001</v>
      </c>
      <c r="AU30" s="274">
        <v>7.01</v>
      </c>
      <c r="AV30" s="305">
        <v>700</v>
      </c>
      <c r="AW30" s="305">
        <v>77</v>
      </c>
      <c r="AX30" s="274">
        <v>6.43</v>
      </c>
    </row>
    <row r="31" spans="1:50" ht="16.75" customHeight="1">
      <c r="A31" s="176" t="s">
        <v>143</v>
      </c>
      <c r="B31" s="784"/>
      <c r="C31" s="807"/>
      <c r="D31" s="808"/>
      <c r="E31" s="809"/>
      <c r="F31" s="810"/>
      <c r="G31" s="792"/>
      <c r="H31" s="794"/>
      <c r="I31" s="804"/>
      <c r="J31" s="242"/>
      <c r="K31" s="210"/>
      <c r="L31" s="124"/>
      <c r="M31" s="42"/>
      <c r="N31" s="13">
        <f>SUM(N28:N30)</f>
        <v>4039</v>
      </c>
      <c r="O31" s="132"/>
      <c r="Q31" s="219"/>
      <c r="R31" s="297" t="s">
        <v>278</v>
      </c>
      <c r="Y31" s="226" t="s">
        <v>198</v>
      </c>
      <c r="Z31" s="305">
        <v>0</v>
      </c>
      <c r="AA31" s="305">
        <v>0</v>
      </c>
      <c r="AB31" s="305">
        <v>0</v>
      </c>
      <c r="AC31" s="305">
        <f t="shared" si="0"/>
        <v>0</v>
      </c>
      <c r="AE31" s="229" t="s">
        <v>93</v>
      </c>
      <c r="AF31" s="305">
        <v>10</v>
      </c>
      <c r="AG31" s="305">
        <v>8</v>
      </c>
      <c r="AH31" s="305">
        <v>6</v>
      </c>
      <c r="AI31" s="305">
        <f t="shared" si="1"/>
        <v>24</v>
      </c>
      <c r="AL31" s="226" t="s">
        <v>205</v>
      </c>
      <c r="AM31" s="229">
        <v>16.3</v>
      </c>
      <c r="AN31" s="274">
        <v>5.8</v>
      </c>
      <c r="AO31" s="305">
        <v>70</v>
      </c>
      <c r="AP31" s="305">
        <v>81</v>
      </c>
      <c r="AQ31" s="274">
        <v>5.84</v>
      </c>
      <c r="AS31" s="229" t="s">
        <v>93</v>
      </c>
      <c r="AT31" s="229">
        <v>24</v>
      </c>
      <c r="AU31" s="274">
        <v>6.85</v>
      </c>
      <c r="AV31" s="305">
        <v>700</v>
      </c>
      <c r="AW31" s="305">
        <v>77</v>
      </c>
      <c r="AX31" s="274">
        <v>6.02</v>
      </c>
    </row>
    <row r="32" spans="1:50" ht="16.75" customHeight="1" thickBot="1">
      <c r="A32" s="53" t="s">
        <v>28</v>
      </c>
      <c r="B32" s="78">
        <f>SUM(B24:B31)</f>
        <v>17756</v>
      </c>
      <c r="C32" s="821">
        <f>SUM(C24:D31)</f>
        <v>565</v>
      </c>
      <c r="D32" s="822"/>
      <c r="E32" s="821">
        <f>SUM(E24:F31)</f>
        <v>1314</v>
      </c>
      <c r="F32" s="822"/>
      <c r="G32" s="303">
        <f>G24+G26+G29</f>
        <v>17101</v>
      </c>
      <c r="H32" s="303">
        <f>H24+H26+H29</f>
        <v>17007</v>
      </c>
      <c r="I32" s="303">
        <f>I24+I26+I29</f>
        <v>94</v>
      </c>
      <c r="J32" s="14"/>
      <c r="K32" s="140"/>
      <c r="M32" s="42"/>
      <c r="Q32" s="219"/>
      <c r="R32" s="219"/>
      <c r="Y32" s="226" t="s">
        <v>199</v>
      </c>
      <c r="Z32" s="305">
        <v>0</v>
      </c>
      <c r="AA32" s="305">
        <v>0</v>
      </c>
      <c r="AB32" s="305">
        <v>0</v>
      </c>
      <c r="AC32" s="305">
        <f t="shared" si="0"/>
        <v>0</v>
      </c>
      <c r="AE32" s="229" t="s">
        <v>94</v>
      </c>
      <c r="AF32" s="305">
        <v>10</v>
      </c>
      <c r="AG32" s="305">
        <v>1.5</v>
      </c>
      <c r="AH32" s="305">
        <v>0</v>
      </c>
      <c r="AI32" s="305">
        <f t="shared" si="1"/>
        <v>11.5</v>
      </c>
      <c r="AL32" s="226" t="s">
        <v>206</v>
      </c>
      <c r="AM32" s="229">
        <v>10.8</v>
      </c>
      <c r="AN32" s="274">
        <v>5.39</v>
      </c>
      <c r="AO32" s="305">
        <v>280</v>
      </c>
      <c r="AP32" s="305">
        <v>82</v>
      </c>
      <c r="AQ32" s="274">
        <v>5.34</v>
      </c>
      <c r="AS32" s="229" t="s">
        <v>94</v>
      </c>
      <c r="AT32" s="229">
        <v>11.5</v>
      </c>
      <c r="AU32" s="274">
        <v>6.93</v>
      </c>
      <c r="AV32" s="305">
        <v>700</v>
      </c>
      <c r="AW32" s="305">
        <v>76</v>
      </c>
      <c r="AX32" s="274">
        <v>6.17</v>
      </c>
    </row>
    <row r="33" spans="1:50" ht="16.75" customHeight="1" thickBot="1">
      <c r="A33" s="177" t="s">
        <v>44</v>
      </c>
      <c r="B33" s="178">
        <v>392</v>
      </c>
      <c r="C33" s="823">
        <f>E28+E34+E31</f>
        <v>413</v>
      </c>
      <c r="D33" s="824"/>
      <c r="E33" s="823">
        <v>167</v>
      </c>
      <c r="F33" s="824"/>
      <c r="G33" s="183">
        <f>413+224</f>
        <v>637</v>
      </c>
      <c r="H33" s="183">
        <f>B33+C33-E33</f>
        <v>638</v>
      </c>
      <c r="I33" s="183">
        <f>G33-H33</f>
        <v>-1</v>
      </c>
      <c r="J33" s="94"/>
      <c r="M33" s="107"/>
      <c r="N33" s="22"/>
      <c r="O33" s="22"/>
      <c r="P33" s="22"/>
      <c r="Q33" s="219">
        <f>SUM(Q12:Q32)</f>
        <v>380.67889000000076</v>
      </c>
      <c r="R33" s="219">
        <f>SUM(R12:R32)</f>
        <v>-397.64915199999894</v>
      </c>
      <c r="S33" s="59"/>
      <c r="U33" s="222" t="s">
        <v>187</v>
      </c>
      <c r="Y33" s="226" t="s">
        <v>200</v>
      </c>
      <c r="Z33" s="305">
        <v>0</v>
      </c>
      <c r="AA33" s="305">
        <v>0</v>
      </c>
      <c r="AB33" s="305">
        <v>0</v>
      </c>
      <c r="AC33" s="305">
        <f t="shared" si="0"/>
        <v>0</v>
      </c>
      <c r="AE33" s="229" t="s">
        <v>95</v>
      </c>
      <c r="AF33" s="305">
        <v>10</v>
      </c>
      <c r="AG33" s="305">
        <v>5.6</v>
      </c>
      <c r="AH33" s="305">
        <v>4</v>
      </c>
      <c r="AI33" s="305">
        <f t="shared" si="1"/>
        <v>19.600000000000001</v>
      </c>
      <c r="AL33" s="227" t="s">
        <v>103</v>
      </c>
      <c r="AM33" s="229">
        <v>24</v>
      </c>
      <c r="AN33" s="274">
        <v>6.67</v>
      </c>
      <c r="AO33" s="305">
        <v>100</v>
      </c>
      <c r="AP33" s="305">
        <v>80</v>
      </c>
      <c r="AQ33" s="274">
        <v>5.75</v>
      </c>
      <c r="AS33" s="229" t="s">
        <v>95</v>
      </c>
      <c r="AT33" s="229">
        <v>19.600000000000001</v>
      </c>
      <c r="AU33" s="274">
        <v>6.96</v>
      </c>
      <c r="AV33" s="305">
        <v>700</v>
      </c>
      <c r="AW33" s="305">
        <v>76</v>
      </c>
      <c r="AX33" s="274">
        <v>6.1</v>
      </c>
    </row>
    <row r="34" spans="1:50" ht="16.75" customHeight="1">
      <c r="A34" s="179" t="s">
        <v>29</v>
      </c>
      <c r="B34" s="180">
        <v>2941</v>
      </c>
      <c r="C34" s="825"/>
      <c r="D34" s="826"/>
      <c r="E34" s="827">
        <v>215</v>
      </c>
      <c r="F34" s="828"/>
      <c r="G34" s="181">
        <v>2757</v>
      </c>
      <c r="H34" s="182">
        <f>B34+C34-E34</f>
        <v>2726</v>
      </c>
      <c r="I34" s="182">
        <f>G34-H34</f>
        <v>31</v>
      </c>
      <c r="J34" s="52"/>
      <c r="K34" s="188"/>
      <c r="L34" s="117"/>
      <c r="M34" s="71" t="s">
        <v>41</v>
      </c>
      <c r="N34" s="7"/>
      <c r="O34" s="93"/>
      <c r="P34" s="93"/>
      <c r="Q34" s="93"/>
      <c r="R34" s="187" t="s">
        <v>149</v>
      </c>
      <c r="Y34" s="227" t="s">
        <v>96</v>
      </c>
      <c r="Z34" s="305">
        <v>0</v>
      </c>
      <c r="AA34" s="305">
        <v>0</v>
      </c>
      <c r="AB34" s="305">
        <v>0</v>
      </c>
      <c r="AC34" s="305">
        <f>SUM(Z34:AB34)</f>
        <v>0</v>
      </c>
      <c r="AE34" s="229" t="s">
        <v>96</v>
      </c>
      <c r="AF34" s="305">
        <v>10</v>
      </c>
      <c r="AG34" s="305">
        <v>8</v>
      </c>
      <c r="AH34" s="305">
        <v>6</v>
      </c>
      <c r="AI34" s="305">
        <f>SUM(AF34:AH34)</f>
        <v>24</v>
      </c>
      <c r="AL34" s="226" t="s">
        <v>207</v>
      </c>
      <c r="AM34" s="229">
        <v>10.3</v>
      </c>
      <c r="AN34" s="274">
        <v>6.43</v>
      </c>
      <c r="AO34" s="305">
        <v>350</v>
      </c>
      <c r="AP34" s="305">
        <v>79</v>
      </c>
      <c r="AQ34" s="274">
        <v>5.8</v>
      </c>
      <c r="AS34" s="229" t="s">
        <v>96</v>
      </c>
      <c r="AT34" s="229">
        <v>24</v>
      </c>
      <c r="AU34" s="274">
        <v>7.08</v>
      </c>
      <c r="AV34" s="305">
        <v>700</v>
      </c>
      <c r="AW34" s="305">
        <v>76</v>
      </c>
      <c r="AX34" s="274">
        <v>6.08</v>
      </c>
    </row>
    <row r="35" spans="1:50">
      <c r="A35" s="30" t="s">
        <v>45</v>
      </c>
      <c r="C35" s="264" t="s">
        <v>246</v>
      </c>
      <c r="D35" s="46">
        <f>1592+400+203+337+414+413</f>
        <v>3359</v>
      </c>
      <c r="E35" s="79" t="s">
        <v>47</v>
      </c>
      <c r="F35" s="80" t="s">
        <v>46</v>
      </c>
      <c r="G35" s="55">
        <f>4330+D35</f>
        <v>7689</v>
      </c>
      <c r="H35" s="79" t="s">
        <v>47</v>
      </c>
      <c r="I35" s="79"/>
      <c r="J35" s="220"/>
      <c r="K35" s="188">
        <f>N29*L29/10000</f>
        <v>7595.28</v>
      </c>
      <c r="L35" s="117">
        <f>M29*N29/10000</f>
        <v>-189.64915199999896</v>
      </c>
      <c r="M35" s="10"/>
      <c r="N35" s="10" t="s">
        <v>148</v>
      </c>
      <c r="O35" s="10" t="s">
        <v>32</v>
      </c>
      <c r="P35" s="10" t="s">
        <v>61</v>
      </c>
      <c r="Q35" s="155" t="s">
        <v>67</v>
      </c>
      <c r="R35" s="10" t="s">
        <v>42</v>
      </c>
      <c r="S35" s="54" t="s">
        <v>30</v>
      </c>
      <c r="T35" s="54" t="s">
        <v>33</v>
      </c>
      <c r="U35" s="112"/>
      <c r="V35" s="68"/>
      <c r="W35" s="68"/>
      <c r="Y35" s="226" t="s">
        <v>201</v>
      </c>
      <c r="Z35" s="305">
        <v>0</v>
      </c>
      <c r="AA35" s="305">
        <v>0</v>
      </c>
      <c r="AB35" s="305">
        <v>0</v>
      </c>
      <c r="AC35" s="305">
        <f t="shared" si="0"/>
        <v>0</v>
      </c>
      <c r="AE35" s="227" t="s">
        <v>97</v>
      </c>
      <c r="AF35" s="305">
        <v>23</v>
      </c>
      <c r="AG35" s="305">
        <v>0</v>
      </c>
      <c r="AH35" s="305">
        <v>0</v>
      </c>
      <c r="AI35" s="305">
        <f t="shared" ref="AI35:AI45" si="2">SUM(AF35:AH35)</f>
        <v>23</v>
      </c>
      <c r="AL35" s="226" t="s">
        <v>208</v>
      </c>
      <c r="AM35" s="229">
        <v>10.5</v>
      </c>
      <c r="AN35" s="274">
        <v>6.45</v>
      </c>
      <c r="AO35" s="305">
        <v>200</v>
      </c>
      <c r="AP35" s="305">
        <v>77</v>
      </c>
      <c r="AQ35" s="274">
        <v>5.74</v>
      </c>
      <c r="AS35" s="227" t="s">
        <v>97</v>
      </c>
      <c r="AT35" s="229">
        <v>23</v>
      </c>
      <c r="AU35" s="274">
        <v>7.09</v>
      </c>
      <c r="AV35" s="305">
        <v>700</v>
      </c>
      <c r="AW35" s="305">
        <v>77</v>
      </c>
      <c r="AX35" s="274">
        <v>6.25</v>
      </c>
    </row>
    <row r="36" spans="1:50">
      <c r="A36" s="30" t="s">
        <v>48</v>
      </c>
      <c r="C36" s="264" t="s">
        <v>246</v>
      </c>
      <c r="D36" s="46">
        <f>225+223+222+205+221+112+229+215</f>
        <v>1652</v>
      </c>
      <c r="E36" s="79" t="s">
        <v>47</v>
      </c>
      <c r="F36" s="80" t="s">
        <v>46</v>
      </c>
      <c r="G36" s="55">
        <f>2396+D36</f>
        <v>4048</v>
      </c>
      <c r="H36" s="79" t="s">
        <v>47</v>
      </c>
      <c r="I36" s="79"/>
      <c r="J36" s="188"/>
      <c r="K36" s="188">
        <f>N30*L30/10000</f>
        <v>14538.44</v>
      </c>
      <c r="L36" s="211">
        <f>M30*N30/10000</f>
        <v>-323.32110999999924</v>
      </c>
      <c r="M36" s="100" t="s">
        <v>248</v>
      </c>
      <c r="N36" s="11"/>
      <c r="O36" s="67">
        <v>730</v>
      </c>
      <c r="P36" s="76">
        <v>33</v>
      </c>
      <c r="Q36" s="76">
        <f t="shared" ref="Q36:Q61" si="3">O36-P36</f>
        <v>697</v>
      </c>
      <c r="R36" s="10">
        <f>Q36*(1-T36)*1.065</f>
        <v>727.45889999999986</v>
      </c>
      <c r="S36" s="54">
        <f t="shared" ref="S36:S61" si="4">Q36*T36*1.2</f>
        <v>16.727999999999998</v>
      </c>
      <c r="T36" s="103">
        <v>0.02</v>
      </c>
      <c r="U36" s="36">
        <v>0.02</v>
      </c>
      <c r="V36" s="46" t="e">
        <f t="shared" ref="V36:V65" si="5">R36/$W$66</f>
        <v>#DIV/0!</v>
      </c>
      <c r="Y36" s="226" t="s">
        <v>202</v>
      </c>
      <c r="Z36" s="305">
        <v>5.8</v>
      </c>
      <c r="AA36" s="305">
        <v>0</v>
      </c>
      <c r="AB36" s="305">
        <v>1</v>
      </c>
      <c r="AC36" s="305">
        <f t="shared" si="0"/>
        <v>6.8</v>
      </c>
      <c r="AE36" s="229" t="s">
        <v>98</v>
      </c>
      <c r="AF36" s="305">
        <v>0</v>
      </c>
      <c r="AG36" s="305">
        <v>0</v>
      </c>
      <c r="AH36" s="305">
        <v>0</v>
      </c>
      <c r="AI36" s="305">
        <f t="shared" si="2"/>
        <v>0</v>
      </c>
      <c r="AL36" s="226" t="s">
        <v>209</v>
      </c>
      <c r="AM36" s="229">
        <v>9.1</v>
      </c>
      <c r="AN36" s="274">
        <v>6.62</v>
      </c>
      <c r="AO36" s="305">
        <v>700</v>
      </c>
      <c r="AP36" s="305">
        <v>74</v>
      </c>
      <c r="AQ36" s="274">
        <v>5.92</v>
      </c>
      <c r="AS36" s="229" t="s">
        <v>101</v>
      </c>
      <c r="AT36" s="229">
        <v>23.5</v>
      </c>
      <c r="AU36" s="274">
        <v>6.09</v>
      </c>
      <c r="AV36" s="305">
        <v>400</v>
      </c>
      <c r="AW36" s="305">
        <v>85</v>
      </c>
      <c r="AX36" s="274">
        <v>5.65</v>
      </c>
    </row>
    <row r="37" spans="1:50" ht="15.65" customHeight="1">
      <c r="A37" s="30"/>
      <c r="B37" s="15"/>
      <c r="C37" s="99"/>
      <c r="D37" s="46"/>
      <c r="E37" s="79"/>
      <c r="F37" s="80"/>
      <c r="G37" s="98"/>
      <c r="H37" s="79"/>
      <c r="I37" s="79"/>
      <c r="J37" s="188"/>
      <c r="K37" s="261">
        <f t="shared" ref="K37:L37" si="6">SUM(K34:K36)</f>
        <v>22133.72</v>
      </c>
      <c r="L37" s="261">
        <f t="shared" si="6"/>
        <v>-512.97026199999823</v>
      </c>
      <c r="M37" s="100" t="s">
        <v>249</v>
      </c>
      <c r="N37" s="11"/>
      <c r="O37" s="67">
        <v>794</v>
      </c>
      <c r="P37" s="76">
        <v>50</v>
      </c>
      <c r="Q37" s="76">
        <f t="shared" si="3"/>
        <v>744</v>
      </c>
      <c r="R37" s="10">
        <f t="shared" ref="R37:R45" si="7">Q37*(1-T37)*1.065</f>
        <v>776.51279999999997</v>
      </c>
      <c r="S37" s="54">
        <f t="shared" si="4"/>
        <v>17.856000000000002</v>
      </c>
      <c r="T37" s="103">
        <v>0.02</v>
      </c>
      <c r="U37" s="36">
        <f t="shared" ref="U37:U43" si="8">S37*0.6</f>
        <v>10.713600000000001</v>
      </c>
      <c r="V37" s="46" t="e">
        <f t="shared" si="5"/>
        <v>#DIV/0!</v>
      </c>
      <c r="Y37" s="226" t="s">
        <v>203</v>
      </c>
      <c r="Z37" s="305">
        <v>10</v>
      </c>
      <c r="AA37" s="305">
        <v>2.8</v>
      </c>
      <c r="AB37" s="305">
        <v>2</v>
      </c>
      <c r="AC37" s="305">
        <f t="shared" si="0"/>
        <v>14.8</v>
      </c>
      <c r="AE37" s="229" t="s">
        <v>99</v>
      </c>
      <c r="AF37" s="305">
        <v>0</v>
      </c>
      <c r="AG37" s="305">
        <v>0</v>
      </c>
      <c r="AH37" s="305">
        <v>0</v>
      </c>
      <c r="AI37" s="305">
        <f t="shared" si="2"/>
        <v>0</v>
      </c>
      <c r="AL37" s="226" t="s">
        <v>210</v>
      </c>
      <c r="AM37" s="229">
        <v>10.1</v>
      </c>
      <c r="AN37" s="274">
        <v>6.84</v>
      </c>
      <c r="AO37" s="305">
        <v>650</v>
      </c>
      <c r="AP37" s="305">
        <v>72</v>
      </c>
      <c r="AQ37" s="274">
        <v>5.84</v>
      </c>
      <c r="AS37" s="229" t="s">
        <v>102</v>
      </c>
      <c r="AT37" s="229">
        <v>20.3</v>
      </c>
      <c r="AU37" s="274">
        <v>5.86</v>
      </c>
      <c r="AV37" s="305">
        <v>400</v>
      </c>
      <c r="AW37" s="305">
        <v>83</v>
      </c>
      <c r="AX37" s="274">
        <v>5.91</v>
      </c>
    </row>
    <row r="38" spans="1:50">
      <c r="A38" s="31" t="s">
        <v>50</v>
      </c>
      <c r="J38" s="34"/>
      <c r="L38" s="51"/>
      <c r="M38" s="100" t="s">
        <v>115</v>
      </c>
      <c r="N38" s="11"/>
      <c r="O38" s="67"/>
      <c r="P38" s="76"/>
      <c r="Q38" s="76">
        <f t="shared" si="3"/>
        <v>0</v>
      </c>
      <c r="R38" s="10">
        <f t="shared" si="7"/>
        <v>0</v>
      </c>
      <c r="S38" s="54">
        <f t="shared" si="4"/>
        <v>0</v>
      </c>
      <c r="T38" s="103">
        <v>0.02</v>
      </c>
      <c r="U38" s="36">
        <f t="shared" si="8"/>
        <v>0</v>
      </c>
      <c r="V38" s="46" t="e">
        <f t="shared" si="5"/>
        <v>#DIV/0!</v>
      </c>
      <c r="Y38" s="226" t="s">
        <v>204</v>
      </c>
      <c r="Z38" s="305">
        <v>10</v>
      </c>
      <c r="AA38" s="305">
        <v>4.7</v>
      </c>
      <c r="AB38" s="305">
        <v>2</v>
      </c>
      <c r="AC38" s="305">
        <f t="shared" si="0"/>
        <v>16.7</v>
      </c>
      <c r="AE38" s="229" t="s">
        <v>100</v>
      </c>
      <c r="AF38" s="305">
        <v>0</v>
      </c>
      <c r="AG38" s="305">
        <v>0</v>
      </c>
      <c r="AH38" s="305">
        <v>0</v>
      </c>
      <c r="AI38" s="305">
        <f t="shared" si="2"/>
        <v>0</v>
      </c>
      <c r="AL38" s="226" t="s">
        <v>211</v>
      </c>
      <c r="AM38" s="229">
        <v>10.1</v>
      </c>
      <c r="AN38" s="274">
        <v>7.33</v>
      </c>
      <c r="AO38" s="305">
        <v>700</v>
      </c>
      <c r="AP38" s="305">
        <v>73</v>
      </c>
      <c r="AQ38" s="274">
        <v>6.29</v>
      </c>
      <c r="AS38" s="229" t="s">
        <v>103</v>
      </c>
      <c r="AT38" s="229">
        <v>24</v>
      </c>
      <c r="AU38" s="274">
        <v>5.0999999999999996</v>
      </c>
      <c r="AV38" s="305">
        <v>350</v>
      </c>
      <c r="AW38" s="305">
        <v>82</v>
      </c>
      <c r="AX38" s="274">
        <v>5.66</v>
      </c>
    </row>
    <row r="39" spans="1:50" ht="15.05" customHeight="1">
      <c r="A39" s="842" t="s">
        <v>1</v>
      </c>
      <c r="B39" s="203" t="s">
        <v>166</v>
      </c>
      <c r="C39" s="205" t="s">
        <v>168</v>
      </c>
      <c r="D39" s="843" t="s">
        <v>36</v>
      </c>
      <c r="E39" s="844"/>
      <c r="F39" s="842" t="s">
        <v>37</v>
      </c>
      <c r="G39" s="842"/>
      <c r="H39" s="842"/>
      <c r="I39" s="842"/>
      <c r="J39" s="238"/>
      <c r="K39" s="18"/>
      <c r="L39" s="290"/>
      <c r="M39" s="100" t="s">
        <v>116</v>
      </c>
      <c r="N39" s="11"/>
      <c r="O39" s="67"/>
      <c r="P39" s="76"/>
      <c r="Q39" s="76">
        <f t="shared" si="3"/>
        <v>0</v>
      </c>
      <c r="R39" s="10">
        <f t="shared" si="7"/>
        <v>0</v>
      </c>
      <c r="S39" s="54">
        <f t="shared" si="4"/>
        <v>0</v>
      </c>
      <c r="T39" s="103">
        <v>0.02</v>
      </c>
      <c r="U39" s="36">
        <f t="shared" si="8"/>
        <v>0</v>
      </c>
      <c r="V39" s="46" t="e">
        <f t="shared" si="5"/>
        <v>#DIV/0!</v>
      </c>
      <c r="Y39" s="226" t="s">
        <v>205</v>
      </c>
      <c r="Z39" s="305">
        <v>10</v>
      </c>
      <c r="AA39" s="305">
        <v>4.3</v>
      </c>
      <c r="AB39" s="305">
        <v>2</v>
      </c>
      <c r="AC39" s="305">
        <f t="shared" si="0"/>
        <v>16.3</v>
      </c>
      <c r="AE39" s="229" t="s">
        <v>101</v>
      </c>
      <c r="AF39" s="305">
        <v>9.5</v>
      </c>
      <c r="AG39" s="305">
        <v>8</v>
      </c>
      <c r="AH39" s="305">
        <v>6</v>
      </c>
      <c r="AI39" s="305">
        <f t="shared" si="2"/>
        <v>23.5</v>
      </c>
      <c r="AL39" s="226" t="s">
        <v>212</v>
      </c>
      <c r="AM39" s="229">
        <v>10.3</v>
      </c>
      <c r="AN39" s="274">
        <v>7.48</v>
      </c>
      <c r="AO39" s="305">
        <v>700</v>
      </c>
      <c r="AP39" s="305">
        <v>73</v>
      </c>
      <c r="AQ39" s="274">
        <v>5.74</v>
      </c>
      <c r="AS39" s="227" t="s">
        <v>104</v>
      </c>
      <c r="AT39" s="229">
        <v>24</v>
      </c>
      <c r="AU39" s="274">
        <v>5.0999999999999996</v>
      </c>
      <c r="AV39" s="305">
        <v>300</v>
      </c>
      <c r="AW39" s="305">
        <v>84</v>
      </c>
      <c r="AX39" s="274">
        <v>5.72</v>
      </c>
    </row>
    <row r="40" spans="1:50" ht="15.05" customHeight="1">
      <c r="A40" s="842"/>
      <c r="B40" s="204" t="s">
        <v>167</v>
      </c>
      <c r="C40" s="204" t="s">
        <v>35</v>
      </c>
      <c r="D40" s="265" t="s">
        <v>247</v>
      </c>
      <c r="E40" s="77" t="s">
        <v>7</v>
      </c>
      <c r="F40" s="302" t="s">
        <v>34</v>
      </c>
      <c r="G40" s="302" t="s">
        <v>38</v>
      </c>
      <c r="H40" s="842" t="s">
        <v>7</v>
      </c>
      <c r="I40" s="842"/>
      <c r="J40" s="56"/>
      <c r="K40" s="6"/>
      <c r="L40" s="260"/>
      <c r="M40" s="100" t="s">
        <v>117</v>
      </c>
      <c r="N40" s="11"/>
      <c r="O40" s="67"/>
      <c r="P40" s="76"/>
      <c r="Q40" s="76">
        <f t="shared" si="3"/>
        <v>0</v>
      </c>
      <c r="R40" s="10">
        <f t="shared" si="7"/>
        <v>0</v>
      </c>
      <c r="S40" s="54">
        <f t="shared" si="4"/>
        <v>0</v>
      </c>
      <c r="T40" s="103">
        <v>0.02</v>
      </c>
      <c r="U40" s="36">
        <f t="shared" si="8"/>
        <v>0</v>
      </c>
      <c r="V40" s="46" t="e">
        <f t="shared" si="5"/>
        <v>#DIV/0!</v>
      </c>
      <c r="W40" s="36"/>
      <c r="Y40" s="226" t="s">
        <v>206</v>
      </c>
      <c r="Z40" s="305">
        <v>10</v>
      </c>
      <c r="AA40" s="305">
        <v>0.8</v>
      </c>
      <c r="AB40" s="305">
        <v>0</v>
      </c>
      <c r="AC40" s="305">
        <f t="shared" si="0"/>
        <v>10.8</v>
      </c>
      <c r="AE40" s="229" t="s">
        <v>102</v>
      </c>
      <c r="AF40" s="305">
        <v>10</v>
      </c>
      <c r="AG40" s="305">
        <v>6.3</v>
      </c>
      <c r="AH40" s="305">
        <v>4</v>
      </c>
      <c r="AI40" s="305">
        <f t="shared" si="2"/>
        <v>20.3</v>
      </c>
      <c r="AL40" s="227" t="s">
        <v>110</v>
      </c>
      <c r="AM40" s="229">
        <v>24</v>
      </c>
      <c r="AN40" s="274">
        <v>6.48</v>
      </c>
      <c r="AO40" s="305">
        <v>250</v>
      </c>
      <c r="AP40" s="305">
        <v>76</v>
      </c>
      <c r="AQ40" s="274">
        <v>5.66</v>
      </c>
      <c r="AS40" s="226" t="s">
        <v>208</v>
      </c>
      <c r="AT40" s="229">
        <v>20.3</v>
      </c>
      <c r="AU40" s="274">
        <v>6.48</v>
      </c>
      <c r="AV40" s="305">
        <v>700</v>
      </c>
      <c r="AW40" s="305">
        <v>77</v>
      </c>
      <c r="AX40" s="274">
        <v>6.13</v>
      </c>
    </row>
    <row r="41" spans="1:50" ht="16.75" customHeight="1" thickBot="1">
      <c r="A41" s="302" t="s">
        <v>40</v>
      </c>
      <c r="B41" s="304">
        <v>1088</v>
      </c>
      <c r="C41" s="300"/>
      <c r="D41" s="299">
        <f>499+144+19+18+17+18+17+13+43</f>
        <v>788</v>
      </c>
      <c r="E41" s="300">
        <f>D41+C41</f>
        <v>788</v>
      </c>
      <c r="F41" s="300">
        <v>0</v>
      </c>
      <c r="G41" s="300">
        <f>1088-D41</f>
        <v>300</v>
      </c>
      <c r="H41" s="845">
        <f>G41+F41</f>
        <v>300</v>
      </c>
      <c r="I41" s="845"/>
      <c r="J41" s="57">
        <f>B41-E41</f>
        <v>300</v>
      </c>
      <c r="K41" s="158">
        <f>J41-H41</f>
        <v>0</v>
      </c>
      <c r="L41" s="260"/>
      <c r="M41" s="100" t="s">
        <v>118</v>
      </c>
      <c r="N41" s="11"/>
      <c r="O41" s="67"/>
      <c r="P41" s="76"/>
      <c r="Q41" s="76">
        <f t="shared" si="3"/>
        <v>0</v>
      </c>
      <c r="R41" s="10">
        <f t="shared" si="7"/>
        <v>0</v>
      </c>
      <c r="S41" s="54">
        <f t="shared" si="4"/>
        <v>0</v>
      </c>
      <c r="T41" s="103">
        <v>0.02</v>
      </c>
      <c r="U41" s="36">
        <f t="shared" si="8"/>
        <v>0</v>
      </c>
      <c r="V41" s="46" t="e">
        <f t="shared" si="5"/>
        <v>#DIV/0!</v>
      </c>
      <c r="W41" s="36"/>
      <c r="Y41" s="227" t="s">
        <v>103</v>
      </c>
      <c r="Z41" s="305">
        <v>24</v>
      </c>
      <c r="AA41" s="305">
        <v>0</v>
      </c>
      <c r="AB41" s="305">
        <v>0</v>
      </c>
      <c r="AC41" s="305">
        <f t="shared" si="0"/>
        <v>24</v>
      </c>
      <c r="AE41" s="229" t="s">
        <v>103</v>
      </c>
      <c r="AF41" s="305">
        <v>10</v>
      </c>
      <c r="AG41" s="305">
        <v>8</v>
      </c>
      <c r="AH41" s="305">
        <v>6</v>
      </c>
      <c r="AI41" s="305">
        <f t="shared" si="2"/>
        <v>24</v>
      </c>
      <c r="AL41" s="226" t="s">
        <v>213</v>
      </c>
      <c r="AM41" s="229">
        <v>10.5</v>
      </c>
      <c r="AN41" s="274">
        <v>6.3</v>
      </c>
      <c r="AO41" s="305">
        <v>400</v>
      </c>
      <c r="AP41" s="305">
        <v>76</v>
      </c>
      <c r="AQ41" s="274">
        <v>5.77</v>
      </c>
      <c r="AS41" s="226" t="s">
        <v>216</v>
      </c>
      <c r="AT41" s="229">
        <v>13.3</v>
      </c>
      <c r="AU41" s="274">
        <v>8.25</v>
      </c>
      <c r="AV41" s="305">
        <v>700</v>
      </c>
      <c r="AW41" s="305">
        <v>70</v>
      </c>
      <c r="AX41" s="274">
        <v>7.45</v>
      </c>
    </row>
    <row r="42" spans="1:50" ht="16.75" customHeight="1" thickTop="1">
      <c r="A42" s="206" t="s">
        <v>178</v>
      </c>
      <c r="B42" s="300"/>
      <c r="C42" s="300">
        <v>27030</v>
      </c>
      <c r="D42" s="299">
        <f>839+726+779+746+808+857+167+760+886+807+214</f>
        <v>7589</v>
      </c>
      <c r="E42" s="300">
        <f>D42</f>
        <v>7589</v>
      </c>
      <c r="F42" s="300">
        <f>19337+104</f>
        <v>19441</v>
      </c>
      <c r="G42" s="300">
        <f>C42-E42-F42</f>
        <v>0</v>
      </c>
      <c r="H42" s="846">
        <f>G42+F42</f>
        <v>19441</v>
      </c>
      <c r="I42" s="847"/>
      <c r="J42" s="57">
        <f>B42-E42</f>
        <v>-7589</v>
      </c>
      <c r="K42" s="158">
        <f>J42-H42</f>
        <v>-27030</v>
      </c>
      <c r="L42" s="57"/>
      <c r="M42" s="100" t="s">
        <v>119</v>
      </c>
      <c r="N42" s="11"/>
      <c r="O42" s="67">
        <v>520</v>
      </c>
      <c r="P42" s="76">
        <v>33</v>
      </c>
      <c r="Q42" s="76">
        <f t="shared" si="3"/>
        <v>487</v>
      </c>
      <c r="R42" s="10">
        <f t="shared" si="7"/>
        <v>508.28189999999995</v>
      </c>
      <c r="S42" s="54">
        <f t="shared" si="4"/>
        <v>11.688000000000001</v>
      </c>
      <c r="T42" s="103">
        <v>0.02</v>
      </c>
      <c r="U42" s="36">
        <f t="shared" si="8"/>
        <v>7.0128000000000004</v>
      </c>
      <c r="V42" s="46" t="e">
        <f t="shared" si="5"/>
        <v>#DIV/0!</v>
      </c>
      <c r="W42" s="36"/>
      <c r="Y42" s="226" t="s">
        <v>207</v>
      </c>
      <c r="Z42" s="305">
        <v>10</v>
      </c>
      <c r="AA42" s="305">
        <v>0.3</v>
      </c>
      <c r="AB42" s="305">
        <v>0</v>
      </c>
      <c r="AC42" s="305">
        <f t="shared" si="0"/>
        <v>10.3</v>
      </c>
      <c r="AE42" s="227" t="s">
        <v>104</v>
      </c>
      <c r="AF42" s="305">
        <v>24</v>
      </c>
      <c r="AG42" s="305">
        <v>0</v>
      </c>
      <c r="AH42" s="305">
        <v>0</v>
      </c>
      <c r="AI42" s="305">
        <f t="shared" si="2"/>
        <v>24</v>
      </c>
      <c r="AL42" s="226" t="s">
        <v>214</v>
      </c>
      <c r="AM42" s="229">
        <v>10.5</v>
      </c>
      <c r="AN42" s="274">
        <v>6.53</v>
      </c>
      <c r="AO42" s="305">
        <v>400</v>
      </c>
      <c r="AP42" s="305">
        <v>76</v>
      </c>
      <c r="AQ42" s="274">
        <v>5.85</v>
      </c>
      <c r="AS42" s="270" t="s">
        <v>250</v>
      </c>
      <c r="AT42" s="269">
        <f>SUM(AT23:AT41)</f>
        <v>405.00000000000006</v>
      </c>
      <c r="AU42" s="271">
        <f>AVERAGE(AU23:AU41)</f>
        <v>6.7552631578947366</v>
      </c>
      <c r="AV42" s="268">
        <f>AVERAGE(AV23:AV41)</f>
        <v>621.0526315789474</v>
      </c>
      <c r="AW42" s="268">
        <f>AVERAGE(AW23:AW41)</f>
        <v>78.526315789473685</v>
      </c>
      <c r="AX42" s="269">
        <v>6.06</v>
      </c>
    </row>
    <row r="43" spans="1:50" ht="16.75" customHeight="1">
      <c r="A43" s="283" t="s">
        <v>264</v>
      </c>
      <c r="B43" s="300"/>
      <c r="C43" s="300">
        <v>6699</v>
      </c>
      <c r="D43" s="299">
        <f>777+1812</f>
        <v>2589</v>
      </c>
      <c r="E43" s="300">
        <f>D43</f>
        <v>2589</v>
      </c>
      <c r="F43" s="300">
        <v>0</v>
      </c>
      <c r="G43" s="300">
        <f>C43-E43-F43+575</f>
        <v>4685</v>
      </c>
      <c r="H43" s="846">
        <f>G43+F43</f>
        <v>4685</v>
      </c>
      <c r="I43" s="847"/>
      <c r="J43" s="57">
        <f>C43-E43</f>
        <v>4110</v>
      </c>
      <c r="K43" s="158">
        <f>J43-H43</f>
        <v>-575</v>
      </c>
      <c r="L43" s="57"/>
      <c r="M43" s="100" t="s">
        <v>120</v>
      </c>
      <c r="N43" s="11"/>
      <c r="O43" s="67">
        <v>784</v>
      </c>
      <c r="P43" s="76">
        <v>32</v>
      </c>
      <c r="Q43" s="76">
        <f t="shared" si="3"/>
        <v>752</v>
      </c>
      <c r="R43" s="10">
        <f t="shared" si="7"/>
        <v>784.86239999999998</v>
      </c>
      <c r="S43" s="54">
        <f t="shared" si="4"/>
        <v>18.048000000000002</v>
      </c>
      <c r="T43" s="103">
        <v>0.02</v>
      </c>
      <c r="U43" s="36">
        <f t="shared" si="8"/>
        <v>10.828800000000001</v>
      </c>
      <c r="V43" s="46" t="e">
        <f t="shared" si="5"/>
        <v>#DIV/0!</v>
      </c>
      <c r="W43" s="36"/>
      <c r="Y43" s="226" t="s">
        <v>208</v>
      </c>
      <c r="Z43" s="305">
        <v>10</v>
      </c>
      <c r="AA43" s="305">
        <v>0.5</v>
      </c>
      <c r="AB43" s="305">
        <v>0</v>
      </c>
      <c r="AC43" s="305">
        <f t="shared" si="0"/>
        <v>10.5</v>
      </c>
      <c r="AE43" s="226" t="s">
        <v>208</v>
      </c>
      <c r="AF43" s="305">
        <v>6.3</v>
      </c>
      <c r="AG43" s="305">
        <v>8</v>
      </c>
      <c r="AH43" s="305">
        <v>6</v>
      </c>
      <c r="AI43" s="305">
        <f t="shared" si="2"/>
        <v>20.3</v>
      </c>
      <c r="AL43" s="226" t="s">
        <v>215</v>
      </c>
      <c r="AM43" s="229">
        <v>10.5</v>
      </c>
      <c r="AN43" s="274">
        <v>8.6</v>
      </c>
      <c r="AO43" s="305">
        <v>700</v>
      </c>
      <c r="AP43" s="305">
        <v>72</v>
      </c>
      <c r="AQ43" s="274">
        <v>5.49</v>
      </c>
    </row>
    <row r="44" spans="1:50" ht="16.75" customHeight="1" thickBot="1">
      <c r="A44" s="311" t="s">
        <v>283</v>
      </c>
      <c r="B44" s="300"/>
      <c r="C44" s="300">
        <v>6765</v>
      </c>
      <c r="D44" s="299">
        <f>582</f>
        <v>582</v>
      </c>
      <c r="E44" s="300">
        <f>D44</f>
        <v>582</v>
      </c>
      <c r="F44" s="300"/>
      <c r="G44" s="300">
        <f>C44-E44-F44</f>
        <v>6183</v>
      </c>
      <c r="H44" s="846">
        <f>G44+F44</f>
        <v>6183</v>
      </c>
      <c r="I44" s="847"/>
      <c r="J44" s="57">
        <f>C44-E44</f>
        <v>6183</v>
      </c>
      <c r="K44" s="158">
        <f>J44-H44</f>
        <v>0</v>
      </c>
      <c r="L44" s="57"/>
      <c r="M44" s="100" t="s">
        <v>121</v>
      </c>
      <c r="N44" s="11"/>
      <c r="O44" s="67">
        <v>788</v>
      </c>
      <c r="P44" s="76">
        <v>30</v>
      </c>
      <c r="Q44" s="76">
        <f t="shared" si="3"/>
        <v>758</v>
      </c>
      <c r="R44" s="10">
        <f t="shared" si="7"/>
        <v>791.12459999999999</v>
      </c>
      <c r="S44" s="54">
        <f t="shared" si="4"/>
        <v>18.192</v>
      </c>
      <c r="T44" s="103">
        <v>0.02</v>
      </c>
      <c r="U44" s="36">
        <f>S44*0.6</f>
        <v>10.9152</v>
      </c>
      <c r="V44" s="46" t="e">
        <f t="shared" si="5"/>
        <v>#DIV/0!</v>
      </c>
      <c r="W44" s="36"/>
      <c r="Y44" s="226" t="s">
        <v>209</v>
      </c>
      <c r="Z44" s="305">
        <v>9.1</v>
      </c>
      <c r="AA44" s="305">
        <v>0</v>
      </c>
      <c r="AB44" s="305">
        <v>0</v>
      </c>
      <c r="AC44" s="305">
        <f t="shared" ref="AC44" si="9">SUM(Z44:AB44)</f>
        <v>9.1</v>
      </c>
      <c r="AE44" s="226" t="s">
        <v>209</v>
      </c>
      <c r="AF44" s="305">
        <v>0</v>
      </c>
      <c r="AG44" s="305">
        <v>0</v>
      </c>
      <c r="AH44" s="305">
        <v>0</v>
      </c>
      <c r="AI44" s="305">
        <f t="shared" si="2"/>
        <v>0</v>
      </c>
      <c r="AL44" s="266" t="s">
        <v>216</v>
      </c>
      <c r="AM44" s="267">
        <v>10.6</v>
      </c>
      <c r="AN44" s="275">
        <v>6.74</v>
      </c>
      <c r="AO44" s="308">
        <v>260</v>
      </c>
      <c r="AP44" s="308">
        <v>77</v>
      </c>
      <c r="AQ44" s="275">
        <v>6.1</v>
      </c>
    </row>
    <row r="45" spans="1:50" ht="18.8" thickTop="1">
      <c r="A45" s="148" t="s">
        <v>31</v>
      </c>
      <c r="B45" s="300">
        <f>SUM(B41:B43)</f>
        <v>1088</v>
      </c>
      <c r="C45" s="300">
        <f>SUM(C41:C44)</f>
        <v>40494</v>
      </c>
      <c r="D45" s="300">
        <f>SUM(D41:D44)</f>
        <v>11548</v>
      </c>
      <c r="E45" s="300">
        <f>SUM(E41:E44)</f>
        <v>11548</v>
      </c>
      <c r="F45" s="300">
        <f>SUM(F41:F44)</f>
        <v>19441</v>
      </c>
      <c r="G45" s="300">
        <f>SUM(G41:G44)</f>
        <v>11168</v>
      </c>
      <c r="H45" s="845">
        <f>SUM(H41:I44)</f>
        <v>30609</v>
      </c>
      <c r="I45" s="845"/>
      <c r="J45" s="57">
        <f>B45+C45-E45-H45</f>
        <v>-575</v>
      </c>
      <c r="K45" s="158"/>
      <c r="L45" s="57"/>
      <c r="M45" s="100" t="s">
        <v>122</v>
      </c>
      <c r="N45" s="11"/>
      <c r="O45" s="67">
        <v>1848</v>
      </c>
      <c r="P45" s="76">
        <v>54</v>
      </c>
      <c r="Q45" s="76">
        <f t="shared" si="3"/>
        <v>1794</v>
      </c>
      <c r="R45" s="10">
        <f t="shared" si="7"/>
        <v>1872.3977999999997</v>
      </c>
      <c r="S45" s="54">
        <f t="shared" si="4"/>
        <v>43.056000000000004</v>
      </c>
      <c r="T45" s="103">
        <v>0.02</v>
      </c>
      <c r="U45" s="36">
        <f t="shared" ref="U45:U55" si="10">S45*0.6</f>
        <v>25.833600000000001</v>
      </c>
      <c r="V45" s="46" t="e">
        <f t="shared" si="5"/>
        <v>#DIV/0!</v>
      </c>
      <c r="W45" s="36"/>
      <c r="X45" s="36"/>
      <c r="Y45" s="226" t="s">
        <v>210</v>
      </c>
      <c r="Z45" s="305">
        <v>10</v>
      </c>
      <c r="AA45" s="305">
        <v>0.1</v>
      </c>
      <c r="AB45" s="305">
        <v>0</v>
      </c>
      <c r="AC45" s="305">
        <f t="shared" si="0"/>
        <v>10.1</v>
      </c>
      <c r="AE45" s="226" t="s">
        <v>210</v>
      </c>
      <c r="AF45" s="305">
        <v>0</v>
      </c>
      <c r="AG45" s="305">
        <v>0</v>
      </c>
      <c r="AH45" s="305">
        <v>0</v>
      </c>
      <c r="AI45" s="305">
        <f t="shared" si="2"/>
        <v>0</v>
      </c>
      <c r="AL45" s="270" t="s">
        <v>250</v>
      </c>
      <c r="AM45" s="269">
        <v>294.10000000000002</v>
      </c>
      <c r="AN45" s="271">
        <f>AVERAGE(AN23:AN44)</f>
        <v>6.4150000000000009</v>
      </c>
      <c r="AO45" s="268">
        <f>AVERAGE(AO23:AO44)</f>
        <v>427.72727272727275</v>
      </c>
      <c r="AP45" s="268">
        <f>AVERAGE(AP23:AP44)</f>
        <v>77.909090909090907</v>
      </c>
      <c r="AQ45" s="269">
        <v>5.75</v>
      </c>
    </row>
    <row r="46" spans="1:50" ht="17.399999999999999" customHeight="1">
      <c r="D46" s="221"/>
      <c r="J46" s="56"/>
      <c r="K46" s="6">
        <v>4572</v>
      </c>
      <c r="L46" s="57"/>
      <c r="M46" s="100" t="s">
        <v>123</v>
      </c>
      <c r="N46" s="11"/>
      <c r="O46" s="67">
        <v>797</v>
      </c>
      <c r="P46" s="76">
        <v>28</v>
      </c>
      <c r="Q46" s="76">
        <f t="shared" si="3"/>
        <v>769</v>
      </c>
      <c r="R46" s="10">
        <f>Q46*(1-T46)*1.068</f>
        <v>804.86616000000004</v>
      </c>
      <c r="S46" s="54">
        <f t="shared" si="4"/>
        <v>18.456</v>
      </c>
      <c r="T46" s="103">
        <v>0.02</v>
      </c>
      <c r="U46" s="36">
        <f t="shared" si="10"/>
        <v>11.073599999999999</v>
      </c>
      <c r="V46" s="46" t="e">
        <f t="shared" si="5"/>
        <v>#DIV/0!</v>
      </c>
      <c r="Y46" s="226" t="s">
        <v>211</v>
      </c>
      <c r="Z46" s="305">
        <v>10</v>
      </c>
      <c r="AA46" s="305">
        <v>0.1</v>
      </c>
      <c r="AB46" s="305">
        <v>0</v>
      </c>
      <c r="AC46" s="305">
        <f>SUM(Z46:AB46)</f>
        <v>10.1</v>
      </c>
      <c r="AE46" s="226" t="s">
        <v>211</v>
      </c>
      <c r="AF46" s="305">
        <v>0</v>
      </c>
      <c r="AG46" s="305">
        <v>0</v>
      </c>
      <c r="AH46" s="305">
        <v>0</v>
      </c>
      <c r="AI46" s="305">
        <f>SUM(AF46:AH46)</f>
        <v>0</v>
      </c>
    </row>
    <row r="47" spans="1:50" ht="14.4" customHeight="1">
      <c r="A47" s="15" t="s">
        <v>78</v>
      </c>
      <c r="F47" s="42"/>
      <c r="G47" s="42"/>
      <c r="J47" s="104"/>
      <c r="K47" s="105">
        <v>3171</v>
      </c>
      <c r="L47" s="57"/>
      <c r="M47" s="100" t="s">
        <v>124</v>
      </c>
      <c r="N47" s="11"/>
      <c r="O47" s="67">
        <v>810</v>
      </c>
      <c r="P47" s="76">
        <v>33</v>
      </c>
      <c r="Q47" s="76">
        <f t="shared" si="3"/>
        <v>777</v>
      </c>
      <c r="R47" s="10">
        <f t="shared" ref="R47:R61" si="11">Q47*(1-T47)*1.068</f>
        <v>813.23928000000012</v>
      </c>
      <c r="S47" s="54">
        <f t="shared" si="4"/>
        <v>18.648</v>
      </c>
      <c r="T47" s="103">
        <v>0.02</v>
      </c>
      <c r="U47" s="36">
        <f t="shared" si="10"/>
        <v>11.188799999999999</v>
      </c>
      <c r="V47" s="46" t="e">
        <f t="shared" si="5"/>
        <v>#DIV/0!</v>
      </c>
      <c r="Y47" s="226" t="s">
        <v>212</v>
      </c>
      <c r="Z47" s="305">
        <v>10</v>
      </c>
      <c r="AA47" s="305">
        <v>0.3</v>
      </c>
      <c r="AB47" s="305">
        <v>0</v>
      </c>
      <c r="AC47" s="305">
        <f t="shared" si="0"/>
        <v>10.3</v>
      </c>
      <c r="AE47" s="226" t="s">
        <v>212</v>
      </c>
      <c r="AF47" s="305">
        <v>0</v>
      </c>
      <c r="AG47" s="305">
        <v>0</v>
      </c>
      <c r="AH47" s="305">
        <v>0</v>
      </c>
      <c r="AI47" s="305">
        <f t="shared" ref="AI47:AI52" si="12">SUM(AF47:AH47)</f>
        <v>0</v>
      </c>
    </row>
    <row r="48" spans="1:50" ht="16.3" customHeight="1">
      <c r="A48" s="833" t="s">
        <v>1</v>
      </c>
      <c r="B48" s="835" t="s">
        <v>37</v>
      </c>
      <c r="C48" s="836"/>
      <c r="D48" s="837" t="s">
        <v>35</v>
      </c>
      <c r="E48" s="838"/>
      <c r="F48" s="837" t="s">
        <v>36</v>
      </c>
      <c r="G48" s="838"/>
      <c r="H48" s="839" t="s">
        <v>6</v>
      </c>
      <c r="I48" s="836"/>
      <c r="J48" s="104"/>
      <c r="K48" s="156">
        <f>SUM(K46:K47)</f>
        <v>7743</v>
      </c>
      <c r="L48" s="58"/>
      <c r="M48" s="100" t="s">
        <v>125</v>
      </c>
      <c r="N48" s="11"/>
      <c r="O48" s="67">
        <v>784</v>
      </c>
      <c r="P48" s="76">
        <v>31</v>
      </c>
      <c r="Q48" s="76">
        <f t="shared" si="3"/>
        <v>753</v>
      </c>
      <c r="R48" s="10">
        <f t="shared" si="11"/>
        <v>788.11991999999998</v>
      </c>
      <c r="S48" s="54">
        <f t="shared" si="4"/>
        <v>18.071999999999999</v>
      </c>
      <c r="T48" s="103">
        <v>0.02</v>
      </c>
      <c r="U48" s="36">
        <f t="shared" si="10"/>
        <v>10.8432</v>
      </c>
      <c r="V48" s="46" t="e">
        <f t="shared" si="5"/>
        <v>#DIV/0!</v>
      </c>
      <c r="Y48" s="227" t="s">
        <v>110</v>
      </c>
      <c r="Z48" s="305">
        <v>24</v>
      </c>
      <c r="AA48" s="305">
        <v>0</v>
      </c>
      <c r="AB48" s="305">
        <v>0</v>
      </c>
      <c r="AC48" s="305">
        <f t="shared" si="0"/>
        <v>24</v>
      </c>
      <c r="AE48" s="229" t="s">
        <v>110</v>
      </c>
      <c r="AF48" s="305">
        <v>0</v>
      </c>
      <c r="AG48" s="305">
        <v>0</v>
      </c>
      <c r="AH48" s="305">
        <v>0</v>
      </c>
      <c r="AI48" s="305">
        <f t="shared" si="12"/>
        <v>0</v>
      </c>
    </row>
    <row r="49" spans="1:48" ht="16.3" customHeight="1">
      <c r="A49" s="834"/>
      <c r="B49" s="301" t="s">
        <v>3</v>
      </c>
      <c r="C49" s="152" t="s">
        <v>82</v>
      </c>
      <c r="D49" s="301" t="s">
        <v>80</v>
      </c>
      <c r="E49" s="152" t="s">
        <v>81</v>
      </c>
      <c r="F49" s="152" t="s">
        <v>80</v>
      </c>
      <c r="G49" s="151" t="s">
        <v>81</v>
      </c>
      <c r="H49" s="840"/>
      <c r="I49" s="841"/>
      <c r="J49" s="104"/>
      <c r="K49" s="9"/>
      <c r="L49" s="157"/>
      <c r="M49" s="100" t="s">
        <v>126</v>
      </c>
      <c r="N49" s="11"/>
      <c r="O49" s="67">
        <v>750</v>
      </c>
      <c r="P49" s="76">
        <v>30</v>
      </c>
      <c r="Q49" s="76">
        <f t="shared" si="3"/>
        <v>720</v>
      </c>
      <c r="R49" s="10">
        <f t="shared" si="11"/>
        <v>753.58080000000007</v>
      </c>
      <c r="S49" s="54">
        <f t="shared" si="4"/>
        <v>17.28</v>
      </c>
      <c r="T49" s="103">
        <v>0.02</v>
      </c>
      <c r="U49" s="36">
        <f t="shared" si="10"/>
        <v>10.368</v>
      </c>
      <c r="V49" s="46" t="e">
        <f t="shared" si="5"/>
        <v>#DIV/0!</v>
      </c>
      <c r="Y49" s="226" t="s">
        <v>213</v>
      </c>
      <c r="Z49" s="305">
        <v>10</v>
      </c>
      <c r="AA49" s="305">
        <v>0.5</v>
      </c>
      <c r="AB49" s="305">
        <v>0</v>
      </c>
      <c r="AC49" s="305">
        <f t="shared" si="0"/>
        <v>10.5</v>
      </c>
      <c r="AE49" s="227" t="s">
        <v>111</v>
      </c>
      <c r="AF49" s="305">
        <v>0</v>
      </c>
      <c r="AG49" s="305">
        <v>0</v>
      </c>
      <c r="AH49" s="305">
        <v>0</v>
      </c>
      <c r="AI49" s="305">
        <f t="shared" si="12"/>
        <v>0</v>
      </c>
    </row>
    <row r="50" spans="1:48" ht="16.3" customHeight="1">
      <c r="A50" s="160" t="s">
        <v>85</v>
      </c>
      <c r="B50" s="149">
        <v>125</v>
      </c>
      <c r="C50" s="154">
        <v>112</v>
      </c>
      <c r="D50" s="184"/>
      <c r="E50" s="153">
        <v>383</v>
      </c>
      <c r="F50" s="153">
        <v>11</v>
      </c>
      <c r="G50" s="185">
        <v>370</v>
      </c>
      <c r="H50" s="846">
        <f>B50+D50-F50</f>
        <v>114</v>
      </c>
      <c r="I50" s="847"/>
      <c r="J50" s="240">
        <f>C50+E50-G50</f>
        <v>125</v>
      </c>
      <c r="K50" s="8">
        <v>65</v>
      </c>
      <c r="L50" s="13">
        <v>56</v>
      </c>
      <c r="M50" s="100" t="s">
        <v>127</v>
      </c>
      <c r="N50" s="11"/>
      <c r="O50" s="67">
        <v>769</v>
      </c>
      <c r="P50" s="76">
        <v>33</v>
      </c>
      <c r="Q50" s="76">
        <f t="shared" si="3"/>
        <v>736</v>
      </c>
      <c r="R50" s="10">
        <f t="shared" si="11"/>
        <v>770.32704000000001</v>
      </c>
      <c r="S50" s="54">
        <f t="shared" si="4"/>
        <v>17.664000000000001</v>
      </c>
      <c r="T50" s="103">
        <v>0.02</v>
      </c>
      <c r="U50" s="36">
        <f t="shared" si="10"/>
        <v>10.5984</v>
      </c>
      <c r="V50" s="46" t="e">
        <f t="shared" si="5"/>
        <v>#DIV/0!</v>
      </c>
      <c r="Y50" s="226" t="s">
        <v>214</v>
      </c>
      <c r="Z50" s="305">
        <v>10</v>
      </c>
      <c r="AA50" s="305">
        <v>0.5</v>
      </c>
      <c r="AB50" s="305">
        <v>0</v>
      </c>
      <c r="AC50" s="305">
        <f t="shared" si="0"/>
        <v>10.5</v>
      </c>
      <c r="AE50" s="226" t="s">
        <v>214</v>
      </c>
      <c r="AF50" s="305">
        <v>0</v>
      </c>
      <c r="AG50" s="305">
        <v>0</v>
      </c>
      <c r="AH50" s="305">
        <v>0</v>
      </c>
      <c r="AI50" s="305">
        <f t="shared" si="12"/>
        <v>0</v>
      </c>
    </row>
    <row r="51" spans="1:48" ht="16.3" customHeight="1">
      <c r="A51" s="149" t="s">
        <v>79</v>
      </c>
      <c r="B51" s="149">
        <v>101</v>
      </c>
      <c r="C51" s="305">
        <v>82</v>
      </c>
      <c r="D51" s="184"/>
      <c r="E51" s="153">
        <v>423</v>
      </c>
      <c r="F51" s="153">
        <v>21</v>
      </c>
      <c r="G51" s="185">
        <v>387</v>
      </c>
      <c r="H51" s="846">
        <f>B51+D51-F51</f>
        <v>80</v>
      </c>
      <c r="I51" s="847"/>
      <c r="J51" s="241">
        <f>C51+E51-G51</f>
        <v>118</v>
      </c>
      <c r="K51" s="8">
        <v>64</v>
      </c>
      <c r="L51" s="13">
        <v>39</v>
      </c>
      <c r="M51" s="100" t="s">
        <v>128</v>
      </c>
      <c r="N51" s="11"/>
      <c r="O51" s="67">
        <v>775</v>
      </c>
      <c r="P51" s="76">
        <v>33</v>
      </c>
      <c r="Q51" s="76">
        <f t="shared" si="3"/>
        <v>742</v>
      </c>
      <c r="R51" s="10">
        <f t="shared" si="11"/>
        <v>776.60688000000005</v>
      </c>
      <c r="S51" s="54">
        <f t="shared" si="4"/>
        <v>17.808</v>
      </c>
      <c r="T51" s="103">
        <v>0.02</v>
      </c>
      <c r="U51" s="36">
        <f t="shared" si="10"/>
        <v>10.684799999999999</v>
      </c>
      <c r="V51" s="46" t="e">
        <f t="shared" si="5"/>
        <v>#DIV/0!</v>
      </c>
      <c r="Y51" s="226" t="s">
        <v>215</v>
      </c>
      <c r="Z51" s="305">
        <v>10</v>
      </c>
      <c r="AA51" s="305">
        <v>0.5</v>
      </c>
      <c r="AB51" s="305">
        <v>0</v>
      </c>
      <c r="AC51" s="305">
        <f t="shared" si="0"/>
        <v>10.5</v>
      </c>
      <c r="AE51" s="226" t="s">
        <v>215</v>
      </c>
      <c r="AF51" s="305">
        <v>0</v>
      </c>
      <c r="AG51" s="305">
        <v>0</v>
      </c>
      <c r="AH51" s="305">
        <v>0</v>
      </c>
      <c r="AI51" s="305">
        <f t="shared" si="12"/>
        <v>0</v>
      </c>
    </row>
    <row r="52" spans="1:48" ht="16.3" customHeight="1">
      <c r="A52" s="149" t="s">
        <v>77</v>
      </c>
      <c r="B52" s="149">
        <f>SUM(B50:B51)</f>
        <v>226</v>
      </c>
      <c r="C52" s="149">
        <f>SUM(C50:C51)</f>
        <v>194</v>
      </c>
      <c r="D52" s="149">
        <f t="shared" ref="D52:G52" si="13">SUM(D50:D51)</f>
        <v>0</v>
      </c>
      <c r="E52" s="149">
        <f t="shared" si="13"/>
        <v>806</v>
      </c>
      <c r="F52" s="149">
        <f t="shared" si="13"/>
        <v>32</v>
      </c>
      <c r="G52" s="149">
        <f t="shared" si="13"/>
        <v>757</v>
      </c>
      <c r="H52" s="846">
        <f t="shared" ref="H52" si="14">B52+D52-F52</f>
        <v>194</v>
      </c>
      <c r="I52" s="847"/>
      <c r="J52" s="127">
        <f>SUM(J50:J51)</f>
        <v>243</v>
      </c>
      <c r="K52" s="46"/>
      <c r="L52" s="8"/>
      <c r="M52" s="100" t="s">
        <v>129</v>
      </c>
      <c r="N52" s="67"/>
      <c r="O52" s="67">
        <v>1803</v>
      </c>
      <c r="P52" s="76">
        <v>72</v>
      </c>
      <c r="Q52" s="76">
        <f t="shared" si="3"/>
        <v>1731</v>
      </c>
      <c r="R52" s="10">
        <f t="shared" si="11"/>
        <v>1811.7338399999999</v>
      </c>
      <c r="S52" s="54">
        <f t="shared" si="4"/>
        <v>41.543999999999997</v>
      </c>
      <c r="T52" s="103">
        <v>0.02</v>
      </c>
      <c r="U52" s="36">
        <f t="shared" si="10"/>
        <v>24.926399999999997</v>
      </c>
      <c r="V52" s="46" t="e">
        <f t="shared" si="5"/>
        <v>#DIV/0!</v>
      </c>
      <c r="Y52" s="226" t="s">
        <v>216</v>
      </c>
      <c r="Z52" s="305">
        <v>10</v>
      </c>
      <c r="AA52" s="305">
        <v>0.6</v>
      </c>
      <c r="AB52" s="305">
        <v>0</v>
      </c>
      <c r="AC52" s="305">
        <f t="shared" si="0"/>
        <v>10.6</v>
      </c>
      <c r="AE52" s="226" t="s">
        <v>216</v>
      </c>
      <c r="AF52" s="305">
        <v>8</v>
      </c>
      <c r="AG52" s="305">
        <v>1.3</v>
      </c>
      <c r="AH52" s="305">
        <v>4</v>
      </c>
      <c r="AI52" s="305">
        <f t="shared" si="12"/>
        <v>13.3</v>
      </c>
      <c r="AS52" s="13">
        <v>34900</v>
      </c>
      <c r="AT52" s="13">
        <v>200</v>
      </c>
      <c r="AU52" s="13">
        <f>AT52*AS52</f>
        <v>6980000</v>
      </c>
    </row>
    <row r="53" spans="1:48" ht="16.75" customHeight="1">
      <c r="K53" s="125"/>
      <c r="L53" s="8"/>
      <c r="M53" s="100" t="s">
        <v>130</v>
      </c>
      <c r="N53" s="11"/>
      <c r="O53" s="67">
        <v>761</v>
      </c>
      <c r="P53" s="76">
        <v>35</v>
      </c>
      <c r="Q53" s="76">
        <f t="shared" si="3"/>
        <v>726</v>
      </c>
      <c r="R53" s="10">
        <f>Q53*(1-T53)*1.071</f>
        <v>761.99508000000003</v>
      </c>
      <c r="S53" s="54">
        <f t="shared" si="4"/>
        <v>17.423999999999999</v>
      </c>
      <c r="T53" s="103">
        <v>0.02</v>
      </c>
      <c r="U53" s="36">
        <f t="shared" si="10"/>
        <v>10.4544</v>
      </c>
      <c r="V53" s="46" t="e">
        <f t="shared" si="5"/>
        <v>#DIV/0!</v>
      </c>
      <c r="Y53" s="226" t="s">
        <v>31</v>
      </c>
      <c r="Z53" s="305">
        <f>SUM(Z22:Z52)</f>
        <v>254.6</v>
      </c>
      <c r="AA53" s="305">
        <f>SUM(AA22:AA52)</f>
        <v>26.500000000000007</v>
      </c>
      <c r="AB53" s="305">
        <f>SUM(AB22:AB52)</f>
        <v>13</v>
      </c>
      <c r="AC53" s="154">
        <f>SUM(AC22:AC52)</f>
        <v>294.10000000000002</v>
      </c>
      <c r="AE53" s="226" t="s">
        <v>31</v>
      </c>
      <c r="AF53" s="305">
        <f>SUM(AF22:AF52)</f>
        <v>223.70000000000002</v>
      </c>
      <c r="AG53" s="305">
        <f>SUM(AG22:AG52)</f>
        <v>103.19999999999999</v>
      </c>
      <c r="AH53" s="305">
        <f>SUM(AH22:AH52)</f>
        <v>78.099999999999994</v>
      </c>
      <c r="AI53" s="154">
        <f>SUM(AI22:AI52)</f>
        <v>405.00000000000006</v>
      </c>
      <c r="AS53" s="13">
        <v>34950</v>
      </c>
      <c r="AT53" s="13">
        <v>800</v>
      </c>
      <c r="AU53" s="13">
        <f t="shared" ref="AU53:AU58" si="15">AT53*AS53</f>
        <v>27960000</v>
      </c>
    </row>
    <row r="54" spans="1:48" ht="19.899999999999999" customHeight="1">
      <c r="A54" s="193" t="s">
        <v>152</v>
      </c>
      <c r="B54" s="115"/>
      <c r="F54" s="115"/>
      <c r="H54" s="150"/>
      <c r="J54" s="127">
        <v>6817</v>
      </c>
      <c r="K54" s="127">
        <v>3600</v>
      </c>
      <c r="L54" s="126"/>
      <c r="M54" s="100" t="s">
        <v>131</v>
      </c>
      <c r="N54" s="11"/>
      <c r="O54" s="67">
        <v>737</v>
      </c>
      <c r="P54" s="76">
        <v>38</v>
      </c>
      <c r="Q54" s="76">
        <f t="shared" si="3"/>
        <v>699</v>
      </c>
      <c r="R54" s="10">
        <f t="shared" ref="R54:R55" si="16">Q54*(1-T54)*1.071</f>
        <v>733.65641999999991</v>
      </c>
      <c r="S54" s="54">
        <f t="shared" si="4"/>
        <v>16.776</v>
      </c>
      <c r="T54" s="103">
        <v>0.02</v>
      </c>
      <c r="U54" s="36">
        <f t="shared" si="10"/>
        <v>10.0656</v>
      </c>
      <c r="V54" s="46" t="e">
        <f t="shared" si="5"/>
        <v>#DIV/0!</v>
      </c>
      <c r="Y54" s="226" t="s">
        <v>220</v>
      </c>
      <c r="Z54" s="305">
        <v>63.1</v>
      </c>
      <c r="AA54" s="305">
        <v>109.2</v>
      </c>
      <c r="AB54" s="305">
        <v>166.7</v>
      </c>
      <c r="AC54" s="230">
        <f>AC56/AC53</f>
        <v>71.833253995239701</v>
      </c>
      <c r="AD54" s="51"/>
      <c r="AE54" s="226" t="s">
        <v>220</v>
      </c>
      <c r="AF54" s="305">
        <v>63.1</v>
      </c>
      <c r="AG54" s="305">
        <v>109.2</v>
      </c>
      <c r="AH54" s="305">
        <v>166.7</v>
      </c>
      <c r="AI54" s="230">
        <f>AI56/AI53</f>
        <v>94.82513580246912</v>
      </c>
      <c r="AS54" s="13">
        <v>34600</v>
      </c>
      <c r="AT54" s="13">
        <v>16</v>
      </c>
      <c r="AU54" s="13">
        <f t="shared" si="15"/>
        <v>553600</v>
      </c>
    </row>
    <row r="55" spans="1:48" ht="19.899999999999999" customHeight="1">
      <c r="A55" s="194" t="s">
        <v>153</v>
      </c>
      <c r="B55" s="194" t="s">
        <v>154</v>
      </c>
      <c r="C55" s="194" t="s">
        <v>155</v>
      </c>
      <c r="D55" s="194" t="s">
        <v>156</v>
      </c>
      <c r="E55" s="194" t="s">
        <v>54</v>
      </c>
      <c r="F55" s="194" t="s">
        <v>161</v>
      </c>
      <c r="G55" s="116"/>
      <c r="H55" s="116"/>
      <c r="J55" s="59"/>
      <c r="L55" s="59"/>
      <c r="M55" s="100" t="s">
        <v>132</v>
      </c>
      <c r="N55" s="11"/>
      <c r="O55" s="67">
        <v>749</v>
      </c>
      <c r="P55" s="76">
        <v>29</v>
      </c>
      <c r="Q55" s="76">
        <f t="shared" si="3"/>
        <v>720</v>
      </c>
      <c r="R55" s="10">
        <f t="shared" si="16"/>
        <v>755.69759999999997</v>
      </c>
      <c r="S55" s="54">
        <f t="shared" si="4"/>
        <v>17.28</v>
      </c>
      <c r="T55" s="103">
        <v>0.02</v>
      </c>
      <c r="U55" s="36">
        <f t="shared" si="10"/>
        <v>10.368</v>
      </c>
      <c r="V55" s="46" t="e">
        <f t="shared" si="5"/>
        <v>#DIV/0!</v>
      </c>
      <c r="Y55" s="225" t="s">
        <v>221</v>
      </c>
      <c r="Z55" s="228">
        <f>Z53/$AC$53</f>
        <v>0.86569194151649087</v>
      </c>
      <c r="AA55" s="228">
        <f t="shared" ref="AA55:AB55" si="17">AA53/$AC$53</f>
        <v>9.0105406324379481E-2</v>
      </c>
      <c r="AB55" s="228">
        <f t="shared" si="17"/>
        <v>4.4202652159129545E-2</v>
      </c>
      <c r="AC55" s="228">
        <f>SUM(Z55:AB55)</f>
        <v>0.99999999999999989</v>
      </c>
      <c r="AD55" s="51"/>
      <c r="AE55" s="225" t="s">
        <v>221</v>
      </c>
      <c r="AF55" s="228">
        <f>AF53/$AI$53</f>
        <v>0.55234567901234566</v>
      </c>
      <c r="AG55" s="228">
        <f t="shared" ref="AG55:AH55" si="18">AG53/$AI$53</f>
        <v>0.25481481481481477</v>
      </c>
      <c r="AH55" s="228">
        <f t="shared" si="18"/>
        <v>0.19283950617283946</v>
      </c>
      <c r="AI55" s="228">
        <f>SUM(AF55:AH55)</f>
        <v>0.99999999999999978</v>
      </c>
      <c r="AS55" s="13">
        <v>34750</v>
      </c>
      <c r="AT55" s="13">
        <v>340</v>
      </c>
      <c r="AU55" s="13">
        <f t="shared" si="15"/>
        <v>11815000</v>
      </c>
    </row>
    <row r="56" spans="1:48" ht="19.899999999999999" customHeight="1">
      <c r="A56" s="195" t="s">
        <v>160</v>
      </c>
      <c r="B56" s="196">
        <v>0</v>
      </c>
      <c r="C56" s="196">
        <v>0</v>
      </c>
      <c r="D56" s="196">
        <v>1320</v>
      </c>
      <c r="E56" s="300">
        <v>1320</v>
      </c>
      <c r="F56" s="300">
        <f>D56-E56</f>
        <v>0</v>
      </c>
      <c r="G56" s="51"/>
      <c r="H56" s="51"/>
      <c r="I56" s="13">
        <v>1258</v>
      </c>
      <c r="J56" s="59"/>
      <c r="K56" s="200"/>
      <c r="M56" s="100" t="s">
        <v>133</v>
      </c>
      <c r="N56" s="11"/>
      <c r="O56" s="67">
        <v>148</v>
      </c>
      <c r="P56" s="76">
        <v>6</v>
      </c>
      <c r="Q56" s="76">
        <f t="shared" si="3"/>
        <v>142</v>
      </c>
      <c r="R56" s="10">
        <f t="shared" si="11"/>
        <v>148.62288000000001</v>
      </c>
      <c r="S56" s="54">
        <f t="shared" si="4"/>
        <v>3.4079999999999999</v>
      </c>
      <c r="T56" s="103">
        <v>0.02</v>
      </c>
      <c r="U56" s="36">
        <f t="shared" ref="U56:U65" si="19">S56*0.75</f>
        <v>2.556</v>
      </c>
      <c r="V56" s="46" t="e">
        <f t="shared" si="5"/>
        <v>#DIV/0!</v>
      </c>
      <c r="Y56" s="231" t="s">
        <v>223</v>
      </c>
      <c r="Z56" s="54">
        <f>Z53*Z54</f>
        <v>16065.26</v>
      </c>
      <c r="AA56" s="54">
        <f>AA53*AA54</f>
        <v>2893.8000000000006</v>
      </c>
      <c r="AB56" s="54">
        <f>AB53*AB54</f>
        <v>2167.1</v>
      </c>
      <c r="AC56" s="61">
        <f>SUM(Z56:AB56)</f>
        <v>21126.16</v>
      </c>
      <c r="AD56" s="51"/>
      <c r="AE56" s="231" t="s">
        <v>223</v>
      </c>
      <c r="AF56" s="54">
        <f>AF53*AF54</f>
        <v>14115.470000000001</v>
      </c>
      <c r="AG56" s="54">
        <f>AG53*AG54</f>
        <v>11269.439999999999</v>
      </c>
      <c r="AH56" s="54">
        <f>AH53*AH54</f>
        <v>13019.269999999999</v>
      </c>
      <c r="AI56" s="61">
        <f>SUM(AF56:AH56)</f>
        <v>38404.18</v>
      </c>
      <c r="AS56" s="13">
        <v>34800</v>
      </c>
      <c r="AT56" s="13">
        <v>186</v>
      </c>
      <c r="AU56" s="13">
        <f t="shared" si="15"/>
        <v>6472800</v>
      </c>
    </row>
    <row r="57" spans="1:48" ht="19.899999999999999" customHeight="1">
      <c r="A57" s="195" t="s">
        <v>157</v>
      </c>
      <c r="B57" s="90">
        <v>1300</v>
      </c>
      <c r="C57" s="90"/>
      <c r="D57" s="90">
        <v>2164</v>
      </c>
      <c r="E57" s="300">
        <f>D56+B57</f>
        <v>2620</v>
      </c>
      <c r="F57" s="300">
        <f t="shared" ref="F57:F76" si="20">D57-E57</f>
        <v>-456</v>
      </c>
      <c r="G57" s="51"/>
      <c r="H57" s="117"/>
      <c r="I57" s="13">
        <v>1258</v>
      </c>
      <c r="K57" s="51"/>
      <c r="L57" s="108"/>
      <c r="M57" s="100" t="s">
        <v>134</v>
      </c>
      <c r="N57" s="11"/>
      <c r="O57" s="67">
        <v>0</v>
      </c>
      <c r="P57" s="76">
        <v>0</v>
      </c>
      <c r="Q57" s="76">
        <f t="shared" si="3"/>
        <v>0</v>
      </c>
      <c r="R57" s="10">
        <f t="shared" si="11"/>
        <v>0</v>
      </c>
      <c r="S57" s="54">
        <f t="shared" si="4"/>
        <v>0</v>
      </c>
      <c r="T57" s="103">
        <v>0.02</v>
      </c>
      <c r="U57" s="36">
        <f t="shared" si="19"/>
        <v>0</v>
      </c>
      <c r="V57" s="46" t="e">
        <f t="shared" si="5"/>
        <v>#DIV/0!</v>
      </c>
      <c r="Y57" s="46"/>
      <c r="AI57" s="232">
        <f>AC54-AI54</f>
        <v>-22.991881807229419</v>
      </c>
      <c r="AS57" s="13">
        <v>35000</v>
      </c>
      <c r="AT57" s="13">
        <v>850</v>
      </c>
      <c r="AU57" s="13">
        <f t="shared" si="15"/>
        <v>29750000</v>
      </c>
    </row>
    <row r="58" spans="1:48" ht="19.899999999999999" customHeight="1">
      <c r="A58" s="195" t="s">
        <v>73</v>
      </c>
      <c r="B58" s="90">
        <v>1800</v>
      </c>
      <c r="C58" s="90"/>
      <c r="D58" s="90">
        <v>4094</v>
      </c>
      <c r="E58" s="300">
        <f>E57+B58</f>
        <v>4420</v>
      </c>
      <c r="F58" s="300">
        <f t="shared" si="20"/>
        <v>-326</v>
      </c>
      <c r="G58" s="51"/>
      <c r="H58" s="117"/>
      <c r="I58" s="13">
        <v>1950</v>
      </c>
      <c r="K58" s="51"/>
      <c r="M58" s="100" t="s">
        <v>135</v>
      </c>
      <c r="N58" s="11"/>
      <c r="O58" s="67">
        <v>589</v>
      </c>
      <c r="P58" s="76">
        <v>30</v>
      </c>
      <c r="Q58" s="76">
        <f t="shared" si="3"/>
        <v>559</v>
      </c>
      <c r="R58" s="10">
        <f t="shared" si="11"/>
        <v>585.07175999999993</v>
      </c>
      <c r="S58" s="54">
        <f t="shared" si="4"/>
        <v>13.415999999999999</v>
      </c>
      <c r="T58" s="103">
        <v>0.02</v>
      </c>
      <c r="U58" s="36">
        <f t="shared" si="19"/>
        <v>10.061999999999999</v>
      </c>
      <c r="V58" s="46" t="e">
        <f t="shared" si="5"/>
        <v>#DIV/0!</v>
      </c>
      <c r="Y58" s="233" t="s">
        <v>226</v>
      </c>
      <c r="Z58" s="233" t="s">
        <v>220</v>
      </c>
      <c r="AA58" s="233" t="s">
        <v>227</v>
      </c>
      <c r="AB58" s="22"/>
      <c r="AC58" s="51"/>
      <c r="AD58" s="51"/>
      <c r="AE58" s="233" t="s">
        <v>226</v>
      </c>
      <c r="AF58" s="233" t="s">
        <v>220</v>
      </c>
      <c r="AG58" s="233" t="s">
        <v>227</v>
      </c>
      <c r="AH58" s="224" t="s">
        <v>161</v>
      </c>
      <c r="AI58" s="51"/>
      <c r="AS58" s="13">
        <v>35050</v>
      </c>
      <c r="AT58" s="13">
        <v>150</v>
      </c>
      <c r="AU58" s="13">
        <f t="shared" si="15"/>
        <v>5257500</v>
      </c>
    </row>
    <row r="59" spans="1:48" ht="19.899999999999999" customHeight="1">
      <c r="A59" s="195" t="s">
        <v>158</v>
      </c>
      <c r="B59" s="90">
        <v>1200</v>
      </c>
      <c r="C59" s="90"/>
      <c r="D59" s="90">
        <v>5448</v>
      </c>
      <c r="E59" s="300">
        <f>E58+B59</f>
        <v>5620</v>
      </c>
      <c r="F59" s="300">
        <f t="shared" si="20"/>
        <v>-172</v>
      </c>
      <c r="G59" s="118"/>
      <c r="H59" s="117"/>
      <c r="I59" s="13">
        <f>SUM(I56:I58)</f>
        <v>4466</v>
      </c>
      <c r="K59" s="51"/>
      <c r="M59" s="100" t="s">
        <v>136</v>
      </c>
      <c r="N59" s="11"/>
      <c r="O59" s="67">
        <v>1883</v>
      </c>
      <c r="P59" s="76">
        <v>85</v>
      </c>
      <c r="Q59" s="76">
        <f t="shared" si="3"/>
        <v>1798</v>
      </c>
      <c r="R59" s="10">
        <f t="shared" si="11"/>
        <v>1881.8587200000002</v>
      </c>
      <c r="S59" s="54">
        <f t="shared" si="4"/>
        <v>43.152000000000001</v>
      </c>
      <c r="T59" s="103">
        <v>0.02</v>
      </c>
      <c r="U59" s="36">
        <f t="shared" si="19"/>
        <v>32.364000000000004</v>
      </c>
      <c r="V59" s="46" t="e">
        <f t="shared" si="5"/>
        <v>#DIV/0!</v>
      </c>
      <c r="Y59" s="234">
        <f>C17</f>
        <v>38.735643516737206</v>
      </c>
      <c r="Z59" s="234">
        <f>AC54</f>
        <v>71.833253995239701</v>
      </c>
      <c r="AA59" s="107">
        <f>Z59*Y59</f>
        <v>2782.5073194068436</v>
      </c>
      <c r="AB59" s="92"/>
      <c r="AC59" s="92"/>
      <c r="AD59" s="92"/>
      <c r="AE59" s="234">
        <v>36.5</v>
      </c>
      <c r="AF59" s="234">
        <f>AI54</f>
        <v>94.82513580246912</v>
      </c>
      <c r="AG59" s="107">
        <f>AF59*AE59</f>
        <v>3461.117456790123</v>
      </c>
      <c r="AH59" s="235">
        <f>AA59-AG59</f>
        <v>-678.61013738327938</v>
      </c>
      <c r="AI59" s="51"/>
      <c r="AT59" s="13">
        <f>SUM(AT52:AT58)</f>
        <v>2542</v>
      </c>
      <c r="AU59" s="13">
        <f>SUM(AU52:AU58)</f>
        <v>88788900</v>
      </c>
      <c r="AV59" s="13">
        <f>AU59/AT59</f>
        <v>34928.756884343034</v>
      </c>
    </row>
    <row r="60" spans="1:48" ht="19.899999999999999" customHeight="1">
      <c r="A60" s="195" t="s">
        <v>159</v>
      </c>
      <c r="B60" s="90">
        <v>614</v>
      </c>
      <c r="C60" s="90">
        <v>88</v>
      </c>
      <c r="D60" s="90">
        <v>5673</v>
      </c>
      <c r="E60" s="300">
        <f>E59+B60-C60</f>
        <v>6146</v>
      </c>
      <c r="F60" s="300">
        <f t="shared" si="20"/>
        <v>-473</v>
      </c>
      <c r="G60" s="119"/>
      <c r="H60" s="118"/>
      <c r="I60" s="115">
        <v>-2500</v>
      </c>
      <c r="K60" s="51">
        <v>338</v>
      </c>
      <c r="L60" s="66"/>
      <c r="M60" s="100" t="s">
        <v>137</v>
      </c>
      <c r="N60" s="11"/>
      <c r="O60" s="67">
        <v>802</v>
      </c>
      <c r="P60" s="76">
        <v>31</v>
      </c>
      <c r="Q60" s="76">
        <f t="shared" si="3"/>
        <v>771</v>
      </c>
      <c r="R60" s="10">
        <f t="shared" si="11"/>
        <v>806.95944000000009</v>
      </c>
      <c r="S60" s="54">
        <f t="shared" si="4"/>
        <v>18.503999999999998</v>
      </c>
      <c r="T60" s="103">
        <v>0.02</v>
      </c>
      <c r="U60" s="36">
        <f t="shared" si="19"/>
        <v>13.877999999999998</v>
      </c>
      <c r="V60" s="46" t="e">
        <f t="shared" si="5"/>
        <v>#DIV/0!</v>
      </c>
      <c r="Y60" s="46"/>
      <c r="Z60" s="46"/>
      <c r="AA60" s="46"/>
    </row>
    <row r="61" spans="1:48">
      <c r="A61" s="195" t="s">
        <v>162</v>
      </c>
      <c r="B61" s="90">
        <v>1248</v>
      </c>
      <c r="C61" s="90"/>
      <c r="D61" s="90">
        <v>7027</v>
      </c>
      <c r="E61" s="300">
        <f>E60+B61-C61</f>
        <v>7394</v>
      </c>
      <c r="F61" s="300">
        <f t="shared" si="20"/>
        <v>-367</v>
      </c>
      <c r="G61" s="119"/>
      <c r="H61" s="118"/>
      <c r="I61" s="13">
        <f>SUM(I59:I60)</f>
        <v>1966</v>
      </c>
      <c r="K61" s="51">
        <v>24</v>
      </c>
      <c r="M61" s="100" t="s">
        <v>138</v>
      </c>
      <c r="N61" s="11"/>
      <c r="O61" s="67">
        <v>211</v>
      </c>
      <c r="P61" s="76">
        <v>7</v>
      </c>
      <c r="Q61" s="76">
        <f t="shared" si="3"/>
        <v>204</v>
      </c>
      <c r="R61" s="10">
        <f t="shared" si="11"/>
        <v>213.51455999999999</v>
      </c>
      <c r="S61" s="54">
        <f t="shared" si="4"/>
        <v>4.8959999999999999</v>
      </c>
      <c r="T61" s="103">
        <v>0.02</v>
      </c>
      <c r="U61" s="36">
        <f t="shared" si="19"/>
        <v>3.6719999999999997</v>
      </c>
      <c r="V61" s="46" t="e">
        <f t="shared" si="5"/>
        <v>#DIV/0!</v>
      </c>
      <c r="Y61" s="9"/>
      <c r="Z61" s="9"/>
      <c r="AA61" s="9"/>
      <c r="AB61" s="35"/>
    </row>
    <row r="62" spans="1:48">
      <c r="A62" s="195" t="s">
        <v>163</v>
      </c>
      <c r="B62" s="300">
        <v>943</v>
      </c>
      <c r="C62" s="300">
        <v>58</v>
      </c>
      <c r="D62" s="300">
        <v>8155</v>
      </c>
      <c r="E62" s="300">
        <f>E61+B62-C62</f>
        <v>8279</v>
      </c>
      <c r="F62" s="300">
        <f t="shared" si="20"/>
        <v>-124</v>
      </c>
      <c r="K62" s="51">
        <f>SUM(K60:K61)</f>
        <v>362</v>
      </c>
      <c r="M62" s="100" t="s">
        <v>139</v>
      </c>
      <c r="N62" s="11"/>
      <c r="O62" s="67">
        <v>0</v>
      </c>
      <c r="P62" s="76"/>
      <c r="Q62" s="76"/>
      <c r="R62" s="10"/>
      <c r="S62" s="54">
        <f t="shared" ref="S62:S63" si="21">Q62*T62*1.2</f>
        <v>0</v>
      </c>
      <c r="T62" s="103">
        <v>0.02</v>
      </c>
      <c r="U62" s="36">
        <f t="shared" si="19"/>
        <v>0</v>
      </c>
      <c r="V62" s="46" t="e">
        <f t="shared" si="5"/>
        <v>#DIV/0!</v>
      </c>
      <c r="W62" s="18"/>
    </row>
    <row r="63" spans="1:48">
      <c r="A63" s="195" t="s">
        <v>164</v>
      </c>
      <c r="B63" s="300">
        <v>0</v>
      </c>
      <c r="C63" s="197"/>
      <c r="D63" s="198">
        <v>8155</v>
      </c>
      <c r="E63" s="300">
        <f t="shared" ref="E63:E76" si="22">E62+B63-C63</f>
        <v>8279</v>
      </c>
      <c r="F63" s="300">
        <f t="shared" si="20"/>
        <v>-124</v>
      </c>
      <c r="K63" s="51"/>
      <c r="M63" s="100" t="s">
        <v>140</v>
      </c>
      <c r="N63" s="11"/>
      <c r="O63" s="67">
        <v>565</v>
      </c>
      <c r="P63" s="76">
        <v>9</v>
      </c>
      <c r="Q63" s="76">
        <f t="shared" ref="Q63" si="23">O63-P63</f>
        <v>556</v>
      </c>
      <c r="R63" s="10">
        <f t="shared" ref="R63" si="24">Q63*(1-T63)*1.068</f>
        <v>581.93184000000008</v>
      </c>
      <c r="S63" s="54">
        <f t="shared" si="21"/>
        <v>13.344000000000001</v>
      </c>
      <c r="T63" s="103">
        <v>0.02</v>
      </c>
      <c r="U63" s="36">
        <f t="shared" si="19"/>
        <v>10.008000000000001</v>
      </c>
      <c r="V63" s="46" t="e">
        <f t="shared" si="5"/>
        <v>#DIV/0!</v>
      </c>
      <c r="W63" s="14"/>
      <c r="X63" s="46"/>
      <c r="Y63" s="46"/>
    </row>
    <row r="64" spans="1:48">
      <c r="A64" s="195" t="s">
        <v>165</v>
      </c>
      <c r="B64" s="300">
        <v>1111</v>
      </c>
      <c r="C64" s="197"/>
      <c r="D64" s="198">
        <v>9058</v>
      </c>
      <c r="E64" s="300">
        <f t="shared" si="22"/>
        <v>9390</v>
      </c>
      <c r="F64" s="300">
        <f t="shared" si="20"/>
        <v>-332</v>
      </c>
      <c r="L64" s="59"/>
      <c r="M64" s="100"/>
      <c r="N64" s="11"/>
      <c r="O64" s="76"/>
      <c r="P64" s="76"/>
      <c r="Q64" s="76"/>
      <c r="R64" s="10"/>
      <c r="S64" s="54"/>
      <c r="T64" s="103">
        <v>0.02</v>
      </c>
      <c r="U64" s="36">
        <f t="shared" si="19"/>
        <v>0</v>
      </c>
      <c r="V64" s="46" t="e">
        <f t="shared" si="5"/>
        <v>#DIV/0!</v>
      </c>
      <c r="X64" s="46"/>
      <c r="Y64" s="46"/>
    </row>
    <row r="65" spans="1:31">
      <c r="A65" s="277" t="s">
        <v>258</v>
      </c>
      <c r="B65" s="90">
        <v>0</v>
      </c>
      <c r="C65" s="90">
        <v>147</v>
      </c>
      <c r="D65" s="198">
        <v>8832</v>
      </c>
      <c r="E65" s="300">
        <f t="shared" si="22"/>
        <v>9243</v>
      </c>
      <c r="F65" s="300">
        <f t="shared" si="20"/>
        <v>-411</v>
      </c>
      <c r="M65" s="100"/>
      <c r="N65" s="11"/>
      <c r="O65" s="67"/>
      <c r="P65" s="76"/>
      <c r="Q65" s="76"/>
      <c r="R65" s="10"/>
      <c r="S65" s="54"/>
      <c r="T65" s="103">
        <v>0.02</v>
      </c>
      <c r="U65" s="36">
        <f t="shared" si="19"/>
        <v>0</v>
      </c>
      <c r="V65" s="46" t="e">
        <f t="shared" si="5"/>
        <v>#DIV/0!</v>
      </c>
      <c r="Y65" s="46"/>
      <c r="Z65" s="46"/>
    </row>
    <row r="66" spans="1:31">
      <c r="A66" s="277" t="s">
        <v>124</v>
      </c>
      <c r="B66" s="90">
        <v>0</v>
      </c>
      <c r="C66" s="90">
        <v>138</v>
      </c>
      <c r="D66" s="198">
        <v>8742</v>
      </c>
      <c r="E66" s="300">
        <f t="shared" si="22"/>
        <v>9105</v>
      </c>
      <c r="F66" s="300">
        <f t="shared" si="20"/>
        <v>-363</v>
      </c>
      <c r="M66" s="11" t="s">
        <v>7</v>
      </c>
      <c r="N66" s="120">
        <f>SUM(N36:N65)</f>
        <v>0</v>
      </c>
      <c r="O66" s="120">
        <f>SUM(O36:O65)</f>
        <v>18397</v>
      </c>
      <c r="P66" s="61">
        <f t="shared" ref="P66:Q66" si="25">SUM(P36:P65)</f>
        <v>762</v>
      </c>
      <c r="Q66" s="61">
        <f t="shared" si="25"/>
        <v>17635</v>
      </c>
      <c r="R66" s="120">
        <f>SUM(R36:R65)</f>
        <v>18448.420620000001</v>
      </c>
      <c r="S66" s="61">
        <f>SUM(S36:S65)</f>
        <v>423.24</v>
      </c>
      <c r="T66" s="62"/>
      <c r="U66" s="113">
        <f>SUM(U38:U65)</f>
        <v>247.70159999999998</v>
      </c>
      <c r="V66" s="46" t="e">
        <f>SUM(V36:V65)</f>
        <v>#DIV/0!</v>
      </c>
      <c r="W66" s="136" t="e">
        <f>R66/N66</f>
        <v>#DIV/0!</v>
      </c>
      <c r="X66" s="36"/>
      <c r="Y66" s="46"/>
    </row>
    <row r="67" spans="1:31">
      <c r="A67" s="277" t="s">
        <v>125</v>
      </c>
      <c r="B67" s="90">
        <v>0</v>
      </c>
      <c r="C67" s="90">
        <v>555</v>
      </c>
      <c r="D67" s="198">
        <v>8291</v>
      </c>
      <c r="E67" s="300">
        <f t="shared" si="22"/>
        <v>8550</v>
      </c>
      <c r="F67" s="300">
        <f t="shared" si="20"/>
        <v>-259</v>
      </c>
      <c r="M67" s="101" t="s">
        <v>56</v>
      </c>
      <c r="N67" s="9"/>
      <c r="R67" s="36"/>
      <c r="T67" s="63"/>
      <c r="U67" s="70"/>
      <c r="V67" s="69"/>
      <c r="W67" s="46"/>
      <c r="AA67" s="48"/>
      <c r="AB67" s="15"/>
      <c r="AD67" s="35"/>
      <c r="AE67" s="35"/>
    </row>
    <row r="68" spans="1:31">
      <c r="A68" s="277" t="s">
        <v>126</v>
      </c>
      <c r="B68" s="90">
        <v>0</v>
      </c>
      <c r="C68" s="90">
        <v>113</v>
      </c>
      <c r="D68" s="198">
        <v>8155</v>
      </c>
      <c r="E68" s="300">
        <f t="shared" si="22"/>
        <v>8437</v>
      </c>
      <c r="F68" s="300">
        <f t="shared" si="20"/>
        <v>-282</v>
      </c>
      <c r="R68" s="49"/>
      <c r="S68" s="64"/>
    </row>
    <row r="69" spans="1:31">
      <c r="A69" s="277" t="s">
        <v>127</v>
      </c>
      <c r="B69" s="90">
        <v>0</v>
      </c>
      <c r="C69" s="90">
        <v>197</v>
      </c>
      <c r="D69" s="198">
        <v>7930</v>
      </c>
      <c r="E69" s="300">
        <f t="shared" si="22"/>
        <v>8240</v>
      </c>
      <c r="F69" s="300">
        <f t="shared" si="20"/>
        <v>-310</v>
      </c>
      <c r="N69" s="114"/>
      <c r="R69" s="111"/>
    </row>
    <row r="70" spans="1:31">
      <c r="A70" s="277" t="s">
        <v>128</v>
      </c>
      <c r="B70" s="90">
        <v>225</v>
      </c>
      <c r="C70" s="90">
        <v>0</v>
      </c>
      <c r="D70" s="198">
        <v>7930</v>
      </c>
      <c r="E70" s="300">
        <f t="shared" si="22"/>
        <v>8465</v>
      </c>
      <c r="F70" s="300">
        <f t="shared" si="20"/>
        <v>-535</v>
      </c>
      <c r="R70" s="110"/>
      <c r="S70" s="109"/>
      <c r="X70" s="46"/>
    </row>
    <row r="71" spans="1:31">
      <c r="A71" s="277" t="s">
        <v>129</v>
      </c>
      <c r="B71" s="90">
        <v>1803</v>
      </c>
      <c r="C71" s="90">
        <v>0</v>
      </c>
      <c r="D71" s="198">
        <v>9509</v>
      </c>
      <c r="E71" s="300">
        <f t="shared" si="22"/>
        <v>10268</v>
      </c>
      <c r="F71" s="300">
        <f t="shared" si="20"/>
        <v>-759</v>
      </c>
      <c r="J71" s="13">
        <v>32</v>
      </c>
      <c r="M71" s="201" t="s">
        <v>175</v>
      </c>
      <c r="N71"/>
      <c r="O71"/>
      <c r="P71"/>
      <c r="Q71"/>
      <c r="R71"/>
      <c r="S71"/>
      <c r="T71"/>
      <c r="U71"/>
      <c r="V71"/>
      <c r="W71"/>
      <c r="X71"/>
    </row>
    <row r="72" spans="1:31">
      <c r="A72" s="277" t="s">
        <v>130</v>
      </c>
      <c r="B72" s="90">
        <v>245</v>
      </c>
      <c r="C72" s="90">
        <v>88</v>
      </c>
      <c r="D72" s="198">
        <v>10006</v>
      </c>
      <c r="E72" s="300">
        <f t="shared" si="22"/>
        <v>10425</v>
      </c>
      <c r="F72" s="300">
        <f t="shared" si="20"/>
        <v>-419</v>
      </c>
      <c r="J72" s="13">
        <v>75</v>
      </c>
      <c r="M72" s="848" t="s">
        <v>1</v>
      </c>
      <c r="N72" s="848"/>
      <c r="O72" s="848"/>
      <c r="P72" s="849" t="s">
        <v>169</v>
      </c>
      <c r="Q72" s="850"/>
      <c r="R72" s="851" t="s">
        <v>170</v>
      </c>
      <c r="S72" s="848"/>
      <c r="T72" s="849" t="s">
        <v>176</v>
      </c>
      <c r="U72" s="852"/>
      <c r="V72" s="858" t="s">
        <v>177</v>
      </c>
      <c r="W72" s="848"/>
      <c r="X72"/>
    </row>
    <row r="73" spans="1:31">
      <c r="A73" s="277" t="s">
        <v>131</v>
      </c>
      <c r="B73" s="90">
        <v>0</v>
      </c>
      <c r="C73" s="90">
        <v>189</v>
      </c>
      <c r="D73" s="198">
        <v>9870</v>
      </c>
      <c r="E73" s="300">
        <f t="shared" si="22"/>
        <v>10236</v>
      </c>
      <c r="F73" s="300">
        <f t="shared" si="20"/>
        <v>-366</v>
      </c>
      <c r="J73" s="13">
        <f>J72*J71</f>
        <v>2400</v>
      </c>
      <c r="M73" s="848" t="s">
        <v>171</v>
      </c>
      <c r="N73" s="848"/>
      <c r="O73" s="848"/>
      <c r="P73" s="859">
        <v>32509</v>
      </c>
      <c r="Q73" s="860"/>
      <c r="R73" s="861">
        <v>33756</v>
      </c>
      <c r="S73" s="859"/>
      <c r="T73" s="859">
        <v>27950</v>
      </c>
      <c r="U73" s="862"/>
      <c r="V73" s="863">
        <v>33920</v>
      </c>
      <c r="W73" s="859"/>
      <c r="X73"/>
      <c r="Y73" s="46"/>
    </row>
    <row r="74" spans="1:31">
      <c r="A74" s="277" t="s">
        <v>132</v>
      </c>
      <c r="B74" s="90">
        <v>0</v>
      </c>
      <c r="C74" s="90">
        <v>58</v>
      </c>
      <c r="D74" s="198">
        <v>9735</v>
      </c>
      <c r="E74" s="300">
        <f t="shared" si="22"/>
        <v>10178</v>
      </c>
      <c r="F74" s="300">
        <f t="shared" si="20"/>
        <v>-443</v>
      </c>
      <c r="M74" s="848" t="s">
        <v>172</v>
      </c>
      <c r="N74" s="848"/>
      <c r="O74" s="848"/>
      <c r="P74" s="848">
        <v>80.3</v>
      </c>
      <c r="Q74" s="850"/>
      <c r="R74" s="851">
        <v>77.400000000000006</v>
      </c>
      <c r="S74" s="848"/>
      <c r="T74" s="855">
        <v>80</v>
      </c>
      <c r="U74" s="856"/>
      <c r="V74" s="857">
        <v>80</v>
      </c>
      <c r="W74" s="855"/>
      <c r="X74"/>
      <c r="Y74" s="46"/>
    </row>
    <row r="75" spans="1:31">
      <c r="A75" s="277" t="s">
        <v>133</v>
      </c>
      <c r="B75" s="90">
        <v>0</v>
      </c>
      <c r="C75" s="90">
        <v>91</v>
      </c>
      <c r="D75" s="198">
        <v>9645</v>
      </c>
      <c r="E75" s="300">
        <f t="shared" si="22"/>
        <v>10087</v>
      </c>
      <c r="F75" s="300">
        <f t="shared" si="20"/>
        <v>-442</v>
      </c>
      <c r="M75" s="848" t="s">
        <v>173</v>
      </c>
      <c r="N75" s="848"/>
      <c r="O75" s="848"/>
      <c r="P75" s="848">
        <v>36.5</v>
      </c>
      <c r="Q75" s="850"/>
      <c r="R75" s="851">
        <v>37.9</v>
      </c>
      <c r="S75" s="848"/>
      <c r="T75" s="848">
        <v>36.5</v>
      </c>
      <c r="U75" s="852"/>
      <c r="V75" s="853">
        <v>36.5</v>
      </c>
      <c r="W75" s="848"/>
      <c r="X75"/>
      <c r="Y75" s="46"/>
    </row>
    <row r="76" spans="1:31">
      <c r="A76" s="310" t="s">
        <v>282</v>
      </c>
      <c r="B76" s="90"/>
      <c r="C76" s="90">
        <v>118</v>
      </c>
      <c r="D76" s="198">
        <v>9527</v>
      </c>
      <c r="E76" s="300">
        <f t="shared" si="22"/>
        <v>9969</v>
      </c>
      <c r="F76" s="300">
        <f t="shared" si="20"/>
        <v>-442</v>
      </c>
      <c r="M76" s="848" t="s">
        <v>174</v>
      </c>
      <c r="N76" s="848"/>
      <c r="O76" s="848"/>
      <c r="P76" s="848">
        <v>6.08</v>
      </c>
      <c r="Q76" s="850"/>
      <c r="R76" s="851">
        <v>6.36</v>
      </c>
      <c r="S76" s="848"/>
      <c r="T76" s="848">
        <v>5.7</v>
      </c>
      <c r="U76" s="852"/>
      <c r="V76" s="853">
        <v>5.5</v>
      </c>
      <c r="W76" s="848"/>
      <c r="X76"/>
      <c r="Y76" s="46"/>
    </row>
    <row r="77" spans="1:31">
      <c r="A77" s="277" t="s">
        <v>135</v>
      </c>
      <c r="B77" s="90"/>
      <c r="C77" s="90"/>
      <c r="D77" s="198"/>
      <c r="E77" s="300"/>
      <c r="F77" s="300"/>
      <c r="P77" s="36"/>
      <c r="Q77" s="36"/>
      <c r="R77" s="36"/>
      <c r="S77" s="18"/>
      <c r="T77" s="18"/>
      <c r="Y77" s="42"/>
    </row>
    <row r="78" spans="1:31">
      <c r="A78" s="277" t="s">
        <v>136</v>
      </c>
      <c r="B78" s="90"/>
      <c r="C78" s="90"/>
      <c r="D78" s="90"/>
      <c r="E78" s="90"/>
      <c r="F78" s="90"/>
      <c r="O78" s="46"/>
      <c r="P78" s="46"/>
      <c r="Q78" s="46"/>
      <c r="R78" s="65"/>
      <c r="S78" s="65"/>
    </row>
    <row r="79" spans="1:31">
      <c r="A79" s="194" t="s">
        <v>31</v>
      </c>
      <c r="B79" s="300">
        <f>SUM(B57:B78)</f>
        <v>10489</v>
      </c>
      <c r="C79" s="300">
        <f>SUM(C57:C78)</f>
        <v>1840</v>
      </c>
      <c r="D79" s="197"/>
      <c r="E79" s="300"/>
      <c r="F79" s="300"/>
      <c r="N79" s="72"/>
    </row>
    <row r="80" spans="1:31">
      <c r="K80" s="285"/>
      <c r="N80" s="72"/>
    </row>
    <row r="81" spans="11:14">
      <c r="K81" s="285"/>
      <c r="M81" s="284"/>
      <c r="N81" s="72"/>
    </row>
    <row r="82" spans="11:14">
      <c r="K82" s="285"/>
      <c r="L82" s="60"/>
      <c r="M82" s="284"/>
    </row>
    <row r="83" spans="11:14">
      <c r="K83" s="285"/>
      <c r="L83" s="286"/>
    </row>
    <row r="84" spans="11:14">
      <c r="K84" s="285"/>
      <c r="L84" s="73"/>
      <c r="M84" s="284"/>
    </row>
    <row r="85" spans="11:14">
      <c r="K85" s="285"/>
      <c r="M85" s="284"/>
      <c r="N85" s="284"/>
    </row>
    <row r="86" spans="11:14">
      <c r="K86" s="285"/>
      <c r="L86" s="46"/>
    </row>
  </sheetData>
  <mergeCells count="130">
    <mergeCell ref="M76:O76"/>
    <mergeCell ref="P76:Q76"/>
    <mergeCell ref="R76:S76"/>
    <mergeCell ref="T76:U76"/>
    <mergeCell ref="V76:W76"/>
    <mergeCell ref="M74:O74"/>
    <mergeCell ref="P74:Q74"/>
    <mergeCell ref="R74:S74"/>
    <mergeCell ref="T74:U74"/>
    <mergeCell ref="V74:W74"/>
    <mergeCell ref="M75:O75"/>
    <mergeCell ref="P75:Q75"/>
    <mergeCell ref="R75:S75"/>
    <mergeCell ref="T75:U75"/>
    <mergeCell ref="V75:W75"/>
    <mergeCell ref="T72:U72"/>
    <mergeCell ref="V72:W72"/>
    <mergeCell ref="M73:O73"/>
    <mergeCell ref="P73:Q73"/>
    <mergeCell ref="R73:S73"/>
    <mergeCell ref="T73:U73"/>
    <mergeCell ref="V73:W73"/>
    <mergeCell ref="H50:I50"/>
    <mergeCell ref="H51:I51"/>
    <mergeCell ref="H52:I52"/>
    <mergeCell ref="M72:O72"/>
    <mergeCell ref="P72:Q72"/>
    <mergeCell ref="R72:S72"/>
    <mergeCell ref="H43:I43"/>
    <mergeCell ref="H44:I44"/>
    <mergeCell ref="H45:I45"/>
    <mergeCell ref="A48:A49"/>
    <mergeCell ref="B48:C48"/>
    <mergeCell ref="D48:E48"/>
    <mergeCell ref="F48:G48"/>
    <mergeCell ref="H48:I49"/>
    <mergeCell ref="A39:A40"/>
    <mergeCell ref="D39:E39"/>
    <mergeCell ref="F39:I39"/>
    <mergeCell ref="H40:I40"/>
    <mergeCell ref="H41:I41"/>
    <mergeCell ref="H42:I42"/>
    <mergeCell ref="C32:D32"/>
    <mergeCell ref="E32:F32"/>
    <mergeCell ref="C33:D33"/>
    <mergeCell ref="E33:F33"/>
    <mergeCell ref="C34:D34"/>
    <mergeCell ref="E34:F34"/>
    <mergeCell ref="B29:B31"/>
    <mergeCell ref="C29:D29"/>
    <mergeCell ref="E29:F30"/>
    <mergeCell ref="G29:G31"/>
    <mergeCell ref="H29:H31"/>
    <mergeCell ref="I29:I31"/>
    <mergeCell ref="C30:D30"/>
    <mergeCell ref="C31:D31"/>
    <mergeCell ref="E31:F31"/>
    <mergeCell ref="B26:B28"/>
    <mergeCell ref="C26:D26"/>
    <mergeCell ref="E26:F27"/>
    <mergeCell ref="G26:G28"/>
    <mergeCell ref="H26:H28"/>
    <mergeCell ref="I26:I28"/>
    <mergeCell ref="C27:D27"/>
    <mergeCell ref="C28:D28"/>
    <mergeCell ref="E28:F28"/>
    <mergeCell ref="B24:B25"/>
    <mergeCell ref="C24:D24"/>
    <mergeCell ref="E24:F25"/>
    <mergeCell ref="G24:G25"/>
    <mergeCell ref="H24:H25"/>
    <mergeCell ref="I24:I25"/>
    <mergeCell ref="C25:D25"/>
    <mergeCell ref="AX21:AX22"/>
    <mergeCell ref="A22:A23"/>
    <mergeCell ref="B22:B23"/>
    <mergeCell ref="C22:D23"/>
    <mergeCell ref="E22:F23"/>
    <mergeCell ref="G22:I22"/>
    <mergeCell ref="AQ21:AQ22"/>
    <mergeCell ref="AS21:AS22"/>
    <mergeCell ref="AT21:AT22"/>
    <mergeCell ref="AU21:AU22"/>
    <mergeCell ref="AV21:AV22"/>
    <mergeCell ref="AW21:AW22"/>
    <mergeCell ref="C17:D17"/>
    <mergeCell ref="E17:F17"/>
    <mergeCell ref="G17:I17"/>
    <mergeCell ref="Y17:AB17"/>
    <mergeCell ref="AL17:AP17"/>
    <mergeCell ref="AL21:AL22"/>
    <mergeCell ref="AM21:AM22"/>
    <mergeCell ref="AN21:AN22"/>
    <mergeCell ref="AO21:AO22"/>
    <mergeCell ref="AP21:AP22"/>
    <mergeCell ref="C15:D15"/>
    <mergeCell ref="E15:F15"/>
    <mergeCell ref="G15:I15"/>
    <mergeCell ref="C16:D16"/>
    <mergeCell ref="E16:F16"/>
    <mergeCell ref="G16:I16"/>
    <mergeCell ref="A13:A14"/>
    <mergeCell ref="B13:D13"/>
    <mergeCell ref="E13:I13"/>
    <mergeCell ref="C14:D14"/>
    <mergeCell ref="E14:F14"/>
    <mergeCell ref="G14:I14"/>
    <mergeCell ref="C8:D8"/>
    <mergeCell ref="E8:F8"/>
    <mergeCell ref="H8:I8"/>
    <mergeCell ref="C9:D9"/>
    <mergeCell ref="E9:F9"/>
    <mergeCell ref="H9:I9"/>
    <mergeCell ref="G5:I5"/>
    <mergeCell ref="L5:M5"/>
    <mergeCell ref="N5:O5"/>
    <mergeCell ref="H6:I6"/>
    <mergeCell ref="C7:D7"/>
    <mergeCell ref="E7:F7"/>
    <mergeCell ref="H7:I7"/>
    <mergeCell ref="A1:I1"/>
    <mergeCell ref="AJ3:AJ5"/>
    <mergeCell ref="H4:I4"/>
    <mergeCell ref="AK4:AK5"/>
    <mergeCell ref="AL4:AL5"/>
    <mergeCell ref="AM4:AM5"/>
    <mergeCell ref="A5:A6"/>
    <mergeCell ref="B5:B6"/>
    <mergeCell ref="C5:D6"/>
    <mergeCell ref="E5:F6"/>
  </mergeCells>
  <phoneticPr fontId="156" type="noConversion"/>
  <pageMargins left="0.59055118110236227" right="0" top="0.19685039370078741" bottom="0.15748031496062992" header="0.31496062992125984" footer="0.31496062992125984"/>
  <pageSetup paperSize="9" scale="95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375F-0C2F-43EC-81B4-8F301D907652}">
  <dimension ref="A1:U89"/>
  <sheetViews>
    <sheetView workbookViewId="0">
      <selection activeCell="K32" sqref="K32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95"/>
      <c r="B2" s="695"/>
      <c r="C2" s="695"/>
      <c r="D2" s="695"/>
      <c r="E2" s="695"/>
      <c r="F2" s="695"/>
      <c r="G2" s="695"/>
      <c r="H2" s="695"/>
      <c r="I2" s="695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60" t="s">
        <v>708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97"/>
      <c r="P5" s="697"/>
      <c r="Q5" s="748"/>
      <c r="R5" s="748"/>
      <c r="S5" s="697"/>
      <c r="T5" s="697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97"/>
      <c r="P6" s="82"/>
      <c r="Q6" s="697"/>
      <c r="R6" s="82"/>
      <c r="S6" s="82"/>
      <c r="T6" s="293"/>
      <c r="U6" s="107"/>
    </row>
    <row r="7" spans="1:21" ht="18.8" thickTop="1">
      <c r="A7" s="19" t="s">
        <v>14</v>
      </c>
      <c r="B7" s="20">
        <v>15.5</v>
      </c>
      <c r="C7" s="751">
        <v>1303</v>
      </c>
      <c r="D7" s="752"/>
      <c r="E7" s="753">
        <f>(C7/B7)+0.04</f>
        <v>84.104516129032262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97"/>
      <c r="P7" s="22"/>
      <c r="Q7" s="17"/>
      <c r="R7" s="17"/>
      <c r="S7" s="17"/>
      <c r="U7" s="369"/>
    </row>
    <row r="8" spans="1:21">
      <c r="A8" s="23" t="s">
        <v>15</v>
      </c>
      <c r="B8" s="74">
        <f>23.5+15.66+15.5+24+11.7+22.13+23.8+15.5</f>
        <v>151.79</v>
      </c>
      <c r="C8" s="769">
        <f>11341+1303</f>
        <v>12644</v>
      </c>
      <c r="D8" s="770"/>
      <c r="E8" s="771">
        <f>C8/B8</f>
        <v>83.299295078727198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97"/>
      <c r="P8" s="22"/>
      <c r="Q8" s="14"/>
      <c r="T8" s="107"/>
      <c r="U8" s="107"/>
    </row>
    <row r="9" spans="1:21">
      <c r="A9" s="23" t="s">
        <v>16</v>
      </c>
      <c r="B9" s="24">
        <f>4146.7+B8</f>
        <v>4298.49</v>
      </c>
      <c r="C9" s="774">
        <f>341251+C8</f>
        <v>353895</v>
      </c>
      <c r="D9" s="775"/>
      <c r="E9" s="771">
        <f>C9/B9</f>
        <v>82.330074049259167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97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709" t="s">
        <v>709</v>
      </c>
      <c r="G11" s="54">
        <v>13800</v>
      </c>
      <c r="H11" s="54">
        <f>C8</f>
        <v>12644</v>
      </c>
      <c r="I11" s="490">
        <f>H11/G11*100</f>
        <v>91.623188405797109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96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43980</v>
      </c>
      <c r="C15" s="771">
        <f>(B15/C7)</f>
        <v>33.752877973906372</v>
      </c>
      <c r="D15" s="772"/>
      <c r="E15" s="779">
        <v>7292</v>
      </c>
      <c r="F15" s="779"/>
      <c r="G15" s="780">
        <f>E15/C7</f>
        <v>5.5963161933998462</v>
      </c>
      <c r="H15" s="780"/>
      <c r="I15" s="780"/>
      <c r="J15" s="594"/>
      <c r="K15" s="528"/>
      <c r="L15" s="365"/>
      <c r="M15" s="689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71160+44700+44400+65760+34680+65760+64020+43980</f>
        <v>434460</v>
      </c>
      <c r="C16" s="771">
        <f>B16/C8</f>
        <v>34.360961720974373</v>
      </c>
      <c r="D16" s="772"/>
      <c r="E16" s="781">
        <f>10152+7297+7367+10542+5513+10370+10729+7292</f>
        <v>69262</v>
      </c>
      <c r="F16" s="781"/>
      <c r="G16" s="782">
        <f>E16/C8</f>
        <v>5.4778551091426761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12536873</v>
      </c>
      <c r="C17" s="797">
        <f>B17/C9</f>
        <v>35.425403015018581</v>
      </c>
      <c r="D17" s="798"/>
      <c r="E17" s="799">
        <f>1809835+E16</f>
        <v>1879097</v>
      </c>
      <c r="F17" s="799"/>
      <c r="G17" s="800">
        <f>E17/C9</f>
        <v>5.3097585442009638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-27.526354999999974</v>
      </c>
      <c r="D18" s="934"/>
      <c r="E18" s="540"/>
      <c r="F18" s="540"/>
      <c r="G18" s="934">
        <f>-(5.3-G15)*593*C7/10000</f>
        <v>22.895729999999986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/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5056</v>
      </c>
      <c r="C25" s="785">
        <v>1303</v>
      </c>
      <c r="D25" s="786"/>
      <c r="E25" s="787">
        <v>1047</v>
      </c>
      <c r="F25" s="788"/>
      <c r="G25" s="791">
        <v>5153</v>
      </c>
      <c r="H25" s="793">
        <f>B25+C25+C26-E25</f>
        <v>5312</v>
      </c>
      <c r="I25" s="793">
        <f>G25-H25</f>
        <v>-159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4768</v>
      </c>
      <c r="C27" s="813"/>
      <c r="D27" s="814"/>
      <c r="E27" s="815">
        <v>291</v>
      </c>
      <c r="F27" s="816"/>
      <c r="G27" s="801">
        <v>4478</v>
      </c>
      <c r="H27" s="803">
        <f>B27+C27+C28-E27-E29</f>
        <v>4477</v>
      </c>
      <c r="I27" s="803">
        <f>G27-H27</f>
        <v>1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9645</v>
      </c>
      <c r="C30" s="829"/>
      <c r="D30" s="830"/>
      <c r="E30" s="815">
        <v>29</v>
      </c>
      <c r="F30" s="816"/>
      <c r="G30" s="801">
        <v>9419</v>
      </c>
      <c r="H30" s="803">
        <f>B30+C30+C31-E30-E32</f>
        <v>9397</v>
      </c>
      <c r="I30" s="803">
        <f>G30-H30</f>
        <v>22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>
        <v>219</v>
      </c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19469</v>
      </c>
      <c r="C33" s="821">
        <f>SUM(C25:D32)</f>
        <v>1303</v>
      </c>
      <c r="D33" s="822"/>
      <c r="E33" s="821">
        <f>SUM(E25:F32)</f>
        <v>1586</v>
      </c>
      <c r="F33" s="822"/>
      <c r="G33" s="693">
        <f>G25+G27+G30</f>
        <v>19050</v>
      </c>
      <c r="H33" s="693">
        <f>H25+H27+H30</f>
        <v>19186</v>
      </c>
      <c r="I33" s="693">
        <f>I25+I27+I30</f>
        <v>-136</v>
      </c>
      <c r="J33" s="327">
        <f>E33-E29-E32</f>
        <v>1367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951</v>
      </c>
      <c r="C34" s="823">
        <f>E29+E35+E32</f>
        <v>564</v>
      </c>
      <c r="D34" s="824"/>
      <c r="E34" s="823">
        <f>236+201</f>
        <v>437</v>
      </c>
      <c r="F34" s="824"/>
      <c r="G34" s="183">
        <f>455+391</f>
        <v>846</v>
      </c>
      <c r="H34" s="183">
        <f>B34+C34-E34</f>
        <v>1078</v>
      </c>
      <c r="I34" s="183">
        <f>G34-H34</f>
        <v>-232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4026</v>
      </c>
      <c r="C35" s="825"/>
      <c r="D35" s="826"/>
      <c r="E35" s="827">
        <v>345</v>
      </c>
      <c r="F35" s="828"/>
      <c r="G35" s="181">
        <v>3680</v>
      </c>
      <c r="H35" s="182">
        <f>B35+C35-E35</f>
        <v>3681</v>
      </c>
      <c r="I35" s="182">
        <f>G35-H35</f>
        <v>-1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1701+344+678+750+564</f>
        <v>4037</v>
      </c>
      <c r="E36" s="79" t="s">
        <v>47</v>
      </c>
      <c r="F36" s="80" t="s">
        <v>46</v>
      </c>
      <c r="G36" s="55">
        <f>84040+D36</f>
        <v>88077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1032+172+339+475+345</f>
        <v>2363</v>
      </c>
      <c r="E37" s="79" t="s">
        <v>47</v>
      </c>
      <c r="F37" s="80" t="s">
        <v>46</v>
      </c>
      <c r="G37" s="55">
        <f>46327+D37</f>
        <v>48690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92" t="s">
        <v>34</v>
      </c>
      <c r="F41" s="692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>
        <v>1311</v>
      </c>
      <c r="O41" s="76">
        <v>46</v>
      </c>
      <c r="P41" s="76">
        <f t="shared" si="1"/>
        <v>1265</v>
      </c>
      <c r="Q41" s="10">
        <f t="shared" si="3"/>
        <v>1358.6100000000001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>
        <v>2018</v>
      </c>
      <c r="O42" s="76">
        <v>93</v>
      </c>
      <c r="P42" s="76">
        <f t="shared" si="1"/>
        <v>1925</v>
      </c>
      <c r="Q42" s="10">
        <f t="shared" si="3"/>
        <v>2067.4500000000003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98">
        <v>6730</v>
      </c>
      <c r="C43" s="883"/>
      <c r="D43" s="884"/>
      <c r="E43" s="698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>
        <v>973</v>
      </c>
      <c r="O43" s="76">
        <v>43</v>
      </c>
      <c r="P43" s="76">
        <f t="shared" si="1"/>
        <v>930</v>
      </c>
      <c r="Q43" s="10">
        <f t="shared" si="3"/>
        <v>998.82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98">
        <v>6347</v>
      </c>
      <c r="C44" s="883">
        <f>1569+2114+464+1600+300</f>
        <v>6047</v>
      </c>
      <c r="D44" s="884"/>
      <c r="E44" s="698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>
        <v>0</v>
      </c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98">
        <v>6714</v>
      </c>
      <c r="C45" s="883"/>
      <c r="D45" s="884"/>
      <c r="E45" s="698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>
        <v>1787</v>
      </c>
      <c r="O45" s="76">
        <v>59</v>
      </c>
      <c r="P45" s="76">
        <f t="shared" si="1"/>
        <v>1728</v>
      </c>
      <c r="Q45" s="10">
        <f t="shared" si="3"/>
        <v>1855.8720000000001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98">
        <v>27400</v>
      </c>
      <c r="C46" s="883">
        <f>2006+2081+1392+1491+1299+1407+1300-200-1081+1241+1196+1217+1997+1358+2052+2021-100+450</f>
        <v>21127</v>
      </c>
      <c r="D46" s="884"/>
      <c r="E46" s="698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>
        <v>1952</v>
      </c>
      <c r="O46" s="76">
        <v>69</v>
      </c>
      <c r="P46" s="76">
        <f t="shared" si="1"/>
        <v>1883</v>
      </c>
      <c r="Q46" s="10">
        <f t="shared" si="3"/>
        <v>2022.3420000000001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98">
        <v>6800</v>
      </c>
      <c r="C47" s="883">
        <f>1856</f>
        <v>1856</v>
      </c>
      <c r="D47" s="884"/>
      <c r="E47" s="698">
        <f>6800-5050-458</f>
        <v>1292</v>
      </c>
      <c r="F47" s="447">
        <f t="shared" si="4"/>
        <v>3652</v>
      </c>
      <c r="G47" s="883">
        <f t="shared" ref="G47:G48" si="10">SUM(E47:F47)</f>
        <v>4944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>
        <v>1303</v>
      </c>
      <c r="O47" s="76">
        <v>46</v>
      </c>
      <c r="P47" s="76">
        <f t="shared" si="1"/>
        <v>1257</v>
      </c>
      <c r="Q47" s="10">
        <f>P47*(1-S47)*1.071</f>
        <v>1346.2469999999998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98">
        <v>27531</v>
      </c>
      <c r="C48" s="883">
        <f>1359+2140+1356+1964+1362+1359+2067+999+2022+1346</f>
        <v>15974</v>
      </c>
      <c r="D48" s="884"/>
      <c r="E48" s="698">
        <f>27531-13280-3330-4000</f>
        <v>6921</v>
      </c>
      <c r="F48" s="447">
        <f t="shared" si="4"/>
        <v>4636</v>
      </c>
      <c r="G48" s="883">
        <f t="shared" si="10"/>
        <v>11557</v>
      </c>
      <c r="H48" s="884"/>
      <c r="I48" s="450" t="s">
        <v>416</v>
      </c>
      <c r="J48" s="57"/>
      <c r="K48" s="57"/>
      <c r="L48" s="100" t="s">
        <v>656</v>
      </c>
      <c r="M48" s="11"/>
      <c r="N48" s="67"/>
      <c r="O48" s="76"/>
      <c r="P48" s="76">
        <f t="shared" si="1"/>
        <v>0</v>
      </c>
      <c r="Q48" s="10">
        <f t="shared" ref="Q48:Q54" si="11">P48*(1-S48)*1.071</f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90">
        <f>SUM(B42:B48)</f>
        <v>88602</v>
      </c>
      <c r="C49" s="845">
        <f>SUM(C42:D48)</f>
        <v>45004</v>
      </c>
      <c r="D49" s="845"/>
      <c r="E49" s="690">
        <f>SUM(E42:E48)</f>
        <v>34467</v>
      </c>
      <c r="F49" s="690">
        <f>SUM(F42:F48)</f>
        <v>9131</v>
      </c>
      <c r="G49" s="845">
        <f>SUM(G42:H48)</f>
        <v>43598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11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11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11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11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91" t="s">
        <v>3</v>
      </c>
      <c r="C53" s="152" t="s">
        <v>82</v>
      </c>
      <c r="D53" s="691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11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94</v>
      </c>
      <c r="C54" s="154">
        <v>70</v>
      </c>
      <c r="D54" s="184">
        <v>29</v>
      </c>
      <c r="E54" s="153">
        <v>296</v>
      </c>
      <c r="F54" s="153">
        <v>46</v>
      </c>
      <c r="G54" s="185">
        <v>267</v>
      </c>
      <c r="H54" s="846">
        <f>B54+D54-F54</f>
        <v>77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11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348</v>
      </c>
      <c r="C55" s="694">
        <v>100</v>
      </c>
      <c r="D55" s="184">
        <v>29</v>
      </c>
      <c r="E55" s="153">
        <v>261</v>
      </c>
      <c r="F55" s="153">
        <v>22</v>
      </c>
      <c r="G55" s="185">
        <v>106</v>
      </c>
      <c r="H55" s="846">
        <f>B55+D55-F55</f>
        <v>355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442</v>
      </c>
      <c r="C56" s="149">
        <f>SUM(C54:C55)</f>
        <v>170</v>
      </c>
      <c r="D56" s="149">
        <f t="shared" ref="D56:G56" si="12">SUM(D54:D55)</f>
        <v>58</v>
      </c>
      <c r="E56" s="149">
        <f t="shared" si="12"/>
        <v>557</v>
      </c>
      <c r="F56" s="149">
        <f t="shared" si="12"/>
        <v>68</v>
      </c>
      <c r="G56" s="149">
        <f t="shared" si="12"/>
        <v>373</v>
      </c>
      <c r="H56" s="846">
        <f t="shared" ref="H56" si="13">B56+D56-F56</f>
        <v>432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4">SUM(M37:M69)</f>
        <v>0</v>
      </c>
      <c r="N70" s="120">
        <f t="shared" si="14"/>
        <v>12640</v>
      </c>
      <c r="O70" s="61">
        <f t="shared" si="14"/>
        <v>473</v>
      </c>
      <c r="P70" s="61">
        <f t="shared" si="14"/>
        <v>12167</v>
      </c>
      <c r="Q70" s="10">
        <f t="shared" ref="Q70" si="15">P70*(1-S70)*1.057</f>
        <v>12860.518999999998</v>
      </c>
      <c r="R70" s="61">
        <f t="shared" si="14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H54:I54"/>
    <mergeCell ref="H55:I55"/>
    <mergeCell ref="H56:I56"/>
    <mergeCell ref="C49:D49"/>
    <mergeCell ref="G49:H49"/>
    <mergeCell ref="A52:A53"/>
    <mergeCell ref="B52:C52"/>
    <mergeCell ref="D52:E52"/>
    <mergeCell ref="F52:G52"/>
    <mergeCell ref="H52:I53"/>
    <mergeCell ref="C46:D46"/>
    <mergeCell ref="G46:H46"/>
    <mergeCell ref="C47:D47"/>
    <mergeCell ref="G47:H47"/>
    <mergeCell ref="C48:D48"/>
    <mergeCell ref="G48:H48"/>
    <mergeCell ref="C43:D43"/>
    <mergeCell ref="G43:H43"/>
    <mergeCell ref="C44:D44"/>
    <mergeCell ref="G44:H44"/>
    <mergeCell ref="C45:D45"/>
    <mergeCell ref="G45:H45"/>
    <mergeCell ref="A40:A41"/>
    <mergeCell ref="C40:D41"/>
    <mergeCell ref="E40:H40"/>
    <mergeCell ref="I40:I41"/>
    <mergeCell ref="G41:H4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B25:B26"/>
    <mergeCell ref="C25:D25"/>
    <mergeCell ref="E25:F26"/>
    <mergeCell ref="G25:G26"/>
    <mergeCell ref="H25:H26"/>
    <mergeCell ref="I25:I26"/>
    <mergeCell ref="C26:D26"/>
    <mergeCell ref="C17:D17"/>
    <mergeCell ref="E17:F17"/>
    <mergeCell ref="G17:I17"/>
    <mergeCell ref="C18:D18"/>
    <mergeCell ref="G18:I18"/>
    <mergeCell ref="A23:A24"/>
    <mergeCell ref="B23:B24"/>
    <mergeCell ref="C23:D24"/>
    <mergeCell ref="E23:F24"/>
    <mergeCell ref="G23:I23"/>
    <mergeCell ref="C15:D15"/>
    <mergeCell ref="E15:F15"/>
    <mergeCell ref="G15:I15"/>
    <mergeCell ref="C16:D16"/>
    <mergeCell ref="E16:F16"/>
    <mergeCell ref="G16:I16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Q5:R5"/>
    <mergeCell ref="H6:I6"/>
    <mergeCell ref="C7:D7"/>
    <mergeCell ref="E7:F7"/>
    <mergeCell ref="H7:I7"/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A825-8657-460D-8113-AFD358C5203C}">
  <dimension ref="A1:U89"/>
  <sheetViews>
    <sheetView workbookViewId="0">
      <selection activeCell="K46" sqref="K46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95"/>
      <c r="B2" s="695"/>
      <c r="C2" s="695"/>
      <c r="D2" s="695"/>
      <c r="E2" s="695"/>
      <c r="F2" s="695"/>
      <c r="G2" s="695"/>
      <c r="H2" s="695"/>
      <c r="I2" s="695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60" t="s">
        <v>710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97"/>
      <c r="P5" s="697"/>
      <c r="Q5" s="748"/>
      <c r="R5" s="748"/>
      <c r="S5" s="697"/>
      <c r="T5" s="697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97"/>
      <c r="P6" s="82"/>
      <c r="Q6" s="697"/>
      <c r="R6" s="82"/>
      <c r="S6" s="82"/>
      <c r="T6" s="293"/>
      <c r="U6" s="107"/>
    </row>
    <row r="7" spans="1:21" ht="18.8" thickTop="1">
      <c r="A7" s="19" t="s">
        <v>14</v>
      </c>
      <c r="B7" s="20">
        <v>15.5</v>
      </c>
      <c r="C7" s="751">
        <v>1237</v>
      </c>
      <c r="D7" s="752"/>
      <c r="E7" s="753">
        <f>(C7/B7)+0.04</f>
        <v>79.846451612903238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97"/>
      <c r="P7" s="22"/>
      <c r="Q7" s="17"/>
      <c r="R7" s="17"/>
      <c r="S7" s="17"/>
      <c r="U7" s="369"/>
    </row>
    <row r="8" spans="1:21">
      <c r="A8" s="23" t="s">
        <v>15</v>
      </c>
      <c r="B8" s="74">
        <f>23.5+15.66+15.5+24+11.7+22.13+23.8+15.5+15.5</f>
        <v>167.29</v>
      </c>
      <c r="C8" s="769">
        <f>11341+1303+1237</f>
        <v>13881</v>
      </c>
      <c r="D8" s="770"/>
      <c r="E8" s="771">
        <f>C8/B8</f>
        <v>82.975670990495544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97"/>
      <c r="P8" s="22"/>
      <c r="Q8" s="14"/>
      <c r="T8" s="107"/>
      <c r="U8" s="107"/>
    </row>
    <row r="9" spans="1:21">
      <c r="A9" s="23" t="s">
        <v>16</v>
      </c>
      <c r="B9" s="24">
        <f>4146.7+B8</f>
        <v>4313.99</v>
      </c>
      <c r="C9" s="774">
        <f>341251+C8</f>
        <v>355132</v>
      </c>
      <c r="D9" s="775"/>
      <c r="E9" s="771">
        <f>C9/B9</f>
        <v>82.321006770993904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97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709" t="s">
        <v>711</v>
      </c>
      <c r="G11" s="54">
        <v>15100</v>
      </c>
      <c r="H11" s="54">
        <f>C8</f>
        <v>13881</v>
      </c>
      <c r="I11" s="490">
        <f>H11/G11*100</f>
        <v>91.927152317880783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96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41700</v>
      </c>
      <c r="C15" s="771">
        <f>(B15/C7)</f>
        <v>33.710590137429264</v>
      </c>
      <c r="D15" s="772"/>
      <c r="E15" s="779">
        <v>7083</v>
      </c>
      <c r="F15" s="779"/>
      <c r="G15" s="780">
        <f>E15/C7</f>
        <v>5.7259498787388843</v>
      </c>
      <c r="H15" s="780"/>
      <c r="I15" s="780"/>
      <c r="J15" s="594"/>
      <c r="K15" s="528"/>
      <c r="L15" s="365"/>
      <c r="M15" s="689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71160+44700+44400+65760+34680+65760+64020+43980+41700</f>
        <v>476160</v>
      </c>
      <c r="C16" s="771">
        <f>B16/C8</f>
        <v>34.303004106332395</v>
      </c>
      <c r="D16" s="772"/>
      <c r="E16" s="781">
        <f>10152+7297+7367+10542+5513+10370+10729+7292+7083</f>
        <v>76345</v>
      </c>
      <c r="F16" s="781"/>
      <c r="G16" s="782">
        <f>E16/C8</f>
        <v>5.4999639795403787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12578573</v>
      </c>
      <c r="C17" s="797">
        <f>B17/C9</f>
        <v>35.419429958437988</v>
      </c>
      <c r="D17" s="798"/>
      <c r="E17" s="799">
        <f>1809835+E16</f>
        <v>1886180</v>
      </c>
      <c r="F17" s="799"/>
      <c r="G17" s="800">
        <f>E17/C9</f>
        <v>5.3112082268001757</v>
      </c>
      <c r="H17" s="800"/>
      <c r="I17" s="800"/>
      <c r="J17" s="368"/>
      <c r="K17" s="598"/>
      <c r="L17" s="34">
        <f>593*1.0541</f>
        <v>625.08130000000006</v>
      </c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-26.534345000000002</v>
      </c>
      <c r="D18" s="934"/>
      <c r="E18" s="540"/>
      <c r="F18" s="540"/>
      <c r="G18" s="934">
        <f>-(5.3-G15)*593*C7/10000</f>
        <v>31.245170000000002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643" t="s">
        <v>689</v>
      </c>
      <c r="J19" s="620"/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5153</v>
      </c>
      <c r="C25" s="785">
        <v>1000</v>
      </c>
      <c r="D25" s="786"/>
      <c r="E25" s="787">
        <v>1256</v>
      </c>
      <c r="F25" s="788"/>
      <c r="G25" s="791">
        <v>5250</v>
      </c>
      <c r="H25" s="793">
        <f>B25+C25+C26-E25</f>
        <v>4897</v>
      </c>
      <c r="I25" s="793">
        <f>G25-H25</f>
        <v>353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4478</v>
      </c>
      <c r="C27" s="813">
        <v>237</v>
      </c>
      <c r="D27" s="814"/>
      <c r="E27" s="815">
        <v>233</v>
      </c>
      <c r="F27" s="816"/>
      <c r="G27" s="801">
        <v>4285</v>
      </c>
      <c r="H27" s="803">
        <f>B27+C27+C28-E27-E29</f>
        <v>4482</v>
      </c>
      <c r="I27" s="803">
        <f>G27-H27</f>
        <v>-197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9419</v>
      </c>
      <c r="C30" s="829"/>
      <c r="D30" s="830"/>
      <c r="E30" s="815">
        <v>29</v>
      </c>
      <c r="F30" s="816"/>
      <c r="G30" s="801">
        <v>9284</v>
      </c>
      <c r="H30" s="803">
        <f>B30+C30+C31-E30-E32</f>
        <v>9261</v>
      </c>
      <c r="I30" s="803">
        <f>G30-H30</f>
        <v>23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>
        <v>129</v>
      </c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19050</v>
      </c>
      <c r="C33" s="821">
        <f>SUM(C25:D32)</f>
        <v>1237</v>
      </c>
      <c r="D33" s="822"/>
      <c r="E33" s="821">
        <f>SUM(E25:F32)</f>
        <v>1647</v>
      </c>
      <c r="F33" s="822"/>
      <c r="G33" s="693">
        <f>G25+G27+G30</f>
        <v>18819</v>
      </c>
      <c r="H33" s="693">
        <f>H25+H27+H30</f>
        <v>18640</v>
      </c>
      <c r="I33" s="693">
        <f>I25+I27+I30</f>
        <v>179</v>
      </c>
      <c r="J33" s="327">
        <f>E33-E29-E32</f>
        <v>1518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846</v>
      </c>
      <c r="C34" s="823">
        <f>E29+E35+E32</f>
        <v>318</v>
      </c>
      <c r="D34" s="824"/>
      <c r="E34" s="823">
        <f>178+118</f>
        <v>296</v>
      </c>
      <c r="F34" s="824"/>
      <c r="G34" s="183">
        <f>446+422</f>
        <v>868</v>
      </c>
      <c r="H34" s="183">
        <f>B34+C34-E34</f>
        <v>868</v>
      </c>
      <c r="I34" s="183">
        <f>G34-H34</f>
        <v>0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3680</v>
      </c>
      <c r="C35" s="825"/>
      <c r="D35" s="826"/>
      <c r="E35" s="827">
        <v>189</v>
      </c>
      <c r="F35" s="828"/>
      <c r="G35" s="181">
        <v>3449</v>
      </c>
      <c r="H35" s="182">
        <f>B35+C35-E35</f>
        <v>3491</v>
      </c>
      <c r="I35" s="182">
        <f>G35-H35</f>
        <v>-42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1701+344+678+750+564+318</f>
        <v>4355</v>
      </c>
      <c r="E36" s="79" t="s">
        <v>47</v>
      </c>
      <c r="F36" s="80" t="s">
        <v>46</v>
      </c>
      <c r="G36" s="55">
        <f>84040+D36</f>
        <v>88395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1032+172+339+475+345+189</f>
        <v>2552</v>
      </c>
      <c r="E37" s="79" t="s">
        <v>47</v>
      </c>
      <c r="F37" s="80" t="s">
        <v>46</v>
      </c>
      <c r="G37" s="55">
        <f>46327+D37</f>
        <v>48879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92" t="s">
        <v>34</v>
      </c>
      <c r="F41" s="692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>
        <v>1311</v>
      </c>
      <c r="O41" s="76">
        <v>46</v>
      </c>
      <c r="P41" s="76">
        <f t="shared" si="1"/>
        <v>1265</v>
      </c>
      <c r="Q41" s="10">
        <f t="shared" si="3"/>
        <v>1358.6100000000001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>
        <v>2018</v>
      </c>
      <c r="O42" s="76">
        <v>93</v>
      </c>
      <c r="P42" s="76">
        <f t="shared" si="1"/>
        <v>1925</v>
      </c>
      <c r="Q42" s="10">
        <f t="shared" si="3"/>
        <v>2067.4500000000003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98">
        <v>6730</v>
      </c>
      <c r="C43" s="883"/>
      <c r="D43" s="884"/>
      <c r="E43" s="698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>
        <v>973</v>
      </c>
      <c r="O43" s="76">
        <v>43</v>
      </c>
      <c r="P43" s="76">
        <f t="shared" si="1"/>
        <v>930</v>
      </c>
      <c r="Q43" s="10">
        <f t="shared" si="3"/>
        <v>998.82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98">
        <v>6347</v>
      </c>
      <c r="C44" s="883">
        <f>1569+2114+464+1600+300</f>
        <v>6047</v>
      </c>
      <c r="D44" s="884"/>
      <c r="E44" s="698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>
        <v>0</v>
      </c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98">
        <v>6714</v>
      </c>
      <c r="C45" s="883"/>
      <c r="D45" s="884"/>
      <c r="E45" s="698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>
        <v>1787</v>
      </c>
      <c r="O45" s="76">
        <v>59</v>
      </c>
      <c r="P45" s="76">
        <f t="shared" si="1"/>
        <v>1728</v>
      </c>
      <c r="Q45" s="10">
        <f t="shared" si="3"/>
        <v>1855.8720000000001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98">
        <v>27400</v>
      </c>
      <c r="C46" s="883">
        <f>2006+2081+1392+1491+1299+1407+1300-200-1081+1241+1196+1217+1997+1358+2052+2021-100+450</f>
        <v>21127</v>
      </c>
      <c r="D46" s="884"/>
      <c r="E46" s="698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>
        <v>1952</v>
      </c>
      <c r="O46" s="76">
        <v>69</v>
      </c>
      <c r="P46" s="76">
        <f t="shared" si="1"/>
        <v>1883</v>
      </c>
      <c r="Q46" s="10">
        <f t="shared" si="3"/>
        <v>2022.3420000000001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98">
        <v>6800</v>
      </c>
      <c r="C47" s="883">
        <f>1856</f>
        <v>1856</v>
      </c>
      <c r="D47" s="884"/>
      <c r="E47" s="698">
        <f>6800-5050-458</f>
        <v>1292</v>
      </c>
      <c r="F47" s="447">
        <f t="shared" si="4"/>
        <v>3652</v>
      </c>
      <c r="G47" s="883">
        <f t="shared" ref="G47:G48" si="10">SUM(E47:F47)</f>
        <v>4944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>
        <v>1303</v>
      </c>
      <c r="O47" s="76">
        <v>46</v>
      </c>
      <c r="P47" s="76">
        <f t="shared" si="1"/>
        <v>1257</v>
      </c>
      <c r="Q47" s="10">
        <f>P47*(1-S47)*1.071</f>
        <v>1346.2469999999998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98">
        <v>27531</v>
      </c>
      <c r="C48" s="883">
        <f>1359+2140+1356+1964+1362+1359+2067+999+2022+1346+1312</f>
        <v>17286</v>
      </c>
      <c r="D48" s="884"/>
      <c r="E48" s="698">
        <f>27531-13280-3330-4000-4000</f>
        <v>2921</v>
      </c>
      <c r="F48" s="447">
        <f t="shared" si="4"/>
        <v>7324</v>
      </c>
      <c r="G48" s="883">
        <f t="shared" si="10"/>
        <v>10245</v>
      </c>
      <c r="H48" s="884"/>
      <c r="I48" s="450" t="s">
        <v>416</v>
      </c>
      <c r="J48" s="57"/>
      <c r="K48" s="57"/>
      <c r="L48" s="100" t="s">
        <v>656</v>
      </c>
      <c r="M48" s="11"/>
      <c r="N48" s="67">
        <v>1273</v>
      </c>
      <c r="O48" s="76">
        <v>48</v>
      </c>
      <c r="P48" s="76">
        <f t="shared" si="1"/>
        <v>1225</v>
      </c>
      <c r="Q48" s="10">
        <f t="shared" ref="Q48:Q54" si="11">P48*(1-S48)*1.071</f>
        <v>1311.9749999999999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90">
        <f>SUM(B42:B48)</f>
        <v>88602</v>
      </c>
      <c r="C49" s="845">
        <f>SUM(C42:D48)</f>
        <v>46316</v>
      </c>
      <c r="D49" s="845"/>
      <c r="E49" s="690">
        <f>SUM(E42:E48)</f>
        <v>30467</v>
      </c>
      <c r="F49" s="690">
        <f>SUM(F42:F48)</f>
        <v>11819</v>
      </c>
      <c r="G49" s="845">
        <f>SUM(G42:H48)</f>
        <v>42286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/>
      <c r="O49" s="76"/>
      <c r="P49" s="76">
        <f t="shared" si="1"/>
        <v>0</v>
      </c>
      <c r="Q49" s="10">
        <f t="shared" si="11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11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11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11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91" t="s">
        <v>3</v>
      </c>
      <c r="C53" s="152" t="s">
        <v>82</v>
      </c>
      <c r="D53" s="691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11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94</v>
      </c>
      <c r="C54" s="154">
        <v>70</v>
      </c>
      <c r="D54" s="184">
        <v>29</v>
      </c>
      <c r="E54" s="153">
        <v>296</v>
      </c>
      <c r="F54" s="153">
        <v>46</v>
      </c>
      <c r="G54" s="185">
        <v>267</v>
      </c>
      <c r="H54" s="846">
        <f>B54+D54-F54</f>
        <v>77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11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348</v>
      </c>
      <c r="C55" s="694">
        <v>100</v>
      </c>
      <c r="D55" s="184">
        <v>29</v>
      </c>
      <c r="E55" s="153">
        <v>261</v>
      </c>
      <c r="F55" s="153">
        <v>22</v>
      </c>
      <c r="G55" s="185">
        <v>106</v>
      </c>
      <c r="H55" s="846">
        <f>B55+D55-F55</f>
        <v>355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442</v>
      </c>
      <c r="C56" s="149">
        <f>SUM(C54:C55)</f>
        <v>170</v>
      </c>
      <c r="D56" s="149">
        <f t="shared" ref="D56:G56" si="12">SUM(D54:D55)</f>
        <v>58</v>
      </c>
      <c r="E56" s="149">
        <f t="shared" si="12"/>
        <v>557</v>
      </c>
      <c r="F56" s="149">
        <f t="shared" si="12"/>
        <v>68</v>
      </c>
      <c r="G56" s="149">
        <f t="shared" si="12"/>
        <v>373</v>
      </c>
      <c r="H56" s="846">
        <f t="shared" ref="H56" si="13">B56+D56-F56</f>
        <v>432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4">SUM(M37:M69)</f>
        <v>0</v>
      </c>
      <c r="N70" s="120">
        <f t="shared" si="14"/>
        <v>13913</v>
      </c>
      <c r="O70" s="61">
        <f t="shared" si="14"/>
        <v>521</v>
      </c>
      <c r="P70" s="61">
        <f t="shared" si="14"/>
        <v>13392</v>
      </c>
      <c r="Q70" s="10">
        <f t="shared" ref="Q70" si="15">P70*(1-S70)*1.057</f>
        <v>14155.343999999999</v>
      </c>
      <c r="R70" s="61">
        <f t="shared" si="14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H54:I54"/>
    <mergeCell ref="H55:I55"/>
    <mergeCell ref="H56:I56"/>
    <mergeCell ref="C49:D49"/>
    <mergeCell ref="G49:H49"/>
    <mergeCell ref="A52:A53"/>
    <mergeCell ref="B52:C52"/>
    <mergeCell ref="D52:E52"/>
    <mergeCell ref="F52:G52"/>
    <mergeCell ref="H52:I53"/>
    <mergeCell ref="C46:D46"/>
    <mergeCell ref="G46:H46"/>
    <mergeCell ref="C47:D47"/>
    <mergeCell ref="G47:H47"/>
    <mergeCell ref="C48:D48"/>
    <mergeCell ref="G48:H48"/>
    <mergeCell ref="C43:D43"/>
    <mergeCell ref="G43:H43"/>
    <mergeCell ref="C44:D44"/>
    <mergeCell ref="G44:H44"/>
    <mergeCell ref="C45:D45"/>
    <mergeCell ref="G45:H45"/>
    <mergeCell ref="A40:A41"/>
    <mergeCell ref="C40:D41"/>
    <mergeCell ref="E40:H40"/>
    <mergeCell ref="I40:I41"/>
    <mergeCell ref="G41:H4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B25:B26"/>
    <mergeCell ref="C25:D25"/>
    <mergeCell ref="E25:F26"/>
    <mergeCell ref="G25:G26"/>
    <mergeCell ref="H25:H26"/>
    <mergeCell ref="I25:I26"/>
    <mergeCell ref="C26:D26"/>
    <mergeCell ref="C17:D17"/>
    <mergeCell ref="E17:F17"/>
    <mergeCell ref="G17:I17"/>
    <mergeCell ref="C18:D18"/>
    <mergeCell ref="G18:I18"/>
    <mergeCell ref="A23:A24"/>
    <mergeCell ref="B23:B24"/>
    <mergeCell ref="C23:D24"/>
    <mergeCell ref="E23:F24"/>
    <mergeCell ref="G23:I23"/>
    <mergeCell ref="C15:D15"/>
    <mergeCell ref="E15:F15"/>
    <mergeCell ref="G15:I15"/>
    <mergeCell ref="C16:D16"/>
    <mergeCell ref="E16:F16"/>
    <mergeCell ref="G16:I16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Q5:R5"/>
    <mergeCell ref="H6:I6"/>
    <mergeCell ref="C7:D7"/>
    <mergeCell ref="E7:F7"/>
    <mergeCell ref="H7:I7"/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5F1E-896C-45A5-AAE7-E26DC137B236}">
  <dimension ref="A1:U89"/>
  <sheetViews>
    <sheetView topLeftCell="A19" workbookViewId="0">
      <selection activeCell="N31" sqref="N31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95"/>
      <c r="B2" s="695"/>
      <c r="C2" s="695"/>
      <c r="D2" s="695"/>
      <c r="E2" s="695"/>
      <c r="F2" s="695"/>
      <c r="G2" s="695"/>
      <c r="H2" s="695"/>
      <c r="I2" s="695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60" t="s">
        <v>712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97"/>
      <c r="P5" s="697"/>
      <c r="Q5" s="748"/>
      <c r="R5" s="748"/>
      <c r="S5" s="697"/>
      <c r="T5" s="697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97"/>
      <c r="P6" s="82"/>
      <c r="Q6" s="697"/>
      <c r="R6" s="82"/>
      <c r="S6" s="82"/>
      <c r="T6" s="293"/>
      <c r="U6" s="107"/>
    </row>
    <row r="7" spans="1:21" ht="18.8" thickTop="1">
      <c r="A7" s="19" t="s">
        <v>14</v>
      </c>
      <c r="B7" s="20">
        <v>23.83</v>
      </c>
      <c r="C7" s="751">
        <v>2028</v>
      </c>
      <c r="D7" s="752"/>
      <c r="E7" s="753">
        <f>(C7/B7)+0.04</f>
        <v>85.142811582039457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97"/>
      <c r="P7" s="22"/>
      <c r="Q7" s="17"/>
      <c r="R7" s="17"/>
      <c r="S7" s="17"/>
      <c r="U7" s="369"/>
    </row>
    <row r="8" spans="1:21">
      <c r="A8" s="23" t="s">
        <v>15</v>
      </c>
      <c r="B8" s="74">
        <f>23.5+15.66+15.5+24+11.7+22.13+23.8+15.5+15.5+23.83</f>
        <v>191.12</v>
      </c>
      <c r="C8" s="769">
        <f>15992</f>
        <v>15992</v>
      </c>
      <c r="D8" s="770"/>
      <c r="E8" s="771">
        <f>C8/B8</f>
        <v>83.675177898702387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97"/>
      <c r="P8" s="22"/>
      <c r="Q8" s="14"/>
      <c r="T8" s="107"/>
      <c r="U8" s="107"/>
    </row>
    <row r="9" spans="1:21">
      <c r="A9" s="23" t="s">
        <v>16</v>
      </c>
      <c r="B9" s="24">
        <f>4146.7+B8</f>
        <v>4337.82</v>
      </c>
      <c r="C9" s="774">
        <f>341251+C8</f>
        <v>357243</v>
      </c>
      <c r="D9" s="775"/>
      <c r="E9" s="771">
        <f>C9/B9</f>
        <v>82.3554227699628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97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709" t="s">
        <v>713</v>
      </c>
      <c r="G11" s="54">
        <v>17100</v>
      </c>
      <c r="H11" s="54">
        <f>C8</f>
        <v>15992</v>
      </c>
      <c r="I11" s="490">
        <f>H11/G11*100</f>
        <v>93.520467836257311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711" t="s">
        <v>715</v>
      </c>
      <c r="N13" s="711" t="s">
        <v>716</v>
      </c>
      <c r="O13" s="29"/>
      <c r="P13" s="102"/>
      <c r="T13" s="92"/>
      <c r="U13" s="51"/>
    </row>
    <row r="14" spans="1:21" ht="18.8" thickBot="1">
      <c r="A14" s="762"/>
      <c r="B14" s="696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M14" s="712" t="s">
        <v>717</v>
      </c>
      <c r="N14" s="712" t="s">
        <v>718</v>
      </c>
      <c r="O14" s="29"/>
      <c r="P14" s="102"/>
      <c r="T14" s="92"/>
      <c r="U14" s="92"/>
    </row>
    <row r="15" spans="1:21" ht="18.8" thickTop="1">
      <c r="A15" s="19" t="s">
        <v>14</v>
      </c>
      <c r="B15" s="37">
        <v>66060</v>
      </c>
      <c r="C15" s="771">
        <f>(B15/C7)</f>
        <v>32.573964497041423</v>
      </c>
      <c r="D15" s="772"/>
      <c r="E15" s="779">
        <v>10554</v>
      </c>
      <c r="F15" s="779"/>
      <c r="G15" s="780">
        <f>E15/C7</f>
        <v>5.2041420118343193</v>
      </c>
      <c r="H15" s="780"/>
      <c r="I15" s="780"/>
      <c r="J15" s="594"/>
      <c r="M15" s="528">
        <v>85.5</v>
      </c>
      <c r="N15" s="365">
        <v>85.1</v>
      </c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71160+44700+44400+65760+34680+65760+64020+43980+41700+66060</f>
        <v>542220</v>
      </c>
      <c r="C16" s="771">
        <f>B16/C8</f>
        <v>33.905702851425715</v>
      </c>
      <c r="D16" s="772"/>
      <c r="E16" s="781">
        <f>10152+7297+7367+10542+5513+10370+10729+7292+7083+10554</f>
        <v>86899</v>
      </c>
      <c r="F16" s="781"/>
      <c r="G16" s="782">
        <f>E16/C8</f>
        <v>5.4339044522261126</v>
      </c>
      <c r="H16" s="782"/>
      <c r="I16" s="782"/>
      <c r="J16" s="535"/>
      <c r="M16" s="713">
        <v>85.6</v>
      </c>
      <c r="N16" s="51">
        <v>83</v>
      </c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12644633</v>
      </c>
      <c r="C17" s="797">
        <f>B17/C9</f>
        <v>35.395047628644924</v>
      </c>
      <c r="D17" s="798"/>
      <c r="E17" s="799">
        <f>1809835+E16</f>
        <v>1896734</v>
      </c>
      <c r="F17" s="799"/>
      <c r="G17" s="800">
        <f>E17/C9</f>
        <v>5.3093664536463976</v>
      </c>
      <c r="H17" s="800"/>
      <c r="I17" s="800"/>
      <c r="J17" s="368"/>
      <c r="M17" s="714">
        <v>85.8</v>
      </c>
      <c r="N17" s="715">
        <v>84.2</v>
      </c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-61.22777999999996</v>
      </c>
      <c r="D18" s="934"/>
      <c r="E18" s="540"/>
      <c r="F18" s="540"/>
      <c r="G18" s="934">
        <f>-(5.3-G15)*593*C7/10000</f>
        <v>-11.527920000000002</v>
      </c>
      <c r="H18" s="934"/>
      <c r="I18" s="934"/>
      <c r="J18" s="538"/>
      <c r="M18" s="51"/>
      <c r="N18" s="51">
        <v>84.6</v>
      </c>
      <c r="O18" s="33"/>
      <c r="R18" s="33"/>
      <c r="T18" s="92"/>
      <c r="U18" s="92"/>
    </row>
    <row r="19" spans="1:21">
      <c r="A19" s="643" t="s">
        <v>689</v>
      </c>
      <c r="J19" s="620"/>
      <c r="M19" s="716"/>
      <c r="N19" s="51">
        <v>84</v>
      </c>
    </row>
    <row r="20" spans="1:21">
      <c r="A20" s="186" t="s">
        <v>145</v>
      </c>
      <c r="J20" s="43"/>
      <c r="M20" s="717"/>
      <c r="N20" s="51">
        <v>84.4</v>
      </c>
    </row>
    <row r="21" spans="1:21" ht="10.050000000000001" customHeight="1">
      <c r="A21" s="40"/>
      <c r="B21" s="44"/>
      <c r="C21" s="36"/>
      <c r="D21" s="36"/>
      <c r="E21" s="36"/>
      <c r="F21" s="36"/>
      <c r="J21" s="45"/>
      <c r="M21" s="718"/>
      <c r="N21" s="51">
        <v>84.4</v>
      </c>
    </row>
    <row r="22" spans="1:21" ht="19.899999999999999" customHeight="1">
      <c r="A22" s="15" t="s">
        <v>49</v>
      </c>
      <c r="J22" s="43"/>
      <c r="M22" s="717"/>
      <c r="N22" s="51">
        <v>87.1</v>
      </c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M23" s="719"/>
      <c r="N23" s="51">
        <v>83.8</v>
      </c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L24" s="710" t="s">
        <v>719</v>
      </c>
      <c r="M24" s="718">
        <v>85.6</v>
      </c>
      <c r="N24" s="689">
        <v>84.5</v>
      </c>
    </row>
    <row r="25" spans="1:21" ht="16.75" customHeight="1" thickTop="1">
      <c r="A25" s="95" t="s">
        <v>57</v>
      </c>
      <c r="B25" s="783">
        <v>5250</v>
      </c>
      <c r="C25" s="785"/>
      <c r="D25" s="786"/>
      <c r="E25" s="787"/>
      <c r="F25" s="788"/>
      <c r="G25" s="791">
        <v>5250</v>
      </c>
      <c r="H25" s="793">
        <f>B25+C25+C26-E25</f>
        <v>5250</v>
      </c>
      <c r="I25" s="793">
        <f>G25-H25</f>
        <v>0</v>
      </c>
      <c r="J25" s="530"/>
      <c r="K25" s="385"/>
      <c r="L25" s="710" t="s">
        <v>720</v>
      </c>
      <c r="M25" s="51">
        <v>5.6</v>
      </c>
      <c r="N25" s="51">
        <v>7.4</v>
      </c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4285</v>
      </c>
      <c r="C27" s="813">
        <v>1000</v>
      </c>
      <c r="D27" s="814"/>
      <c r="E27" s="815"/>
      <c r="F27" s="816"/>
      <c r="G27" s="801">
        <v>5250</v>
      </c>
      <c r="H27" s="803">
        <f>B27+C27+C28-E27-E29</f>
        <v>5285</v>
      </c>
      <c r="I27" s="803">
        <f>G27-H27</f>
        <v>-35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9284</v>
      </c>
      <c r="C30" s="829">
        <v>1028</v>
      </c>
      <c r="D30" s="830"/>
      <c r="E30" s="815"/>
      <c r="F30" s="816"/>
      <c r="G30" s="801">
        <v>10212</v>
      </c>
      <c r="H30" s="803">
        <f>B30+C30+C31-E30-E32</f>
        <v>10312</v>
      </c>
      <c r="I30" s="803">
        <f>G30-H30</f>
        <v>-100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/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18819</v>
      </c>
      <c r="C33" s="821">
        <f>SUM(C25:D32)</f>
        <v>2028</v>
      </c>
      <c r="D33" s="822"/>
      <c r="E33" s="821">
        <f>SUM(E25:F32)</f>
        <v>0</v>
      </c>
      <c r="F33" s="822"/>
      <c r="G33" s="693">
        <f>G25+G27+G30</f>
        <v>20712</v>
      </c>
      <c r="H33" s="693">
        <f>H25+H27+H30</f>
        <v>20847</v>
      </c>
      <c r="I33" s="693">
        <f>I25+I27+I30</f>
        <v>-135</v>
      </c>
      <c r="J33" s="327">
        <f>E33-E29-E32</f>
        <v>0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868</v>
      </c>
      <c r="C34" s="823">
        <f>E29+E35+E32</f>
        <v>0</v>
      </c>
      <c r="D34" s="824"/>
      <c r="E34" s="823"/>
      <c r="F34" s="824"/>
      <c r="G34" s="183">
        <f>446+422</f>
        <v>868</v>
      </c>
      <c r="H34" s="183">
        <f>B34+C34-E34</f>
        <v>868</v>
      </c>
      <c r="I34" s="183">
        <f>G34-H34</f>
        <v>0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3449</v>
      </c>
      <c r="C35" s="825"/>
      <c r="D35" s="826"/>
      <c r="E35" s="827"/>
      <c r="F35" s="828"/>
      <c r="G35" s="181">
        <v>3449</v>
      </c>
      <c r="H35" s="182">
        <f>B35+C35-E35</f>
        <v>3449</v>
      </c>
      <c r="I35" s="182">
        <f>G35-H35</f>
        <v>0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1701+344+678+750+564+318</f>
        <v>4355</v>
      </c>
      <c r="E36" s="79" t="s">
        <v>47</v>
      </c>
      <c r="F36" s="80" t="s">
        <v>46</v>
      </c>
      <c r="G36" s="55">
        <f>84040+D36</f>
        <v>88395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1032+172+339+475+345+189</f>
        <v>2552</v>
      </c>
      <c r="E37" s="79" t="s">
        <v>47</v>
      </c>
      <c r="F37" s="80" t="s">
        <v>46</v>
      </c>
      <c r="G37" s="55">
        <f>46327+D37</f>
        <v>48879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92" t="s">
        <v>34</v>
      </c>
      <c r="F41" s="692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>
        <v>1311</v>
      </c>
      <c r="O41" s="76">
        <v>46</v>
      </c>
      <c r="P41" s="76">
        <f t="shared" si="1"/>
        <v>1265</v>
      </c>
      <c r="Q41" s="10">
        <f t="shared" si="3"/>
        <v>1358.6100000000001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>
        <v>2018</v>
      </c>
      <c r="O42" s="76">
        <v>93</v>
      </c>
      <c r="P42" s="76">
        <f t="shared" si="1"/>
        <v>1925</v>
      </c>
      <c r="Q42" s="10">
        <f t="shared" si="3"/>
        <v>2067.4500000000003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98">
        <v>6730</v>
      </c>
      <c r="C43" s="883"/>
      <c r="D43" s="884"/>
      <c r="E43" s="698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>
        <v>973</v>
      </c>
      <c r="O43" s="76">
        <v>43</v>
      </c>
      <c r="P43" s="76">
        <f t="shared" si="1"/>
        <v>930</v>
      </c>
      <c r="Q43" s="10">
        <f t="shared" si="3"/>
        <v>998.82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98">
        <v>6347</v>
      </c>
      <c r="C44" s="883">
        <f>1569+2114+464+1600+300</f>
        <v>6047</v>
      </c>
      <c r="D44" s="884"/>
      <c r="E44" s="698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>
        <v>0</v>
      </c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98">
        <v>6714</v>
      </c>
      <c r="C45" s="883"/>
      <c r="D45" s="884"/>
      <c r="E45" s="698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>
        <v>1787</v>
      </c>
      <c r="O45" s="76">
        <v>59</v>
      </c>
      <c r="P45" s="76">
        <f t="shared" si="1"/>
        <v>1728</v>
      </c>
      <c r="Q45" s="10">
        <f t="shared" si="3"/>
        <v>1855.8720000000001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98">
        <v>27400</v>
      </c>
      <c r="C46" s="883">
        <f>2006+2081+1392+1491+1299+1407+1300-200-1081+1241+1196+1217+1997+1358+2052+2021-100+450</f>
        <v>21127</v>
      </c>
      <c r="D46" s="884"/>
      <c r="E46" s="698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>
        <v>1952</v>
      </c>
      <c r="O46" s="76">
        <v>69</v>
      </c>
      <c r="P46" s="76">
        <f t="shared" si="1"/>
        <v>1883</v>
      </c>
      <c r="Q46" s="10">
        <f t="shared" si="3"/>
        <v>2022.3420000000001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98">
        <v>6800</v>
      </c>
      <c r="C47" s="883">
        <f>1856</f>
        <v>1856</v>
      </c>
      <c r="D47" s="884"/>
      <c r="E47" s="698">
        <f>6800-5050-458</f>
        <v>1292</v>
      </c>
      <c r="F47" s="447">
        <f t="shared" si="4"/>
        <v>3652</v>
      </c>
      <c r="G47" s="883">
        <f t="shared" ref="G47:G48" si="10">SUM(E47:F47)</f>
        <v>4944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>
        <v>1303</v>
      </c>
      <c r="O47" s="76">
        <v>46</v>
      </c>
      <c r="P47" s="76">
        <f t="shared" si="1"/>
        <v>1257</v>
      </c>
      <c r="Q47" s="10">
        <f>P47*(1-S47)*1.071</f>
        <v>1346.2469999999998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98">
        <v>27531</v>
      </c>
      <c r="C48" s="883">
        <f>1359+2140+1356+1964+1362+1359+2067+999+2022+1346+1312+2079</f>
        <v>19365</v>
      </c>
      <c r="D48" s="884"/>
      <c r="E48" s="698">
        <f>6142</f>
        <v>6142</v>
      </c>
      <c r="F48" s="447">
        <f t="shared" si="4"/>
        <v>2024</v>
      </c>
      <c r="G48" s="883">
        <f t="shared" si="10"/>
        <v>8166</v>
      </c>
      <c r="H48" s="884"/>
      <c r="I48" s="450" t="s">
        <v>416</v>
      </c>
      <c r="J48" s="57"/>
      <c r="K48" s="57"/>
      <c r="L48" s="100" t="s">
        <v>656</v>
      </c>
      <c r="M48" s="11"/>
      <c r="N48" s="67">
        <v>1273</v>
      </c>
      <c r="O48" s="76">
        <v>48</v>
      </c>
      <c r="P48" s="76">
        <f t="shared" si="1"/>
        <v>1225</v>
      </c>
      <c r="Q48" s="10">
        <f t="shared" ref="Q48:Q54" si="11">P48*(1-S48)*1.071</f>
        <v>1311.9749999999999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90">
        <f>SUM(B42:B48)</f>
        <v>88602</v>
      </c>
      <c r="C49" s="845">
        <f>SUM(C42:D48)</f>
        <v>48395</v>
      </c>
      <c r="D49" s="845"/>
      <c r="E49" s="690">
        <f>SUM(E42:E48)</f>
        <v>33688</v>
      </c>
      <c r="F49" s="690">
        <f>SUM(F42:F48)</f>
        <v>6519</v>
      </c>
      <c r="G49" s="845">
        <f>SUM(G42:H48)</f>
        <v>40207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>
        <v>2028</v>
      </c>
      <c r="O49" s="76">
        <v>87</v>
      </c>
      <c r="P49" s="76">
        <f t="shared" si="1"/>
        <v>1941</v>
      </c>
      <c r="Q49" s="10">
        <f t="shared" si="11"/>
        <v>2078.8109999999997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/>
      <c r="O50" s="76"/>
      <c r="P50" s="76">
        <f t="shared" si="1"/>
        <v>0</v>
      </c>
      <c r="Q50" s="10">
        <f t="shared" si="11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11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11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91" t="s">
        <v>3</v>
      </c>
      <c r="C53" s="152" t="s">
        <v>82</v>
      </c>
      <c r="D53" s="691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11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123</v>
      </c>
      <c r="C54" s="154">
        <v>70</v>
      </c>
      <c r="D54" s="184">
        <v>0</v>
      </c>
      <c r="E54" s="153">
        <v>383</v>
      </c>
      <c r="F54" s="153">
        <v>44</v>
      </c>
      <c r="G54" s="185">
        <v>374</v>
      </c>
      <c r="H54" s="846">
        <f>B54+D54-F54</f>
        <v>79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11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220</v>
      </c>
      <c r="C55" s="694">
        <v>100</v>
      </c>
      <c r="D55" s="184">
        <v>0</v>
      </c>
      <c r="E55" s="153">
        <v>261</v>
      </c>
      <c r="F55" s="153">
        <v>43</v>
      </c>
      <c r="G55" s="185">
        <v>185</v>
      </c>
      <c r="H55" s="846">
        <f>B55+D55-F55</f>
        <v>177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343</v>
      </c>
      <c r="C56" s="149">
        <f>SUM(C54:C55)</f>
        <v>170</v>
      </c>
      <c r="D56" s="149">
        <f t="shared" ref="D56:G56" si="12">SUM(D54:D55)</f>
        <v>0</v>
      </c>
      <c r="E56" s="149">
        <f t="shared" si="12"/>
        <v>644</v>
      </c>
      <c r="F56" s="149">
        <f t="shared" si="12"/>
        <v>87</v>
      </c>
      <c r="G56" s="149">
        <f t="shared" si="12"/>
        <v>559</v>
      </c>
      <c r="H56" s="846">
        <f t="shared" ref="H56" si="13">B56+D56-F56</f>
        <v>256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4">SUM(M37:M69)</f>
        <v>0</v>
      </c>
      <c r="N70" s="120">
        <f t="shared" si="14"/>
        <v>15941</v>
      </c>
      <c r="O70" s="61">
        <f t="shared" si="14"/>
        <v>608</v>
      </c>
      <c r="P70" s="61">
        <f t="shared" si="14"/>
        <v>15333</v>
      </c>
      <c r="Q70" s="10">
        <f t="shared" ref="Q70" si="15">P70*(1-S70)*1.057</f>
        <v>16206.981</v>
      </c>
      <c r="R70" s="61">
        <f t="shared" si="14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H54:I54"/>
    <mergeCell ref="H55:I55"/>
    <mergeCell ref="H56:I56"/>
    <mergeCell ref="C49:D49"/>
    <mergeCell ref="G49:H49"/>
    <mergeCell ref="A52:A53"/>
    <mergeCell ref="B52:C52"/>
    <mergeCell ref="D52:E52"/>
    <mergeCell ref="F52:G52"/>
    <mergeCell ref="H52:I53"/>
    <mergeCell ref="C46:D46"/>
    <mergeCell ref="G46:H46"/>
    <mergeCell ref="C47:D47"/>
    <mergeCell ref="G47:H47"/>
    <mergeCell ref="C48:D48"/>
    <mergeCell ref="G48:H48"/>
    <mergeCell ref="C43:D43"/>
    <mergeCell ref="G43:H43"/>
    <mergeCell ref="C44:D44"/>
    <mergeCell ref="G44:H44"/>
    <mergeCell ref="C45:D45"/>
    <mergeCell ref="G45:H45"/>
    <mergeCell ref="A40:A41"/>
    <mergeCell ref="C40:D41"/>
    <mergeCell ref="E40:H40"/>
    <mergeCell ref="I40:I41"/>
    <mergeCell ref="G41:H4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B25:B26"/>
    <mergeCell ref="C25:D25"/>
    <mergeCell ref="E25:F26"/>
    <mergeCell ref="G25:G26"/>
    <mergeCell ref="H25:H26"/>
    <mergeCell ref="I25:I26"/>
    <mergeCell ref="C26:D26"/>
    <mergeCell ref="C17:D17"/>
    <mergeCell ref="E17:F17"/>
    <mergeCell ref="G17:I17"/>
    <mergeCell ref="C18:D18"/>
    <mergeCell ref="G18:I18"/>
    <mergeCell ref="A23:A24"/>
    <mergeCell ref="B23:B24"/>
    <mergeCell ref="C23:D24"/>
    <mergeCell ref="E23:F24"/>
    <mergeCell ref="G23:I23"/>
    <mergeCell ref="C15:D15"/>
    <mergeCell ref="E15:F15"/>
    <mergeCell ref="G15:I15"/>
    <mergeCell ref="C16:D16"/>
    <mergeCell ref="E16:F16"/>
    <mergeCell ref="G16:I16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Q5:R5"/>
    <mergeCell ref="H6:I6"/>
    <mergeCell ref="C7:D7"/>
    <mergeCell ref="E7:F7"/>
    <mergeCell ref="H7:I7"/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4C7E-1D22-4BFD-96E4-65F967BE9EA1}">
  <dimension ref="A1:U89"/>
  <sheetViews>
    <sheetView topLeftCell="A22" workbookViewId="0">
      <selection activeCell="K24" sqref="K24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700"/>
      <c r="B2" s="700"/>
      <c r="C2" s="700"/>
      <c r="D2" s="700"/>
      <c r="E2" s="700"/>
      <c r="F2" s="700"/>
      <c r="G2" s="700"/>
      <c r="H2" s="700"/>
      <c r="I2" s="700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61" t="s">
        <v>721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699"/>
      <c r="P5" s="699"/>
      <c r="Q5" s="748"/>
      <c r="R5" s="748"/>
      <c r="S5" s="699"/>
      <c r="T5" s="699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699"/>
      <c r="P6" s="82"/>
      <c r="Q6" s="699"/>
      <c r="R6" s="82"/>
      <c r="S6" s="82"/>
      <c r="T6" s="293"/>
      <c r="U6" s="107"/>
    </row>
    <row r="7" spans="1:21" ht="18.8" thickTop="1">
      <c r="A7" s="19" t="s">
        <v>14</v>
      </c>
      <c r="B7" s="20">
        <v>21.5</v>
      </c>
      <c r="C7" s="751">
        <v>1813.6</v>
      </c>
      <c r="D7" s="752"/>
      <c r="E7" s="753">
        <f>(C7/B7)+0.04</f>
        <v>84.393488372093032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99"/>
      <c r="P7" s="22"/>
      <c r="Q7" s="17"/>
      <c r="R7" s="17"/>
      <c r="S7" s="17"/>
      <c r="U7" s="369"/>
    </row>
    <row r="8" spans="1:21">
      <c r="A8" s="23" t="s">
        <v>15</v>
      </c>
      <c r="B8" s="74">
        <f>23.5+15.66+15.5+24+11.7+22.13+23.8+15.5+15.5+23.83+21.5</f>
        <v>212.62</v>
      </c>
      <c r="C8" s="769">
        <f>15992+1814</f>
        <v>17806</v>
      </c>
      <c r="D8" s="770"/>
      <c r="E8" s="771">
        <f>C8/B8</f>
        <v>83.745649515567678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699"/>
      <c r="P8" s="22"/>
      <c r="Q8" s="14"/>
      <c r="T8" s="107"/>
      <c r="U8" s="107"/>
    </row>
    <row r="9" spans="1:21">
      <c r="A9" s="23" t="s">
        <v>16</v>
      </c>
      <c r="B9" s="24">
        <f>4146.7+B8</f>
        <v>4359.32</v>
      </c>
      <c r="C9" s="774">
        <f>341251+C8</f>
        <v>359057</v>
      </c>
      <c r="D9" s="775"/>
      <c r="E9" s="771">
        <f>C9/B9</f>
        <v>82.365368910747549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99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720" t="s">
        <v>722</v>
      </c>
      <c r="G11" s="54">
        <v>19100</v>
      </c>
      <c r="H11" s="54">
        <f>C8</f>
        <v>17806</v>
      </c>
      <c r="I11" s="490">
        <f>H11/G11*100</f>
        <v>93.225130890052355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711" t="s">
        <v>715</v>
      </c>
      <c r="N13" s="711" t="s">
        <v>716</v>
      </c>
      <c r="O13" s="29"/>
      <c r="P13" s="102"/>
      <c r="T13" s="92"/>
      <c r="U13" s="51"/>
    </row>
    <row r="14" spans="1:21" ht="18.8" thickBot="1">
      <c r="A14" s="762"/>
      <c r="B14" s="702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M14" s="712" t="s">
        <v>717</v>
      </c>
      <c r="N14" s="712" t="s">
        <v>718</v>
      </c>
      <c r="O14" s="29"/>
      <c r="P14" s="102"/>
      <c r="T14" s="92"/>
      <c r="U14" s="92"/>
    </row>
    <row r="15" spans="1:21" ht="18.8" thickTop="1">
      <c r="A15" s="19" t="s">
        <v>14</v>
      </c>
      <c r="B15" s="37">
        <v>63360</v>
      </c>
      <c r="C15" s="771">
        <f>(B15/C7)</f>
        <v>34.936038817820908</v>
      </c>
      <c r="D15" s="772"/>
      <c r="E15" s="779">
        <v>10615</v>
      </c>
      <c r="F15" s="779"/>
      <c r="G15" s="780">
        <f>E15/C7</f>
        <v>5.8529995588883992</v>
      </c>
      <c r="H15" s="780"/>
      <c r="I15" s="780"/>
      <c r="J15" s="594"/>
      <c r="M15" s="528">
        <v>85.5</v>
      </c>
      <c r="N15" s="365">
        <v>85.1</v>
      </c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71160+44700+44400+65760+34680+65760+64020+43980+41700+66060+63360</f>
        <v>605580</v>
      </c>
      <c r="C16" s="771">
        <f>B16/C8</f>
        <v>34.009884308660006</v>
      </c>
      <c r="D16" s="772"/>
      <c r="E16" s="781">
        <f>10152+7297+7367+10542+5513+10370+10729+7292+7083+10554+10615</f>
        <v>97514</v>
      </c>
      <c r="F16" s="781"/>
      <c r="G16" s="782">
        <f>E16/C8</f>
        <v>5.4764686060878356</v>
      </c>
      <c r="H16" s="782"/>
      <c r="I16" s="782"/>
      <c r="J16" s="535"/>
      <c r="M16" s="713">
        <v>85.6</v>
      </c>
      <c r="N16" s="51">
        <v>83</v>
      </c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12707993</v>
      </c>
      <c r="C17" s="797">
        <f>B17/C9</f>
        <v>35.392689740069123</v>
      </c>
      <c r="D17" s="798"/>
      <c r="E17" s="799">
        <f>1809835+E16</f>
        <v>1907349</v>
      </c>
      <c r="F17" s="799"/>
      <c r="G17" s="800">
        <f>E17/C9</f>
        <v>5.3121064343544342</v>
      </c>
      <c r="H17" s="800"/>
      <c r="I17" s="800"/>
      <c r="J17" s="368"/>
      <c r="M17" s="714">
        <v>85.8</v>
      </c>
      <c r="N17" s="715">
        <v>84.2</v>
      </c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-21.811916000000011</v>
      </c>
      <c r="D18" s="934"/>
      <c r="E18" s="540"/>
      <c r="F18" s="540"/>
      <c r="G18" s="934">
        <f>-(5.3-G15)*593*C7/10000</f>
        <v>59.473156000000067</v>
      </c>
      <c r="H18" s="934"/>
      <c r="I18" s="934"/>
      <c r="J18" s="538"/>
      <c r="M18" s="51"/>
      <c r="N18" s="51">
        <v>84.6</v>
      </c>
      <c r="O18" s="33"/>
      <c r="R18" s="33"/>
      <c r="T18" s="92"/>
      <c r="U18" s="92"/>
    </row>
    <row r="19" spans="1:21">
      <c r="A19" s="643" t="s">
        <v>689</v>
      </c>
      <c r="J19" s="620"/>
      <c r="M19" s="716"/>
      <c r="N19" s="51">
        <v>84</v>
      </c>
    </row>
    <row r="20" spans="1:21">
      <c r="A20" s="186" t="s">
        <v>145</v>
      </c>
      <c r="J20" s="43"/>
      <c r="M20" s="717"/>
      <c r="N20" s="51">
        <v>84.4</v>
      </c>
    </row>
    <row r="21" spans="1:21" ht="10.050000000000001" customHeight="1">
      <c r="A21" s="40"/>
      <c r="B21" s="44"/>
      <c r="C21" s="36"/>
      <c r="D21" s="36"/>
      <c r="E21" s="36"/>
      <c r="F21" s="36"/>
      <c r="J21" s="45"/>
      <c r="M21" s="718"/>
      <c r="N21" s="51">
        <v>84.4</v>
      </c>
    </row>
    <row r="22" spans="1:21" ht="19.899999999999999" customHeight="1">
      <c r="A22" s="15" t="s">
        <v>49</v>
      </c>
      <c r="J22" s="43"/>
      <c r="M22" s="717"/>
      <c r="N22" s="51">
        <v>87.1</v>
      </c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M23" s="719"/>
      <c r="N23" s="51">
        <v>83.8</v>
      </c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L24" s="710" t="s">
        <v>719</v>
      </c>
      <c r="M24" s="718">
        <v>85.6</v>
      </c>
      <c r="N24" s="707">
        <v>84.5</v>
      </c>
    </row>
    <row r="25" spans="1:21" ht="16.75" customHeight="1" thickTop="1">
      <c r="A25" s="95" t="s">
        <v>57</v>
      </c>
      <c r="B25" s="783">
        <v>5250</v>
      </c>
      <c r="C25" s="785">
        <v>1600</v>
      </c>
      <c r="D25" s="786"/>
      <c r="E25" s="787">
        <v>1458</v>
      </c>
      <c r="F25" s="788"/>
      <c r="G25" s="791">
        <v>5250</v>
      </c>
      <c r="H25" s="793">
        <f>B25+C25+C26-E25</f>
        <v>5392</v>
      </c>
      <c r="I25" s="793">
        <f>G25-H25</f>
        <v>-142</v>
      </c>
      <c r="J25" s="530"/>
      <c r="K25" s="385"/>
      <c r="L25" s="710" t="s">
        <v>720</v>
      </c>
      <c r="M25" s="51">
        <v>5.6</v>
      </c>
      <c r="N25" s="51">
        <v>7.4</v>
      </c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5250</v>
      </c>
      <c r="C27" s="813"/>
      <c r="D27" s="814"/>
      <c r="E27" s="815">
        <v>263</v>
      </c>
      <c r="F27" s="816"/>
      <c r="G27" s="801">
        <v>5153</v>
      </c>
      <c r="H27" s="803">
        <f>B27+C27+C28-E27-E29</f>
        <v>4987</v>
      </c>
      <c r="I27" s="803">
        <f>G27-H27</f>
        <v>166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10212</v>
      </c>
      <c r="C30" s="829">
        <v>214</v>
      </c>
      <c r="D30" s="830"/>
      <c r="E30" s="815">
        <v>29</v>
      </c>
      <c r="F30" s="816"/>
      <c r="G30" s="801">
        <v>10412</v>
      </c>
      <c r="H30" s="803">
        <f>B30+C30+C31-E30-E32</f>
        <v>10297</v>
      </c>
      <c r="I30" s="803">
        <f>G30-H30</f>
        <v>115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>
        <v>100</v>
      </c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20712</v>
      </c>
      <c r="C33" s="821">
        <f>SUM(C25:D32)</f>
        <v>1814</v>
      </c>
      <c r="D33" s="822"/>
      <c r="E33" s="821">
        <f>SUM(E25:F32)</f>
        <v>1850</v>
      </c>
      <c r="F33" s="822"/>
      <c r="G33" s="703">
        <f>G25+G27+G30</f>
        <v>20815</v>
      </c>
      <c r="H33" s="703">
        <f>H25+H27+H30</f>
        <v>20676</v>
      </c>
      <c r="I33" s="703">
        <f>I25+I27+I30</f>
        <v>139</v>
      </c>
      <c r="J33" s="327">
        <f>E33-E29-E32</f>
        <v>1750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868</v>
      </c>
      <c r="C34" s="823">
        <f>E29+E35+E32</f>
        <v>203</v>
      </c>
      <c r="D34" s="824"/>
      <c r="E34" s="823">
        <f>176+89</f>
        <v>265</v>
      </c>
      <c r="F34" s="824"/>
      <c r="G34" s="183">
        <f>473+334</f>
        <v>807</v>
      </c>
      <c r="H34" s="183">
        <f>B34+C34-E34</f>
        <v>806</v>
      </c>
      <c r="I34" s="183">
        <f>G34-H34</f>
        <v>1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3449</v>
      </c>
      <c r="C35" s="825"/>
      <c r="D35" s="826"/>
      <c r="E35" s="827">
        <v>103</v>
      </c>
      <c r="F35" s="828"/>
      <c r="G35" s="181">
        <v>3218</v>
      </c>
      <c r="H35" s="182">
        <f>B35+C35-E35</f>
        <v>3346</v>
      </c>
      <c r="I35" s="182">
        <f>G35-H35</f>
        <v>-128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1701+344+678+750+564+318+203</f>
        <v>4558</v>
      </c>
      <c r="E36" s="79" t="s">
        <v>47</v>
      </c>
      <c r="F36" s="80" t="s">
        <v>46</v>
      </c>
      <c r="G36" s="55">
        <f>84040+D36</f>
        <v>88598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1032+172+339+475+345+189+103</f>
        <v>2655</v>
      </c>
      <c r="E37" s="79" t="s">
        <v>47</v>
      </c>
      <c r="F37" s="80" t="s">
        <v>46</v>
      </c>
      <c r="G37" s="55">
        <f>46327+D37</f>
        <v>48982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705" t="s">
        <v>34</v>
      </c>
      <c r="F41" s="705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>
        <v>1311</v>
      </c>
      <c r="O41" s="76">
        <v>46</v>
      </c>
      <c r="P41" s="76">
        <f t="shared" si="1"/>
        <v>1265</v>
      </c>
      <c r="Q41" s="10">
        <f t="shared" si="3"/>
        <v>1358.6100000000001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>
        <v>2018</v>
      </c>
      <c r="O42" s="76">
        <v>93</v>
      </c>
      <c r="P42" s="76">
        <f t="shared" si="1"/>
        <v>1925</v>
      </c>
      <c r="Q42" s="10">
        <f t="shared" si="3"/>
        <v>2067.4500000000003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708">
        <v>6730</v>
      </c>
      <c r="C43" s="883"/>
      <c r="D43" s="884"/>
      <c r="E43" s="708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>
        <v>973</v>
      </c>
      <c r="O43" s="76">
        <v>43</v>
      </c>
      <c r="P43" s="76">
        <f t="shared" si="1"/>
        <v>930</v>
      </c>
      <c r="Q43" s="10">
        <f t="shared" si="3"/>
        <v>998.82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708">
        <v>6347</v>
      </c>
      <c r="C44" s="883">
        <f>1569+2114+464+1600+300</f>
        <v>6047</v>
      </c>
      <c r="D44" s="884"/>
      <c r="E44" s="708">
        <v>0</v>
      </c>
      <c r="F44" s="447">
        <f t="shared" si="4"/>
        <v>300</v>
      </c>
      <c r="G44" s="883">
        <f t="shared" ref="G44:G45" si="7">SUM(E44:F44)</f>
        <v>300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>
        <v>0</v>
      </c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708">
        <v>6714</v>
      </c>
      <c r="C45" s="883"/>
      <c r="D45" s="884"/>
      <c r="E45" s="708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>
        <v>1787</v>
      </c>
      <c r="O45" s="76">
        <v>59</v>
      </c>
      <c r="P45" s="76">
        <f t="shared" si="1"/>
        <v>1728</v>
      </c>
      <c r="Q45" s="10">
        <f t="shared" si="3"/>
        <v>1855.8720000000001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708">
        <v>27400</v>
      </c>
      <c r="C46" s="883">
        <f>2006+2081+1392+1491+1299+1407+1300-200-1081+1241+1196+1217+1997+1358+2052+2021-100+450</f>
        <v>21127</v>
      </c>
      <c r="D46" s="884"/>
      <c r="E46" s="708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>
        <v>1952</v>
      </c>
      <c r="O46" s="76">
        <v>69</v>
      </c>
      <c r="P46" s="76">
        <f t="shared" si="1"/>
        <v>1883</v>
      </c>
      <c r="Q46" s="10">
        <f t="shared" si="3"/>
        <v>2022.3420000000001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708">
        <v>6800</v>
      </c>
      <c r="C47" s="883">
        <f>1856</f>
        <v>1856</v>
      </c>
      <c r="D47" s="884"/>
      <c r="E47" s="708">
        <f>6800-5050-458</f>
        <v>1292</v>
      </c>
      <c r="F47" s="447">
        <f t="shared" si="4"/>
        <v>3652</v>
      </c>
      <c r="G47" s="883">
        <f t="shared" ref="G47:G48" si="10">SUM(E47:F47)</f>
        <v>4944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>
        <v>1303</v>
      </c>
      <c r="O47" s="76">
        <v>46</v>
      </c>
      <c r="P47" s="76">
        <f t="shared" si="1"/>
        <v>1257</v>
      </c>
      <c r="Q47" s="10">
        <f>P47*(1-S47)*1.071</f>
        <v>1346.2469999999998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708">
        <v>27531</v>
      </c>
      <c r="C48" s="883">
        <f>1359+2140+1356+1964+1362+1359+2067+999+2022+1346+1312+2079+1871</f>
        <v>21236</v>
      </c>
      <c r="D48" s="884"/>
      <c r="E48" s="708">
        <f>6142</f>
        <v>6142</v>
      </c>
      <c r="F48" s="447">
        <f t="shared" si="4"/>
        <v>153</v>
      </c>
      <c r="G48" s="883">
        <f t="shared" si="10"/>
        <v>6295</v>
      </c>
      <c r="H48" s="884"/>
      <c r="I48" s="450" t="s">
        <v>416</v>
      </c>
      <c r="J48" s="57"/>
      <c r="K48" s="57"/>
      <c r="L48" s="100" t="s">
        <v>656</v>
      </c>
      <c r="M48" s="11"/>
      <c r="N48" s="67">
        <v>1273</v>
      </c>
      <c r="O48" s="76">
        <v>48</v>
      </c>
      <c r="P48" s="76">
        <f t="shared" si="1"/>
        <v>1225</v>
      </c>
      <c r="Q48" s="10">
        <f t="shared" ref="Q48:Q54" si="11">P48*(1-S48)*1.071</f>
        <v>1311.9749999999999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706">
        <f>SUM(B42:B48)</f>
        <v>88602</v>
      </c>
      <c r="C49" s="845">
        <f>SUM(C42:D48)</f>
        <v>50266</v>
      </c>
      <c r="D49" s="845"/>
      <c r="E49" s="706">
        <f>SUM(E42:E48)</f>
        <v>33688</v>
      </c>
      <c r="F49" s="706">
        <f>SUM(F42:F48)</f>
        <v>4648</v>
      </c>
      <c r="G49" s="845">
        <f>SUM(G42:H48)</f>
        <v>38336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>
        <v>2028</v>
      </c>
      <c r="O49" s="76">
        <v>87</v>
      </c>
      <c r="P49" s="76">
        <f t="shared" si="1"/>
        <v>1941</v>
      </c>
      <c r="Q49" s="10">
        <f t="shared" si="11"/>
        <v>2078.8109999999997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>
        <v>1814</v>
      </c>
      <c r="O50" s="76">
        <v>67</v>
      </c>
      <c r="P50" s="76">
        <f t="shared" si="1"/>
        <v>1747</v>
      </c>
      <c r="Q50" s="10">
        <f t="shared" si="11"/>
        <v>1871.0369999999998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11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11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704" t="s">
        <v>3</v>
      </c>
      <c r="C53" s="152" t="s">
        <v>82</v>
      </c>
      <c r="D53" s="704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11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79</v>
      </c>
      <c r="C54" s="154">
        <v>70</v>
      </c>
      <c r="D54" s="184">
        <v>29</v>
      </c>
      <c r="E54" s="153">
        <v>412</v>
      </c>
      <c r="F54" s="153">
        <v>45</v>
      </c>
      <c r="G54" s="185">
        <v>519</v>
      </c>
      <c r="H54" s="846">
        <f>B54+D54-F54</f>
        <v>63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11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177</v>
      </c>
      <c r="C55" s="701">
        <v>100</v>
      </c>
      <c r="D55" s="184">
        <v>13</v>
      </c>
      <c r="E55" s="153">
        <v>274</v>
      </c>
      <c r="F55" s="153">
        <v>22</v>
      </c>
      <c r="G55" s="185">
        <v>207</v>
      </c>
      <c r="H55" s="846">
        <f>B55+D55-F55</f>
        <v>168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256</v>
      </c>
      <c r="C56" s="149">
        <f>SUM(C54:C55)</f>
        <v>170</v>
      </c>
      <c r="D56" s="149">
        <f>SUM(D54:D55)</f>
        <v>42</v>
      </c>
      <c r="E56" s="149">
        <f t="shared" ref="E56:G56" si="12">SUM(E54:E55)</f>
        <v>686</v>
      </c>
      <c r="F56" s="149">
        <f t="shared" si="12"/>
        <v>67</v>
      </c>
      <c r="G56" s="149">
        <f t="shared" si="12"/>
        <v>726</v>
      </c>
      <c r="H56" s="846">
        <f t="shared" ref="H56" si="13">B56+D56-F56</f>
        <v>231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4">SUM(M37:M69)</f>
        <v>0</v>
      </c>
      <c r="N70" s="120">
        <f t="shared" si="14"/>
        <v>17755</v>
      </c>
      <c r="O70" s="61">
        <f t="shared" si="14"/>
        <v>675</v>
      </c>
      <c r="P70" s="61">
        <f t="shared" si="14"/>
        <v>17080</v>
      </c>
      <c r="Q70" s="10">
        <f t="shared" ref="Q70" si="15">P70*(1-S70)*1.057</f>
        <v>18053.559999999998</v>
      </c>
      <c r="R70" s="61">
        <f t="shared" si="14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  <mergeCell ref="Q5:R5"/>
    <mergeCell ref="H6:I6"/>
    <mergeCell ref="C7:D7"/>
    <mergeCell ref="E7:F7"/>
    <mergeCell ref="H7:I7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  <mergeCell ref="A23:A24"/>
    <mergeCell ref="B23:B24"/>
    <mergeCell ref="C23:D24"/>
    <mergeCell ref="E23:F24"/>
    <mergeCell ref="G23:I23"/>
    <mergeCell ref="I25:I26"/>
    <mergeCell ref="C26:D26"/>
    <mergeCell ref="C17:D17"/>
    <mergeCell ref="E17:F17"/>
    <mergeCell ref="G17:I17"/>
    <mergeCell ref="C18:D18"/>
    <mergeCell ref="G18:I18"/>
    <mergeCell ref="B25:B26"/>
    <mergeCell ref="C25:D25"/>
    <mergeCell ref="E25:F26"/>
    <mergeCell ref="G25:G26"/>
    <mergeCell ref="H25:H26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A40:A41"/>
    <mergeCell ref="C40:D41"/>
    <mergeCell ref="E40:H40"/>
    <mergeCell ref="I40:I41"/>
    <mergeCell ref="G41:H41"/>
    <mergeCell ref="C43:D43"/>
    <mergeCell ref="G43:H43"/>
    <mergeCell ref="C44:D44"/>
    <mergeCell ref="G44:H44"/>
    <mergeCell ref="C45:D45"/>
    <mergeCell ref="G45:H45"/>
    <mergeCell ref="C46:D46"/>
    <mergeCell ref="G46:H46"/>
    <mergeCell ref="C47:D47"/>
    <mergeCell ref="G47:H47"/>
    <mergeCell ref="C48:D48"/>
    <mergeCell ref="G48:H48"/>
    <mergeCell ref="A52:A53"/>
    <mergeCell ref="B52:C52"/>
    <mergeCell ref="D52:E52"/>
    <mergeCell ref="F52:G52"/>
    <mergeCell ref="H52:I53"/>
    <mergeCell ref="H54:I54"/>
    <mergeCell ref="H55:I55"/>
    <mergeCell ref="H56:I56"/>
    <mergeCell ref="C49:D49"/>
    <mergeCell ref="G49:H49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4D18-B834-4AED-8BE0-B567E0F197C1}">
  <dimension ref="A1:U89"/>
  <sheetViews>
    <sheetView topLeftCell="A22" workbookViewId="0">
      <selection activeCell="L31" sqref="L31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722"/>
      <c r="B2" s="722"/>
      <c r="C2" s="722"/>
      <c r="D2" s="722"/>
      <c r="E2" s="722"/>
      <c r="F2" s="722"/>
      <c r="G2" s="722"/>
      <c r="H2" s="722"/>
      <c r="I2" s="722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62" t="s">
        <v>723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4" t="s">
        <v>687</v>
      </c>
      <c r="H5" s="747"/>
      <c r="I5" s="747"/>
      <c r="J5" s="75"/>
      <c r="K5" s="75"/>
      <c r="M5" s="359"/>
      <c r="N5" s="360"/>
      <c r="O5" s="721"/>
      <c r="P5" s="721"/>
      <c r="Q5" s="748"/>
      <c r="R5" s="748"/>
      <c r="S5" s="721"/>
      <c r="T5" s="721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5" t="s">
        <v>544</v>
      </c>
      <c r="I6" s="750"/>
      <c r="L6" s="353"/>
      <c r="N6" s="360"/>
      <c r="O6" s="721"/>
      <c r="P6" s="82"/>
      <c r="Q6" s="721"/>
      <c r="R6" s="82"/>
      <c r="S6" s="82"/>
      <c r="T6" s="293"/>
      <c r="U6" s="107"/>
    </row>
    <row r="7" spans="1:21" ht="18.8" thickTop="1">
      <c r="A7" s="19" t="s">
        <v>14</v>
      </c>
      <c r="B7" s="20"/>
      <c r="C7" s="751"/>
      <c r="D7" s="752"/>
      <c r="E7" s="753" t="e">
        <f>(C7/B7)+0.04</f>
        <v>#DIV/0!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721"/>
      <c r="P7" s="22"/>
      <c r="Q7" s="17"/>
      <c r="R7" s="17"/>
      <c r="S7" s="17"/>
      <c r="U7" s="369"/>
    </row>
    <row r="8" spans="1:21">
      <c r="A8" s="23" t="s">
        <v>15</v>
      </c>
      <c r="B8" s="74">
        <f>23.5+15.66+15.5+24+11.7+22.13+23.8+15.5+15.5+23.83+21.5</f>
        <v>212.62</v>
      </c>
      <c r="C8" s="769">
        <f>15992+1814</f>
        <v>17806</v>
      </c>
      <c r="D8" s="770"/>
      <c r="E8" s="771">
        <f>C8/B8</f>
        <v>83.745649515567678</v>
      </c>
      <c r="F8" s="772"/>
      <c r="G8" s="86">
        <v>50000</v>
      </c>
      <c r="H8" s="773">
        <v>50000</v>
      </c>
      <c r="I8" s="773"/>
      <c r="K8" s="13">
        <f>21*60</f>
        <v>1260</v>
      </c>
      <c r="L8" s="446"/>
      <c r="N8" s="361"/>
      <c r="O8" s="721"/>
      <c r="P8" s="22"/>
      <c r="Q8" s="14"/>
      <c r="T8" s="107"/>
      <c r="U8" s="107"/>
    </row>
    <row r="9" spans="1:21">
      <c r="A9" s="23" t="s">
        <v>16</v>
      </c>
      <c r="B9" s="24">
        <f>4146.7+B8</f>
        <v>4359.32</v>
      </c>
      <c r="C9" s="774">
        <f>341251+C8</f>
        <v>359057</v>
      </c>
      <c r="D9" s="775"/>
      <c r="E9" s="771">
        <f>C9/B9</f>
        <v>82.365368910747549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721"/>
      <c r="P9" s="362"/>
      <c r="Q9" s="123"/>
      <c r="S9" s="379"/>
      <c r="T9" s="219"/>
      <c r="U9" s="216"/>
    </row>
    <row r="10" spans="1:21">
      <c r="A10" s="733" t="s">
        <v>726</v>
      </c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731" t="s">
        <v>724</v>
      </c>
      <c r="G11" s="54">
        <v>20400</v>
      </c>
      <c r="H11" s="54">
        <f>C8</f>
        <v>17806</v>
      </c>
      <c r="I11" s="490">
        <f>H11/G11*100</f>
        <v>87.284313725490193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711"/>
      <c r="N13" s="711"/>
      <c r="O13" s="29"/>
      <c r="P13" s="102"/>
      <c r="T13" s="92"/>
      <c r="U13" s="51"/>
    </row>
    <row r="14" spans="1:21" ht="18.8" thickBot="1">
      <c r="A14" s="762"/>
      <c r="B14" s="724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M14" s="712"/>
      <c r="N14" s="712"/>
      <c r="O14" s="29"/>
      <c r="P14" s="102"/>
      <c r="T14" s="92"/>
      <c r="U14" s="92"/>
    </row>
    <row r="15" spans="1:21" ht="18.8" thickTop="1">
      <c r="A15" s="19" t="s">
        <v>14</v>
      </c>
      <c r="B15" s="37"/>
      <c r="C15" s="771" t="e">
        <f>(B15/C7)</f>
        <v>#DIV/0!</v>
      </c>
      <c r="D15" s="772"/>
      <c r="E15" s="779"/>
      <c r="F15" s="779"/>
      <c r="G15" s="780" t="e">
        <f>E15/C7</f>
        <v>#DIV/0!</v>
      </c>
      <c r="H15" s="780"/>
      <c r="I15" s="780"/>
      <c r="J15" s="594"/>
      <c r="M15" s="528"/>
      <c r="N15" s="365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71160+44700+44400+65760+34680+65760+64020+43980+41700+66060+63360</f>
        <v>605580</v>
      </c>
      <c r="C16" s="771">
        <f>B16/C8</f>
        <v>34.009884308660006</v>
      </c>
      <c r="D16" s="772"/>
      <c r="E16" s="781">
        <f>10152+7297+7367+10542+5513+10370+10729+7292+7083+10554+10615</f>
        <v>97514</v>
      </c>
      <c r="F16" s="781"/>
      <c r="G16" s="782">
        <f>E16/C8</f>
        <v>5.4764686060878356</v>
      </c>
      <c r="H16" s="782"/>
      <c r="I16" s="782"/>
      <c r="J16" s="535"/>
      <c r="M16" s="713"/>
      <c r="N16" s="51"/>
      <c r="O16" s="33"/>
      <c r="P16" s="33"/>
      <c r="Q16" s="33"/>
      <c r="T16" s="107"/>
      <c r="U16" s="92"/>
    </row>
    <row r="17" spans="1:21">
      <c r="A17" s="23" t="s">
        <v>16</v>
      </c>
      <c r="B17" s="39">
        <f>12102413+B16</f>
        <v>12707993</v>
      </c>
      <c r="C17" s="797">
        <f>B17/C9</f>
        <v>35.392689740069123</v>
      </c>
      <c r="D17" s="798"/>
      <c r="E17" s="799">
        <f>1809835+E16</f>
        <v>1907349</v>
      </c>
      <c r="F17" s="799"/>
      <c r="G17" s="800">
        <f>E17/C9</f>
        <v>5.3121064343544342</v>
      </c>
      <c r="H17" s="800"/>
      <c r="I17" s="800"/>
      <c r="J17" s="368"/>
      <c r="M17" s="714"/>
      <c r="N17" s="715"/>
      <c r="O17" s="33"/>
      <c r="R17" s="33"/>
      <c r="T17" s="92"/>
      <c r="U17" s="92"/>
    </row>
    <row r="18" spans="1:21">
      <c r="A18" s="539" t="s">
        <v>552</v>
      </c>
      <c r="B18" s="537"/>
      <c r="C18" s="934" t="e">
        <f>-(36.5-C15)*76.9*C7/10000</f>
        <v>#DIV/0!</v>
      </c>
      <c r="D18" s="934"/>
      <c r="E18" s="540"/>
      <c r="F18" s="540"/>
      <c r="G18" s="934" t="e">
        <f>-(5.3-G15)*593*C7/10000</f>
        <v>#DIV/0!</v>
      </c>
      <c r="H18" s="934"/>
      <c r="I18" s="934"/>
      <c r="J18" s="538"/>
      <c r="M18" s="51"/>
      <c r="N18" s="51"/>
      <c r="O18" s="33"/>
      <c r="R18" s="33"/>
      <c r="T18" s="92"/>
      <c r="U18" s="92"/>
    </row>
    <row r="19" spans="1:21">
      <c r="A19" s="643" t="s">
        <v>689</v>
      </c>
      <c r="J19" s="620"/>
      <c r="M19" s="716"/>
      <c r="N19" s="51"/>
    </row>
    <row r="20" spans="1:21">
      <c r="A20" s="186" t="s">
        <v>145</v>
      </c>
      <c r="J20" s="43"/>
      <c r="M20" s="717"/>
      <c r="N20" s="51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M21" s="718"/>
      <c r="N21" s="51"/>
    </row>
    <row r="22" spans="1:21" ht="19.899999999999999" customHeight="1">
      <c r="A22" s="15" t="s">
        <v>49</v>
      </c>
      <c r="J22" s="43"/>
      <c r="M22" s="717"/>
      <c r="N22" s="51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M23" s="719"/>
      <c r="N23" s="51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L24" s="710"/>
      <c r="M24" s="718"/>
      <c r="N24" s="729"/>
    </row>
    <row r="25" spans="1:21" ht="16.75" customHeight="1" thickTop="1">
      <c r="A25" s="95" t="s">
        <v>57</v>
      </c>
      <c r="B25" s="783">
        <v>5250</v>
      </c>
      <c r="C25" s="785"/>
      <c r="D25" s="786"/>
      <c r="E25" s="787">
        <v>580</v>
      </c>
      <c r="F25" s="788"/>
      <c r="G25" s="791">
        <v>4670</v>
      </c>
      <c r="H25" s="793">
        <f>B25+C25+C26-E25</f>
        <v>4670</v>
      </c>
      <c r="I25" s="793">
        <f>G25-H25</f>
        <v>0</v>
      </c>
      <c r="J25" s="530"/>
      <c r="K25" s="385"/>
      <c r="L25" s="710"/>
      <c r="M25" s="51"/>
      <c r="N25" s="51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5153</v>
      </c>
      <c r="C27" s="813"/>
      <c r="D27" s="814"/>
      <c r="E27" s="815">
        <v>674</v>
      </c>
      <c r="F27" s="816"/>
      <c r="G27" s="801">
        <v>4479</v>
      </c>
      <c r="H27" s="803">
        <f>B27+C27+C28-E27-E29</f>
        <v>4479</v>
      </c>
      <c r="I27" s="803">
        <f>G27-H27</f>
        <v>0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10412</v>
      </c>
      <c r="C30" s="829"/>
      <c r="D30" s="830"/>
      <c r="E30" s="815">
        <v>733</v>
      </c>
      <c r="F30" s="816"/>
      <c r="G30" s="801">
        <v>9490</v>
      </c>
      <c r="H30" s="803">
        <f>B30+C30+C31-E30-E32</f>
        <v>9490</v>
      </c>
      <c r="I30" s="803">
        <f>G30-H30</f>
        <v>0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>
        <v>189</v>
      </c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20815</v>
      </c>
      <c r="C33" s="821">
        <f>SUM(C25:D32)</f>
        <v>0</v>
      </c>
      <c r="D33" s="822"/>
      <c r="E33" s="821">
        <f>SUM(E25:F32)</f>
        <v>2176</v>
      </c>
      <c r="F33" s="822"/>
      <c r="G33" s="725">
        <f>G25+G27+G30</f>
        <v>18639</v>
      </c>
      <c r="H33" s="725">
        <f>H25+H27+H30</f>
        <v>18639</v>
      </c>
      <c r="I33" s="725">
        <f>I25+I27+I30</f>
        <v>0</v>
      </c>
      <c r="J33" s="327">
        <f>E33-E29-E32</f>
        <v>1987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807</v>
      </c>
      <c r="C34" s="823">
        <f>E29+E35+E32</f>
        <v>498</v>
      </c>
      <c r="D34" s="824"/>
      <c r="E34" s="823">
        <f>321+295</f>
        <v>616</v>
      </c>
      <c r="F34" s="824"/>
      <c r="G34" s="183">
        <f>191+498</f>
        <v>689</v>
      </c>
      <c r="H34" s="183">
        <f>B34+C34-E34</f>
        <v>689</v>
      </c>
      <c r="I34" s="183">
        <f>G34-H34</f>
        <v>0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3218</v>
      </c>
      <c r="C35" s="825"/>
      <c r="D35" s="826"/>
      <c r="E35" s="827">
        <v>309</v>
      </c>
      <c r="F35" s="828"/>
      <c r="G35" s="181">
        <v>2909</v>
      </c>
      <c r="H35" s="182">
        <f>B35+C35-E35</f>
        <v>2909</v>
      </c>
      <c r="I35" s="182">
        <f>G35-H35</f>
        <v>0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1701+344+678+750+564+318+203+498</f>
        <v>5056</v>
      </c>
      <c r="E36" s="79" t="s">
        <v>47</v>
      </c>
      <c r="F36" s="80" t="s">
        <v>46</v>
      </c>
      <c r="G36" s="55">
        <f>84040+D36</f>
        <v>89096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1032+172+339+475+345+189+103+309</f>
        <v>2964</v>
      </c>
      <c r="E37" s="79" t="s">
        <v>47</v>
      </c>
      <c r="F37" s="80" t="s">
        <v>46</v>
      </c>
      <c r="G37" s="55">
        <f>46327+D37</f>
        <v>49291</v>
      </c>
      <c r="H37" s="79" t="s">
        <v>47</v>
      </c>
      <c r="I37" s="79"/>
      <c r="J37" s="355"/>
      <c r="K37" s="188"/>
      <c r="L37" s="100" t="s">
        <v>688</v>
      </c>
      <c r="M37" s="11"/>
      <c r="N37" s="67">
        <v>85</v>
      </c>
      <c r="O37" s="76">
        <v>3</v>
      </c>
      <c r="P37" s="76">
        <f t="shared" ref="P37:P67" si="1">N37-O37</f>
        <v>82</v>
      </c>
      <c r="Q37" s="10">
        <f>P37*(1-S37)*1.074</f>
        <v>88.068000000000012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690</v>
      </c>
      <c r="M38" s="11"/>
      <c r="N38" s="67">
        <v>0</v>
      </c>
      <c r="O38" s="76"/>
      <c r="P38" s="76">
        <f t="shared" si="1"/>
        <v>0</v>
      </c>
      <c r="Q38" s="10">
        <f t="shared" ref="Q38:Q66" si="3">P38*(1-S38)*1.074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647</v>
      </c>
      <c r="M39" s="11"/>
      <c r="N39" s="67">
        <v>1896</v>
      </c>
      <c r="O39" s="76">
        <v>67</v>
      </c>
      <c r="P39" s="76">
        <f t="shared" si="1"/>
        <v>1829</v>
      </c>
      <c r="Q39" s="10">
        <f t="shared" si="3"/>
        <v>1964.3460000000002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648</v>
      </c>
      <c r="M40" s="11"/>
      <c r="N40" s="67">
        <v>1315</v>
      </c>
      <c r="O40" s="76">
        <v>47</v>
      </c>
      <c r="P40" s="76">
        <f t="shared" si="1"/>
        <v>1268</v>
      </c>
      <c r="Q40" s="10">
        <f t="shared" si="3"/>
        <v>1361.8320000000001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727" t="s">
        <v>34</v>
      </c>
      <c r="F41" s="727" t="s">
        <v>38</v>
      </c>
      <c r="G41" s="842" t="s">
        <v>7</v>
      </c>
      <c r="H41" s="842"/>
      <c r="I41" s="888"/>
      <c r="J41" s="56"/>
      <c r="K41" s="56"/>
      <c r="L41" s="100" t="s">
        <v>649</v>
      </c>
      <c r="M41" s="11"/>
      <c r="N41" s="67">
        <v>1311</v>
      </c>
      <c r="O41" s="76">
        <v>46</v>
      </c>
      <c r="P41" s="76">
        <f t="shared" si="1"/>
        <v>1265</v>
      </c>
      <c r="Q41" s="10">
        <f t="shared" si="3"/>
        <v>1358.6100000000001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650</v>
      </c>
      <c r="M42" s="11"/>
      <c r="N42" s="67">
        <v>2018</v>
      </c>
      <c r="O42" s="76">
        <v>93</v>
      </c>
      <c r="P42" s="76">
        <f t="shared" si="1"/>
        <v>1925</v>
      </c>
      <c r="Q42" s="10">
        <f t="shared" si="3"/>
        <v>2067.4500000000003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730">
        <v>6730</v>
      </c>
      <c r="C43" s="883"/>
      <c r="D43" s="884"/>
      <c r="E43" s="730">
        <v>6730</v>
      </c>
      <c r="F43" s="447">
        <f t="shared" si="4"/>
        <v>0</v>
      </c>
      <c r="G43" s="883">
        <f t="shared" ref="G43" si="6">SUM(E43:F43)</f>
        <v>6730</v>
      </c>
      <c r="H43" s="884"/>
      <c r="I43" s="444"/>
      <c r="J43" s="57">
        <f>B43-C43-G43</f>
        <v>0</v>
      </c>
      <c r="K43" s="57"/>
      <c r="L43" s="100" t="s">
        <v>651</v>
      </c>
      <c r="M43" s="11"/>
      <c r="N43" s="67">
        <v>973</v>
      </c>
      <c r="O43" s="76">
        <v>43</v>
      </c>
      <c r="P43" s="76">
        <f t="shared" si="1"/>
        <v>930</v>
      </c>
      <c r="Q43" s="10">
        <f t="shared" si="3"/>
        <v>998.82</v>
      </c>
      <c r="R43" s="54">
        <f t="shared" si="2"/>
        <v>0</v>
      </c>
      <c r="S43" s="103"/>
      <c r="T43" s="36"/>
      <c r="U43" s="46"/>
    </row>
    <row r="44" spans="1:21" ht="16.75" customHeight="1">
      <c r="A44" s="732" t="s">
        <v>725</v>
      </c>
      <c r="B44" s="730">
        <v>6500</v>
      </c>
      <c r="C44" s="883"/>
      <c r="D44" s="884"/>
      <c r="E44" s="730">
        <v>6500</v>
      </c>
      <c r="F44" s="447">
        <f t="shared" si="4"/>
        <v>0</v>
      </c>
      <c r="G44" s="883">
        <f t="shared" ref="G44:G45" si="7">SUM(E44:F44)</f>
        <v>6500</v>
      </c>
      <c r="H44" s="884"/>
      <c r="I44" s="450"/>
      <c r="J44" s="57">
        <f t="shared" ref="J44:J49" si="8">B44-C44-G44</f>
        <v>0</v>
      </c>
      <c r="K44" s="260"/>
      <c r="L44" s="100" t="s">
        <v>652</v>
      </c>
      <c r="M44" s="11"/>
      <c r="N44" s="67">
        <v>0</v>
      </c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730">
        <v>6714</v>
      </c>
      <c r="C45" s="883"/>
      <c r="D45" s="884"/>
      <c r="E45" s="730">
        <v>6714</v>
      </c>
      <c r="F45" s="447">
        <f t="shared" si="4"/>
        <v>0</v>
      </c>
      <c r="G45" s="883">
        <f t="shared" si="7"/>
        <v>6714</v>
      </c>
      <c r="H45" s="884"/>
      <c r="I45" s="450"/>
      <c r="J45" s="57"/>
      <c r="K45" s="57"/>
      <c r="L45" s="100" t="s">
        <v>653</v>
      </c>
      <c r="M45" s="11"/>
      <c r="N45" s="67">
        <v>1787</v>
      </c>
      <c r="O45" s="76">
        <v>59</v>
      </c>
      <c r="P45" s="76">
        <f t="shared" si="1"/>
        <v>1728</v>
      </c>
      <c r="Q45" s="10">
        <f t="shared" si="3"/>
        <v>1855.8720000000001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730">
        <v>27400</v>
      </c>
      <c r="C46" s="883">
        <f>2006+2081+1392+1491+1299+1407+1300-200-1081+1241+1196+1217+1997+1358+2052+2021-100+450</f>
        <v>21127</v>
      </c>
      <c r="D46" s="884"/>
      <c r="E46" s="730">
        <f>27400-11170-2000-4000-4000-500</f>
        <v>5730</v>
      </c>
      <c r="F46" s="447">
        <f t="shared" si="4"/>
        <v>543</v>
      </c>
      <c r="G46" s="883">
        <f t="shared" ref="G46" si="9">SUM(E46:F46)</f>
        <v>6273</v>
      </c>
      <c r="H46" s="884"/>
      <c r="I46" s="450"/>
      <c r="J46" s="57">
        <f t="shared" si="8"/>
        <v>0</v>
      </c>
      <c r="K46" s="57"/>
      <c r="L46" s="100" t="s">
        <v>654</v>
      </c>
      <c r="M46" s="11"/>
      <c r="N46" s="67">
        <v>1952</v>
      </c>
      <c r="O46" s="76">
        <v>69</v>
      </c>
      <c r="P46" s="76">
        <f t="shared" si="1"/>
        <v>1883</v>
      </c>
      <c r="Q46" s="10">
        <f t="shared" si="3"/>
        <v>2022.3420000000001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730">
        <v>6800</v>
      </c>
      <c r="C47" s="883">
        <f>1856</f>
        <v>1856</v>
      </c>
      <c r="D47" s="884"/>
      <c r="E47" s="730">
        <f>6800-5050-458</f>
        <v>1292</v>
      </c>
      <c r="F47" s="447">
        <f t="shared" si="4"/>
        <v>3652</v>
      </c>
      <c r="G47" s="883">
        <f t="shared" ref="G47:G48" si="10">SUM(E47:F47)</f>
        <v>4944</v>
      </c>
      <c r="H47" s="884"/>
      <c r="I47" s="450"/>
      <c r="J47" s="57">
        <f t="shared" si="8"/>
        <v>0</v>
      </c>
      <c r="K47" s="57"/>
      <c r="L47" s="100" t="s">
        <v>655</v>
      </c>
      <c r="M47" s="11"/>
      <c r="N47" s="67">
        <v>1303</v>
      </c>
      <c r="O47" s="76">
        <v>46</v>
      </c>
      <c r="P47" s="76">
        <f t="shared" si="1"/>
        <v>1257</v>
      </c>
      <c r="Q47" s="10">
        <f>P47*(1-S47)*1.071</f>
        <v>1346.2469999999998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730">
        <v>27531</v>
      </c>
      <c r="C48" s="883">
        <f>1359+2140+1356+1964+1362+1359+2067+999+2022+1346+1312+2079+1871</f>
        <v>21236</v>
      </c>
      <c r="D48" s="884"/>
      <c r="E48" s="730">
        <f>6142</f>
        <v>6142</v>
      </c>
      <c r="F48" s="447">
        <f t="shared" si="4"/>
        <v>153</v>
      </c>
      <c r="G48" s="883">
        <f t="shared" si="10"/>
        <v>6295</v>
      </c>
      <c r="H48" s="884"/>
      <c r="I48" s="450" t="s">
        <v>416</v>
      </c>
      <c r="J48" s="57"/>
      <c r="K48" s="57"/>
      <c r="L48" s="100" t="s">
        <v>656</v>
      </c>
      <c r="M48" s="11"/>
      <c r="N48" s="67">
        <v>1273</v>
      </c>
      <c r="O48" s="76">
        <v>48</v>
      </c>
      <c r="P48" s="76">
        <f t="shared" si="1"/>
        <v>1225</v>
      </c>
      <c r="Q48" s="10">
        <f t="shared" ref="Q48:Q54" si="11">P48*(1-S48)*1.071</f>
        <v>1311.9749999999999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728">
        <f>SUM(B42:B48)</f>
        <v>88755</v>
      </c>
      <c r="C49" s="845">
        <f>SUM(C42:D48)</f>
        <v>44219</v>
      </c>
      <c r="D49" s="845"/>
      <c r="E49" s="728">
        <f>SUM(E42:E48)</f>
        <v>40188</v>
      </c>
      <c r="F49" s="728">
        <f>SUM(F42:F48)</f>
        <v>4348</v>
      </c>
      <c r="G49" s="845">
        <f>SUM(G42:H48)</f>
        <v>44536</v>
      </c>
      <c r="H49" s="845"/>
      <c r="I49" s="371"/>
      <c r="J49" s="57">
        <f t="shared" si="8"/>
        <v>0</v>
      </c>
      <c r="K49" s="56"/>
      <c r="L49" s="100" t="s">
        <v>657</v>
      </c>
      <c r="M49" s="11"/>
      <c r="N49" s="67">
        <v>2028</v>
      </c>
      <c r="O49" s="76">
        <v>87</v>
      </c>
      <c r="P49" s="76">
        <f t="shared" si="1"/>
        <v>1941</v>
      </c>
      <c r="Q49" s="10">
        <f t="shared" si="11"/>
        <v>2078.8109999999997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658</v>
      </c>
      <c r="M50" s="11"/>
      <c r="N50" s="67">
        <v>1814</v>
      </c>
      <c r="O50" s="76">
        <v>67</v>
      </c>
      <c r="P50" s="76">
        <f t="shared" si="1"/>
        <v>1747</v>
      </c>
      <c r="Q50" s="10">
        <f t="shared" si="11"/>
        <v>1871.0369999999998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659</v>
      </c>
      <c r="M51" s="11"/>
      <c r="N51" s="67"/>
      <c r="O51" s="76"/>
      <c r="P51" s="76">
        <f t="shared" si="1"/>
        <v>0</v>
      </c>
      <c r="Q51" s="10">
        <f t="shared" si="11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660</v>
      </c>
      <c r="M52" s="11"/>
      <c r="N52" s="67"/>
      <c r="O52" s="76"/>
      <c r="P52" s="76">
        <f t="shared" si="1"/>
        <v>0</v>
      </c>
      <c r="Q52" s="10">
        <f t="shared" si="11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726" t="s">
        <v>3</v>
      </c>
      <c r="C53" s="152" t="s">
        <v>82</v>
      </c>
      <c r="D53" s="726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661</v>
      </c>
      <c r="M53" s="11"/>
      <c r="N53" s="67"/>
      <c r="O53" s="76"/>
      <c r="P53" s="76">
        <f t="shared" si="1"/>
        <v>0</v>
      </c>
      <c r="Q53" s="10">
        <f t="shared" si="11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63</v>
      </c>
      <c r="C54" s="154">
        <v>70</v>
      </c>
      <c r="D54" s="184">
        <v>29</v>
      </c>
      <c r="E54" s="153">
        <v>441</v>
      </c>
      <c r="F54" s="153">
        <v>0</v>
      </c>
      <c r="G54" s="185">
        <v>519</v>
      </c>
      <c r="H54" s="846">
        <f>B54+D54-F54</f>
        <v>92</v>
      </c>
      <c r="I54" s="847"/>
      <c r="J54" s="240"/>
      <c r="K54" s="241"/>
      <c r="L54" s="100" t="s">
        <v>662</v>
      </c>
      <c r="M54" s="11"/>
      <c r="N54" s="67"/>
      <c r="O54" s="76"/>
      <c r="P54" s="76">
        <f t="shared" si="1"/>
        <v>0</v>
      </c>
      <c r="Q54" s="10">
        <f t="shared" si="11"/>
        <v>0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168</v>
      </c>
      <c r="C55" s="723">
        <v>100</v>
      </c>
      <c r="D55" s="184">
        <v>29</v>
      </c>
      <c r="E55" s="153">
        <v>303</v>
      </c>
      <c r="F55" s="153">
        <v>0</v>
      </c>
      <c r="G55" s="185">
        <v>207</v>
      </c>
      <c r="H55" s="846">
        <f>B55+D55-F55</f>
        <v>197</v>
      </c>
      <c r="I55" s="847"/>
      <c r="J55" s="241"/>
      <c r="K55" s="127"/>
      <c r="L55" s="100" t="s">
        <v>663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231</v>
      </c>
      <c r="C56" s="149">
        <f>SUM(C54:C55)</f>
        <v>170</v>
      </c>
      <c r="D56" s="149">
        <f>SUM(D54:D55)</f>
        <v>58</v>
      </c>
      <c r="E56" s="149">
        <f t="shared" ref="E56:G56" si="12">SUM(E54:E55)</f>
        <v>744</v>
      </c>
      <c r="F56" s="149">
        <f t="shared" si="12"/>
        <v>0</v>
      </c>
      <c r="G56" s="149">
        <f t="shared" si="12"/>
        <v>726</v>
      </c>
      <c r="H56" s="846">
        <f t="shared" ref="H56" si="13">B56+D56-F56</f>
        <v>289</v>
      </c>
      <c r="I56" s="847"/>
      <c r="J56" s="495"/>
      <c r="L56" s="100" t="s">
        <v>664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665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666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667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668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669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670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671</v>
      </c>
      <c r="M63" s="11"/>
      <c r="N63" s="67"/>
      <c r="O63" s="76"/>
      <c r="P63" s="76">
        <f t="shared" si="1"/>
        <v>0</v>
      </c>
      <c r="Q63" s="10">
        <f>P63*(1-S63)*1.074</f>
        <v>0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672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2:21">
      <c r="L65" s="100" t="s">
        <v>673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2:21">
      <c r="L66" s="100" t="s">
        <v>674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2:21">
      <c r="L67" s="100" t="s">
        <v>675</v>
      </c>
      <c r="M67" s="11"/>
      <c r="N67" s="76"/>
      <c r="O67" s="76"/>
      <c r="P67" s="76">
        <f t="shared" si="1"/>
        <v>0</v>
      </c>
      <c r="Q67" s="10">
        <f>P67*(1-S67)*1.074</f>
        <v>0</v>
      </c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4">SUM(M37:M69)</f>
        <v>0</v>
      </c>
      <c r="N70" s="120">
        <f t="shared" si="14"/>
        <v>17755</v>
      </c>
      <c r="O70" s="61">
        <f t="shared" si="14"/>
        <v>675</v>
      </c>
      <c r="P70" s="61">
        <f t="shared" si="14"/>
        <v>17080</v>
      </c>
      <c r="Q70" s="10">
        <f t="shared" ref="Q70" si="15">P70*(1-S70)*1.057</f>
        <v>18053.559999999998</v>
      </c>
      <c r="R70" s="61">
        <f t="shared" si="14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  <mergeCell ref="Q5:R5"/>
    <mergeCell ref="H6:I6"/>
    <mergeCell ref="C7:D7"/>
    <mergeCell ref="E7:F7"/>
    <mergeCell ref="H7:I7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  <mergeCell ref="A23:A24"/>
    <mergeCell ref="B23:B24"/>
    <mergeCell ref="C23:D24"/>
    <mergeCell ref="E23:F24"/>
    <mergeCell ref="G23:I23"/>
    <mergeCell ref="I25:I26"/>
    <mergeCell ref="C26:D26"/>
    <mergeCell ref="C17:D17"/>
    <mergeCell ref="E17:F17"/>
    <mergeCell ref="G17:I17"/>
    <mergeCell ref="C18:D18"/>
    <mergeCell ref="G18:I18"/>
    <mergeCell ref="B25:B26"/>
    <mergeCell ref="C25:D25"/>
    <mergeCell ref="E25:F26"/>
    <mergeCell ref="G25:G26"/>
    <mergeCell ref="H25:H26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A40:A41"/>
    <mergeCell ref="C40:D41"/>
    <mergeCell ref="E40:H40"/>
    <mergeCell ref="I40:I41"/>
    <mergeCell ref="G41:H41"/>
    <mergeCell ref="C43:D43"/>
    <mergeCell ref="G43:H43"/>
    <mergeCell ref="C44:D44"/>
    <mergeCell ref="G44:H44"/>
    <mergeCell ref="C45:D45"/>
    <mergeCell ref="G45:H45"/>
    <mergeCell ref="C46:D46"/>
    <mergeCell ref="G46:H46"/>
    <mergeCell ref="C47:D47"/>
    <mergeCell ref="G47:H47"/>
    <mergeCell ref="C48:D48"/>
    <mergeCell ref="G48:H48"/>
    <mergeCell ref="A52:A53"/>
    <mergeCell ref="B52:C52"/>
    <mergeCell ref="D52:E52"/>
    <mergeCell ref="F52:G52"/>
    <mergeCell ref="H52:I53"/>
    <mergeCell ref="H54:I54"/>
    <mergeCell ref="H55:I55"/>
    <mergeCell ref="H56:I56"/>
    <mergeCell ref="C49:D49"/>
    <mergeCell ref="G49:H49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0628-7060-48BA-897B-F0500B10B619}">
  <dimension ref="B1:AJ52"/>
  <sheetViews>
    <sheetView workbookViewId="0">
      <pane xSplit="3" topLeftCell="G1" activePane="topRight" state="frozen"/>
      <selection pane="topRight" activeCell="Q4" sqref="Q4"/>
    </sheetView>
  </sheetViews>
  <sheetFormatPr defaultRowHeight="18.2"/>
  <cols>
    <col min="1" max="1" width="0.3984375" customWidth="1"/>
    <col min="2" max="2" width="6.796875" customWidth="1"/>
    <col min="4" max="4" width="7.69921875" customWidth="1"/>
    <col min="5" max="28" width="7" customWidth="1"/>
    <col min="29" max="35" width="7.19921875" customWidth="1"/>
  </cols>
  <sheetData>
    <row r="1" spans="2:36" ht="28.2">
      <c r="B1" s="610" t="s">
        <v>727</v>
      </c>
      <c r="C1" s="611"/>
      <c r="D1" s="612"/>
      <c r="E1" s="612"/>
      <c r="F1" s="613"/>
      <c r="G1" s="613"/>
      <c r="H1" s="613"/>
      <c r="I1" s="613"/>
      <c r="J1" s="613"/>
      <c r="K1" s="614"/>
      <c r="L1" s="614"/>
      <c r="M1" s="614"/>
      <c r="N1" s="614"/>
      <c r="O1" s="614"/>
      <c r="P1" s="334"/>
      <c r="Q1" s="334"/>
      <c r="R1" s="334"/>
      <c r="S1" s="334"/>
      <c r="T1" s="356" t="s">
        <v>1</v>
      </c>
      <c r="U1" s="163" t="s">
        <v>678</v>
      </c>
      <c r="V1" s="163"/>
      <c r="W1" s="968" t="s">
        <v>4</v>
      </c>
      <c r="X1" s="968"/>
      <c r="Y1" s="968" t="s">
        <v>5</v>
      </c>
      <c r="Z1" s="968"/>
      <c r="AA1" s="968" t="s">
        <v>539</v>
      </c>
      <c r="AB1" s="968"/>
      <c r="AC1" s="968" t="s">
        <v>679</v>
      </c>
      <c r="AD1" s="968"/>
    </row>
    <row r="2" spans="2:36" ht="28.2">
      <c r="B2" s="612"/>
      <c r="C2" s="615" t="s">
        <v>684</v>
      </c>
      <c r="D2" s="612"/>
      <c r="E2" s="612"/>
      <c r="F2" s="612"/>
      <c r="G2" s="612"/>
      <c r="H2" s="612"/>
      <c r="I2" s="612"/>
      <c r="J2" s="612"/>
      <c r="K2" s="613"/>
      <c r="L2" s="614"/>
      <c r="M2" s="614"/>
      <c r="N2" s="614"/>
      <c r="O2" s="614"/>
      <c r="Q2" s="166"/>
      <c r="R2" s="166"/>
      <c r="S2" s="213"/>
      <c r="T2" s="357" t="s">
        <v>540</v>
      </c>
      <c r="U2" s="966">
        <f>D11</f>
        <v>21106</v>
      </c>
      <c r="V2" s="966"/>
      <c r="W2" s="966">
        <f>SUM(E8:AI8)</f>
        <v>41541</v>
      </c>
      <c r="X2" s="966"/>
      <c r="Y2" s="966">
        <f>SUM(E9:AI9)</f>
        <v>39516</v>
      </c>
      <c r="Z2" s="966"/>
      <c r="AA2" s="966">
        <f>SUM(E10:AI10)</f>
        <v>6092</v>
      </c>
      <c r="AB2" s="966"/>
      <c r="AC2" s="967">
        <f>AI11</f>
        <v>16215</v>
      </c>
      <c r="AD2" s="967"/>
      <c r="AF2" s="456"/>
      <c r="AG2" s="456"/>
    </row>
    <row r="3" spans="2:36" ht="28.2">
      <c r="B3" s="612"/>
      <c r="C3" s="615"/>
      <c r="D3" s="613"/>
      <c r="E3" s="612"/>
      <c r="F3" s="612"/>
      <c r="G3" s="612"/>
      <c r="H3" s="612"/>
      <c r="I3" s="614" t="s">
        <v>80</v>
      </c>
      <c r="J3" s="614" t="s">
        <v>676</v>
      </c>
      <c r="K3" s="965">
        <f>43174/25</f>
        <v>1726.96</v>
      </c>
      <c r="L3" s="965"/>
      <c r="M3" s="614" t="s">
        <v>677</v>
      </c>
      <c r="N3" s="614">
        <f>15700/25</f>
        <v>628</v>
      </c>
      <c r="O3" s="614"/>
      <c r="P3" s="411"/>
      <c r="Q3" s="418"/>
      <c r="R3" s="166"/>
      <c r="S3" s="213"/>
      <c r="T3" s="357" t="s">
        <v>382</v>
      </c>
      <c r="U3" s="966">
        <f>D16</f>
        <v>852</v>
      </c>
      <c r="V3" s="966"/>
      <c r="W3" s="966">
        <f>SUM(E14:AI14)</f>
        <v>13056</v>
      </c>
      <c r="X3" s="966"/>
      <c r="Y3" s="966">
        <f>SUM(E15:AI15)</f>
        <v>13517</v>
      </c>
      <c r="Z3" s="966"/>
      <c r="AA3" s="966">
        <v>0</v>
      </c>
      <c r="AB3" s="966"/>
      <c r="AC3" s="967">
        <f>AI16</f>
        <v>553</v>
      </c>
      <c r="AD3" s="967"/>
      <c r="AF3" s="456"/>
      <c r="AG3" s="456"/>
    </row>
    <row r="4" spans="2:36" ht="28.2">
      <c r="B4" s="612"/>
      <c r="C4" s="615" t="s">
        <v>683</v>
      </c>
      <c r="D4" s="616"/>
      <c r="E4" s="610"/>
      <c r="F4" s="610"/>
      <c r="G4" s="610"/>
      <c r="H4" s="610"/>
      <c r="I4" s="610"/>
      <c r="J4" s="610"/>
      <c r="K4" s="617"/>
      <c r="L4" s="614"/>
      <c r="M4" s="614"/>
      <c r="N4" s="614"/>
      <c r="O4" s="614"/>
      <c r="P4" s="166"/>
      <c r="Q4" s="166"/>
      <c r="R4" s="166"/>
      <c r="S4" s="213"/>
      <c r="T4" s="191"/>
      <c r="U4" s="3"/>
      <c r="V4" s="319"/>
      <c r="AF4" s="167"/>
      <c r="AG4" s="167"/>
      <c r="AH4" s="167"/>
      <c r="AI4" s="167"/>
    </row>
    <row r="5" spans="2:36" s="489" customFormat="1" ht="21.3">
      <c r="B5" s="483"/>
      <c r="C5" s="488"/>
      <c r="D5" s="609" t="s">
        <v>714</v>
      </c>
      <c r="E5" s="523">
        <v>0</v>
      </c>
      <c r="F5" s="523">
        <v>0</v>
      </c>
      <c r="G5" s="523">
        <v>2000</v>
      </c>
      <c r="H5" s="523">
        <v>1300</v>
      </c>
      <c r="I5" s="523">
        <v>1300</v>
      </c>
      <c r="J5" s="523">
        <v>2000</v>
      </c>
      <c r="K5" s="523">
        <v>1300</v>
      </c>
      <c r="L5" s="523">
        <v>1300</v>
      </c>
      <c r="M5" s="523">
        <v>2000</v>
      </c>
      <c r="N5" s="523">
        <v>1300</v>
      </c>
      <c r="O5" s="523">
        <v>1300</v>
      </c>
      <c r="P5" s="523">
        <v>1300</v>
      </c>
      <c r="Q5" s="523">
        <v>2000</v>
      </c>
      <c r="R5" s="523">
        <v>2000</v>
      </c>
      <c r="S5" s="523">
        <v>2000</v>
      </c>
      <c r="T5" s="523">
        <v>1300</v>
      </c>
      <c r="U5" s="523">
        <v>2000</v>
      </c>
      <c r="V5" s="523">
        <v>1300</v>
      </c>
      <c r="W5" s="523">
        <v>1300</v>
      </c>
      <c r="X5" s="523">
        <v>2000</v>
      </c>
      <c r="Y5" s="523">
        <v>2000</v>
      </c>
      <c r="Z5" s="523">
        <v>2000</v>
      </c>
      <c r="AA5" s="523">
        <v>1300</v>
      </c>
      <c r="AB5" s="523">
        <v>2000</v>
      </c>
      <c r="AC5" s="523">
        <v>1300</v>
      </c>
      <c r="AD5" s="523">
        <v>1300</v>
      </c>
      <c r="AE5" s="523">
        <v>2000</v>
      </c>
      <c r="AF5" s="523">
        <v>2000</v>
      </c>
      <c r="AG5" s="523">
        <v>2000</v>
      </c>
      <c r="AH5" s="523">
        <v>1300</v>
      </c>
      <c r="AI5" s="523">
        <v>2000</v>
      </c>
      <c r="AJ5" s="456">
        <f t="shared" ref="AJ5" si="0">SUM(E5:AI5)</f>
        <v>48200</v>
      </c>
    </row>
    <row r="6" spans="2:36" s="520" customFormat="1" ht="22.55" customHeight="1">
      <c r="B6" s="518" t="s">
        <v>1</v>
      </c>
      <c r="C6" s="519"/>
      <c r="D6" s="606" t="s">
        <v>644</v>
      </c>
      <c r="E6" s="607" t="s">
        <v>645</v>
      </c>
      <c r="F6" s="607" t="s">
        <v>646</v>
      </c>
      <c r="G6" s="608" t="s">
        <v>647</v>
      </c>
      <c r="H6" s="607" t="s">
        <v>648</v>
      </c>
      <c r="I6" s="607" t="s">
        <v>649</v>
      </c>
      <c r="J6" s="608" t="s">
        <v>650</v>
      </c>
      <c r="K6" s="607" t="s">
        <v>651</v>
      </c>
      <c r="L6" s="607" t="s">
        <v>652</v>
      </c>
      <c r="M6" s="665" t="s">
        <v>653</v>
      </c>
      <c r="N6" s="607" t="s">
        <v>654</v>
      </c>
      <c r="O6" s="607" t="s">
        <v>655</v>
      </c>
      <c r="P6" s="607" t="s">
        <v>656</v>
      </c>
      <c r="Q6" s="608" t="s">
        <v>657</v>
      </c>
      <c r="R6" s="607" t="s">
        <v>658</v>
      </c>
      <c r="S6" s="607" t="s">
        <v>659</v>
      </c>
      <c r="T6" s="607" t="s">
        <v>660</v>
      </c>
      <c r="U6" s="607" t="s">
        <v>661</v>
      </c>
      <c r="V6" s="607" t="s">
        <v>662</v>
      </c>
      <c r="W6" s="607" t="s">
        <v>663</v>
      </c>
      <c r="X6" s="608" t="s">
        <v>664</v>
      </c>
      <c r="Y6" s="607" t="s">
        <v>665</v>
      </c>
      <c r="Z6" s="607" t="s">
        <v>666</v>
      </c>
      <c r="AA6" s="607" t="s">
        <v>667</v>
      </c>
      <c r="AB6" s="607" t="s">
        <v>668</v>
      </c>
      <c r="AC6" s="607" t="s">
        <v>669</v>
      </c>
      <c r="AD6" s="607" t="s">
        <v>670</v>
      </c>
      <c r="AE6" s="608" t="s">
        <v>671</v>
      </c>
      <c r="AF6" s="607" t="s">
        <v>672</v>
      </c>
      <c r="AG6" s="607" t="s">
        <v>673</v>
      </c>
      <c r="AH6" s="607" t="s">
        <v>674</v>
      </c>
      <c r="AI6" s="607" t="s">
        <v>675</v>
      </c>
      <c r="AJ6" s="456"/>
    </row>
    <row r="7" spans="2:36" ht="22.55" customHeight="1">
      <c r="B7" s="454" t="s">
        <v>2</v>
      </c>
      <c r="C7" s="163" t="s">
        <v>3</v>
      </c>
      <c r="D7" s="1"/>
      <c r="E7" s="1">
        <f t="shared" ref="E7:AF7" si="1">D11</f>
        <v>21106</v>
      </c>
      <c r="F7" s="1">
        <f t="shared" si="1"/>
        <v>19258</v>
      </c>
      <c r="G7" s="1">
        <f t="shared" si="1"/>
        <v>17527</v>
      </c>
      <c r="H7" s="1">
        <f t="shared" si="1"/>
        <v>19400</v>
      </c>
      <c r="I7" s="1">
        <f t="shared" si="1"/>
        <v>18595</v>
      </c>
      <c r="J7" s="1">
        <f t="shared" si="1"/>
        <v>19811</v>
      </c>
      <c r="K7" s="1">
        <f t="shared" si="1"/>
        <v>21362</v>
      </c>
      <c r="L7" s="1">
        <f t="shared" si="1"/>
        <v>20814</v>
      </c>
      <c r="M7" s="1">
        <f t="shared" si="1"/>
        <v>19038</v>
      </c>
      <c r="N7" s="1">
        <f t="shared" si="1"/>
        <v>19302</v>
      </c>
      <c r="O7" s="1">
        <f t="shared" si="1"/>
        <v>19469</v>
      </c>
      <c r="P7" s="1">
        <f t="shared" si="1"/>
        <v>19050</v>
      </c>
      <c r="Q7" s="1">
        <f t="shared" si="1"/>
        <v>18819</v>
      </c>
      <c r="R7" s="1">
        <f t="shared" si="1"/>
        <v>20712</v>
      </c>
      <c r="S7" s="1">
        <f t="shared" si="1"/>
        <v>20815</v>
      </c>
      <c r="T7" s="1">
        <f t="shared" si="1"/>
        <v>18639</v>
      </c>
      <c r="U7" s="1">
        <f t="shared" si="1"/>
        <v>16839</v>
      </c>
      <c r="V7" s="1">
        <f t="shared" si="1"/>
        <v>14812</v>
      </c>
      <c r="W7" s="1">
        <f t="shared" si="1"/>
        <v>14185</v>
      </c>
      <c r="X7" s="1">
        <f t="shared" si="1"/>
        <v>15485</v>
      </c>
      <c r="Y7" s="1">
        <f t="shared" si="1"/>
        <v>17485</v>
      </c>
      <c r="Z7" s="1">
        <f t="shared" si="1"/>
        <v>17458</v>
      </c>
      <c r="AA7" s="1">
        <f t="shared" si="1"/>
        <v>17431</v>
      </c>
      <c r="AB7" s="1">
        <f t="shared" si="1"/>
        <v>16704</v>
      </c>
      <c r="AC7" s="1">
        <f t="shared" si="1"/>
        <v>16677</v>
      </c>
      <c r="AD7" s="1">
        <f t="shared" si="1"/>
        <v>15950</v>
      </c>
      <c r="AE7" s="1">
        <f t="shared" si="1"/>
        <v>15223</v>
      </c>
      <c r="AF7" s="1">
        <f t="shared" si="1"/>
        <v>17023</v>
      </c>
      <c r="AG7" s="1">
        <f t="shared" ref="AG7" si="2">AF11</f>
        <v>16996</v>
      </c>
      <c r="AH7" s="1">
        <f t="shared" ref="AH7" si="3">AG11</f>
        <v>16969</v>
      </c>
      <c r="AI7" s="1">
        <f t="shared" ref="AI7" si="4">AH11</f>
        <v>16242</v>
      </c>
      <c r="AJ7" s="456"/>
    </row>
    <row r="8" spans="2:36" s="524" customFormat="1" ht="22.55" customHeight="1">
      <c r="B8" s="521"/>
      <c r="C8" s="522" t="s">
        <v>4</v>
      </c>
      <c r="D8" s="523"/>
      <c r="E8" s="523">
        <v>0</v>
      </c>
      <c r="F8" s="523">
        <v>0</v>
      </c>
      <c r="G8" s="523">
        <v>1982</v>
      </c>
      <c r="H8" s="523">
        <v>1315</v>
      </c>
      <c r="I8" s="523">
        <v>1311</v>
      </c>
      <c r="J8" s="523">
        <v>2019</v>
      </c>
      <c r="K8" s="523">
        <v>957</v>
      </c>
      <c r="L8" s="523">
        <v>0</v>
      </c>
      <c r="M8" s="523">
        <v>1787</v>
      </c>
      <c r="N8" s="523">
        <v>1952</v>
      </c>
      <c r="O8" s="523">
        <v>1303</v>
      </c>
      <c r="P8" s="523">
        <v>1273</v>
      </c>
      <c r="Q8" s="523">
        <v>2028</v>
      </c>
      <c r="R8" s="523">
        <v>1814</v>
      </c>
      <c r="S8" s="523">
        <v>0</v>
      </c>
      <c r="T8" s="523">
        <v>0</v>
      </c>
      <c r="U8" s="523">
        <v>0</v>
      </c>
      <c r="V8" s="523">
        <v>1300</v>
      </c>
      <c r="W8" s="523">
        <v>1300</v>
      </c>
      <c r="X8" s="523">
        <v>2000</v>
      </c>
      <c r="Y8" s="523">
        <v>2000</v>
      </c>
      <c r="Z8" s="523">
        <v>2000</v>
      </c>
      <c r="AA8" s="523">
        <v>1300</v>
      </c>
      <c r="AB8" s="523">
        <v>2000</v>
      </c>
      <c r="AC8" s="523">
        <v>1300</v>
      </c>
      <c r="AD8" s="523">
        <v>1300</v>
      </c>
      <c r="AE8" s="523">
        <v>2000</v>
      </c>
      <c r="AF8" s="523">
        <v>2000</v>
      </c>
      <c r="AG8" s="523">
        <v>2000</v>
      </c>
      <c r="AH8" s="523">
        <v>1300</v>
      </c>
      <c r="AI8" s="523">
        <v>2000</v>
      </c>
      <c r="AJ8" s="456">
        <f t="shared" ref="AJ8:AJ15" si="5">SUM(E8:AI8)</f>
        <v>41541</v>
      </c>
    </row>
    <row r="9" spans="2:36" ht="22.55" customHeight="1">
      <c r="B9" s="192"/>
      <c r="C9" s="138" t="s">
        <v>5</v>
      </c>
      <c r="D9" s="4"/>
      <c r="E9" s="4">
        <v>1565</v>
      </c>
      <c r="F9" s="4">
        <f>44*29.5</f>
        <v>1298</v>
      </c>
      <c r="G9" s="4">
        <v>0</v>
      </c>
      <c r="H9" s="4">
        <v>1928</v>
      </c>
      <c r="I9" s="4">
        <v>59</v>
      </c>
      <c r="J9" s="4">
        <v>0</v>
      </c>
      <c r="K9" s="4">
        <v>957</v>
      </c>
      <c r="L9" s="4">
        <v>1851</v>
      </c>
      <c r="M9" s="4">
        <v>1560</v>
      </c>
      <c r="N9" s="4">
        <v>1452</v>
      </c>
      <c r="O9" s="4">
        <v>1367</v>
      </c>
      <c r="P9" s="4">
        <v>1518</v>
      </c>
      <c r="Q9" s="4">
        <v>0</v>
      </c>
      <c r="R9" s="4">
        <v>1750</v>
      </c>
      <c r="S9" s="4">
        <v>1987</v>
      </c>
      <c r="T9" s="4">
        <v>1500</v>
      </c>
      <c r="U9" s="4">
        <v>1727</v>
      </c>
      <c r="V9" s="4">
        <v>1727</v>
      </c>
      <c r="W9" s="4">
        <v>0</v>
      </c>
      <c r="X9" s="4">
        <v>0</v>
      </c>
      <c r="Y9" s="4">
        <v>1727</v>
      </c>
      <c r="Z9" s="4">
        <v>1727</v>
      </c>
      <c r="AA9" s="4">
        <v>1727</v>
      </c>
      <c r="AB9" s="4">
        <v>1727</v>
      </c>
      <c r="AC9" s="4">
        <v>1727</v>
      </c>
      <c r="AD9" s="4">
        <v>1727</v>
      </c>
      <c r="AE9" s="4">
        <v>0</v>
      </c>
      <c r="AF9" s="4">
        <v>1727</v>
      </c>
      <c r="AG9" s="4">
        <v>1727</v>
      </c>
      <c r="AH9" s="4">
        <v>1727</v>
      </c>
      <c r="AI9" s="4">
        <v>1727</v>
      </c>
      <c r="AJ9" s="456">
        <f t="shared" si="5"/>
        <v>39516</v>
      </c>
    </row>
    <row r="10" spans="2:36" ht="22.55" customHeight="1">
      <c r="B10" s="192"/>
      <c r="C10" s="138" t="s">
        <v>541</v>
      </c>
      <c r="D10" s="1"/>
      <c r="E10" s="1">
        <v>84</v>
      </c>
      <c r="F10" s="1">
        <v>257</v>
      </c>
      <c r="G10" s="1">
        <v>0</v>
      </c>
      <c r="H10" s="1">
        <v>328</v>
      </c>
      <c r="I10" s="1"/>
      <c r="J10" s="1">
        <v>0</v>
      </c>
      <c r="K10" s="1">
        <v>172</v>
      </c>
      <c r="L10" s="1">
        <v>0</v>
      </c>
      <c r="M10" s="1">
        <v>339</v>
      </c>
      <c r="N10" s="1">
        <v>275</v>
      </c>
      <c r="O10" s="1">
        <v>219</v>
      </c>
      <c r="P10" s="1">
        <v>129</v>
      </c>
      <c r="Q10" s="1">
        <v>0</v>
      </c>
      <c r="R10" s="1">
        <v>100</v>
      </c>
      <c r="S10" s="1">
        <v>189</v>
      </c>
      <c r="T10" s="1">
        <v>300</v>
      </c>
      <c r="U10" s="1">
        <v>300</v>
      </c>
      <c r="V10" s="1">
        <v>200</v>
      </c>
      <c r="W10" s="1"/>
      <c r="X10" s="1"/>
      <c r="Y10" s="1">
        <v>300</v>
      </c>
      <c r="Z10" s="1">
        <v>300</v>
      </c>
      <c r="AA10" s="1">
        <v>300</v>
      </c>
      <c r="AB10" s="1">
        <v>300</v>
      </c>
      <c r="AC10" s="1">
        <v>300</v>
      </c>
      <c r="AD10" s="1">
        <v>300</v>
      </c>
      <c r="AE10" s="1">
        <v>200</v>
      </c>
      <c r="AF10" s="1">
        <v>300</v>
      </c>
      <c r="AG10" s="1">
        <v>300</v>
      </c>
      <c r="AH10" s="1">
        <v>300</v>
      </c>
      <c r="AI10" s="1">
        <v>300</v>
      </c>
      <c r="AJ10" s="456">
        <f t="shared" si="5"/>
        <v>6092</v>
      </c>
    </row>
    <row r="11" spans="2:36" ht="22.55" customHeight="1">
      <c r="B11" s="453"/>
      <c r="C11" s="138" t="s">
        <v>6</v>
      </c>
      <c r="D11" s="1">
        <v>21106</v>
      </c>
      <c r="E11" s="1">
        <v>19258</v>
      </c>
      <c r="F11" s="1">
        <v>17527</v>
      </c>
      <c r="G11" s="1">
        <v>19400</v>
      </c>
      <c r="H11" s="1">
        <v>18595</v>
      </c>
      <c r="I11" s="1">
        <v>19811</v>
      </c>
      <c r="J11" s="1">
        <v>21362</v>
      </c>
      <c r="K11" s="1">
        <v>20814</v>
      </c>
      <c r="L11" s="1">
        <v>19038</v>
      </c>
      <c r="M11" s="1">
        <v>19302</v>
      </c>
      <c r="N11" s="1">
        <v>19469</v>
      </c>
      <c r="O11" s="1">
        <v>19050</v>
      </c>
      <c r="P11" s="1">
        <v>18819</v>
      </c>
      <c r="Q11" s="1">
        <v>20712</v>
      </c>
      <c r="R11" s="1">
        <v>20815</v>
      </c>
      <c r="S11" s="1">
        <v>18639</v>
      </c>
      <c r="T11" s="1">
        <f t="shared" ref="T11:AI11" si="6">T7+T8-T9-T10</f>
        <v>16839</v>
      </c>
      <c r="U11" s="1">
        <f t="shared" si="6"/>
        <v>14812</v>
      </c>
      <c r="V11" s="1">
        <f t="shared" si="6"/>
        <v>14185</v>
      </c>
      <c r="W11" s="1">
        <f t="shared" si="6"/>
        <v>15485</v>
      </c>
      <c r="X11" s="1">
        <f t="shared" si="6"/>
        <v>17485</v>
      </c>
      <c r="Y11" s="1">
        <f t="shared" si="6"/>
        <v>17458</v>
      </c>
      <c r="Z11" s="1">
        <f t="shared" si="6"/>
        <v>17431</v>
      </c>
      <c r="AA11" s="1">
        <f t="shared" si="6"/>
        <v>16704</v>
      </c>
      <c r="AB11" s="1">
        <f t="shared" si="6"/>
        <v>16677</v>
      </c>
      <c r="AC11" s="1">
        <f t="shared" si="6"/>
        <v>15950</v>
      </c>
      <c r="AD11" s="1">
        <f t="shared" si="6"/>
        <v>15223</v>
      </c>
      <c r="AE11" s="1">
        <f t="shared" si="6"/>
        <v>17023</v>
      </c>
      <c r="AF11" s="1">
        <f t="shared" si="6"/>
        <v>16996</v>
      </c>
      <c r="AG11" s="1">
        <f t="shared" si="6"/>
        <v>16969</v>
      </c>
      <c r="AH11" s="1">
        <f t="shared" si="6"/>
        <v>16242</v>
      </c>
      <c r="AI11" s="1">
        <f t="shared" si="6"/>
        <v>16215</v>
      </c>
      <c r="AJ11" s="456"/>
    </row>
    <row r="12" spans="2:36" ht="5.05" customHeight="1">
      <c r="B12" s="164"/>
      <c r="C12" s="165"/>
      <c r="D12" s="604"/>
      <c r="E12" s="604"/>
      <c r="F12" s="604"/>
      <c r="G12" s="604"/>
      <c r="H12" s="604"/>
      <c r="I12" s="604"/>
      <c r="J12" s="604"/>
      <c r="K12" s="604"/>
      <c r="L12" s="604"/>
      <c r="M12" s="604"/>
      <c r="N12" s="604"/>
      <c r="O12" s="604"/>
      <c r="P12" s="604"/>
      <c r="Q12" s="604"/>
      <c r="R12" s="604"/>
      <c r="S12" s="604"/>
      <c r="T12" s="138"/>
      <c r="U12" s="138"/>
      <c r="V12" s="138"/>
      <c r="W12" s="138"/>
      <c r="X12" s="604"/>
      <c r="Y12" s="138"/>
      <c r="Z12" s="605"/>
      <c r="AA12" s="138"/>
      <c r="AB12" s="138"/>
      <c r="AC12" s="189"/>
      <c r="AD12" s="189"/>
      <c r="AE12" s="189"/>
      <c r="AF12" s="189"/>
      <c r="AG12" s="189"/>
      <c r="AH12" s="189"/>
      <c r="AI12" s="189"/>
      <c r="AJ12" s="456">
        <f t="shared" si="5"/>
        <v>0</v>
      </c>
    </row>
    <row r="13" spans="2:36" ht="22.55" customHeight="1">
      <c r="B13" s="454" t="s">
        <v>542</v>
      </c>
      <c r="C13" s="138" t="s">
        <v>3</v>
      </c>
      <c r="D13" s="1"/>
      <c r="E13" s="1">
        <f t="shared" ref="E13:AI13" si="7">D16</f>
        <v>852</v>
      </c>
      <c r="F13" s="1">
        <f t="shared" si="7"/>
        <v>499</v>
      </c>
      <c r="G13" s="1">
        <f t="shared" si="7"/>
        <v>739</v>
      </c>
      <c r="H13" s="1">
        <f t="shared" si="7"/>
        <v>737</v>
      </c>
      <c r="I13" s="1">
        <f t="shared" si="7"/>
        <v>911</v>
      </c>
      <c r="J13" s="1">
        <f t="shared" si="7"/>
        <v>882</v>
      </c>
      <c r="K13" s="1">
        <f t="shared" si="7"/>
        <v>882</v>
      </c>
      <c r="L13" s="1">
        <f t="shared" si="7"/>
        <v>872</v>
      </c>
      <c r="M13" s="1">
        <f t="shared" si="7"/>
        <v>412</v>
      </c>
      <c r="N13" s="1">
        <f t="shared" si="7"/>
        <v>532</v>
      </c>
      <c r="O13" s="1">
        <f t="shared" si="7"/>
        <v>951</v>
      </c>
      <c r="P13" s="1">
        <f t="shared" si="7"/>
        <v>846</v>
      </c>
      <c r="Q13" s="1">
        <f t="shared" si="7"/>
        <v>868</v>
      </c>
      <c r="R13" s="1">
        <f t="shared" si="7"/>
        <v>868</v>
      </c>
      <c r="S13" s="1">
        <f t="shared" si="7"/>
        <v>807</v>
      </c>
      <c r="T13" s="603">
        <f t="shared" si="7"/>
        <v>689</v>
      </c>
      <c r="U13" s="603">
        <f t="shared" si="7"/>
        <v>661</v>
      </c>
      <c r="V13" s="603">
        <f t="shared" si="7"/>
        <v>633</v>
      </c>
      <c r="W13" s="603">
        <f t="shared" si="7"/>
        <v>405</v>
      </c>
      <c r="X13" s="1">
        <f t="shared" si="7"/>
        <v>405</v>
      </c>
      <c r="Y13" s="603">
        <f t="shared" si="7"/>
        <v>405</v>
      </c>
      <c r="Z13" s="525">
        <f t="shared" si="7"/>
        <v>377</v>
      </c>
      <c r="AA13" s="603">
        <f t="shared" si="7"/>
        <v>349</v>
      </c>
      <c r="AB13" s="603">
        <f t="shared" si="7"/>
        <v>321</v>
      </c>
      <c r="AC13" s="214">
        <f t="shared" si="7"/>
        <v>293</v>
      </c>
      <c r="AD13" s="214">
        <f t="shared" si="7"/>
        <v>265</v>
      </c>
      <c r="AE13" s="214">
        <f t="shared" si="7"/>
        <v>237</v>
      </c>
      <c r="AF13" s="214">
        <f t="shared" si="7"/>
        <v>637</v>
      </c>
      <c r="AG13" s="214">
        <f t="shared" si="7"/>
        <v>609</v>
      </c>
      <c r="AH13" s="214">
        <f>AF16</f>
        <v>609</v>
      </c>
      <c r="AI13" s="214">
        <f t="shared" si="7"/>
        <v>581</v>
      </c>
      <c r="AJ13" s="456"/>
    </row>
    <row r="14" spans="2:36" ht="22.55" customHeight="1">
      <c r="B14" s="192"/>
      <c r="C14" s="454" t="s">
        <v>4</v>
      </c>
      <c r="D14" s="1"/>
      <c r="E14" s="1">
        <v>210</v>
      </c>
      <c r="F14" s="1">
        <v>674</v>
      </c>
      <c r="G14" s="1">
        <f t="shared" ref="G14:AI14" si="8">G10*2</f>
        <v>0</v>
      </c>
      <c r="H14" s="1">
        <v>817</v>
      </c>
      <c r="I14" s="1">
        <f t="shared" si="8"/>
        <v>0</v>
      </c>
      <c r="J14" s="1">
        <f t="shared" si="8"/>
        <v>0</v>
      </c>
      <c r="K14" s="1">
        <f t="shared" si="8"/>
        <v>344</v>
      </c>
      <c r="L14" s="1">
        <f t="shared" si="8"/>
        <v>0</v>
      </c>
      <c r="M14" s="1">
        <f t="shared" si="8"/>
        <v>678</v>
      </c>
      <c r="N14" s="1">
        <v>750</v>
      </c>
      <c r="O14" s="1">
        <v>564</v>
      </c>
      <c r="P14" s="1">
        <v>318</v>
      </c>
      <c r="Q14" s="1">
        <f t="shared" si="8"/>
        <v>0</v>
      </c>
      <c r="R14" s="1">
        <v>203</v>
      </c>
      <c r="S14" s="1">
        <v>498</v>
      </c>
      <c r="T14" s="1">
        <f t="shared" si="8"/>
        <v>600</v>
      </c>
      <c r="U14" s="1">
        <f t="shared" si="8"/>
        <v>600</v>
      </c>
      <c r="V14" s="1">
        <f t="shared" si="8"/>
        <v>400</v>
      </c>
      <c r="W14" s="1">
        <f t="shared" si="8"/>
        <v>0</v>
      </c>
      <c r="X14" s="1">
        <f t="shared" si="8"/>
        <v>0</v>
      </c>
      <c r="Y14" s="1">
        <f t="shared" si="8"/>
        <v>600</v>
      </c>
      <c r="Z14" s="1">
        <f t="shared" si="8"/>
        <v>600</v>
      </c>
      <c r="AA14" s="1">
        <f t="shared" si="8"/>
        <v>600</v>
      </c>
      <c r="AB14" s="1">
        <f t="shared" si="8"/>
        <v>600</v>
      </c>
      <c r="AC14" s="1">
        <f t="shared" si="8"/>
        <v>600</v>
      </c>
      <c r="AD14" s="1">
        <f t="shared" si="8"/>
        <v>600</v>
      </c>
      <c r="AE14" s="1">
        <f t="shared" si="8"/>
        <v>400</v>
      </c>
      <c r="AF14" s="1">
        <f t="shared" si="8"/>
        <v>600</v>
      </c>
      <c r="AG14" s="1">
        <f t="shared" si="8"/>
        <v>600</v>
      </c>
      <c r="AH14" s="1">
        <f t="shared" si="8"/>
        <v>600</v>
      </c>
      <c r="AI14" s="1">
        <f t="shared" si="8"/>
        <v>600</v>
      </c>
      <c r="AJ14" s="456">
        <f t="shared" si="5"/>
        <v>13056</v>
      </c>
    </row>
    <row r="15" spans="2:36" ht="22.55" customHeight="1">
      <c r="B15" s="192"/>
      <c r="C15" s="454" t="s">
        <v>5</v>
      </c>
      <c r="D15" s="1"/>
      <c r="E15" s="1">
        <v>736</v>
      </c>
      <c r="F15" s="1">
        <v>434</v>
      </c>
      <c r="G15" s="1">
        <v>0</v>
      </c>
      <c r="H15" s="1">
        <v>643</v>
      </c>
      <c r="I15" s="1">
        <v>29</v>
      </c>
      <c r="J15" s="1">
        <v>0</v>
      </c>
      <c r="K15" s="1">
        <v>354</v>
      </c>
      <c r="L15" s="1">
        <v>460</v>
      </c>
      <c r="M15" s="1">
        <v>558</v>
      </c>
      <c r="N15" s="1">
        <v>525</v>
      </c>
      <c r="O15" s="1">
        <v>437</v>
      </c>
      <c r="P15" s="1">
        <v>296</v>
      </c>
      <c r="Q15" s="1">
        <v>0</v>
      </c>
      <c r="R15" s="1">
        <v>265</v>
      </c>
      <c r="S15" s="1">
        <v>616</v>
      </c>
      <c r="T15" s="1">
        <v>628</v>
      </c>
      <c r="U15" s="1">
        <v>628</v>
      </c>
      <c r="V15" s="1">
        <v>628</v>
      </c>
      <c r="W15" s="1">
        <v>0</v>
      </c>
      <c r="X15" s="1">
        <v>0</v>
      </c>
      <c r="Y15" s="1">
        <v>628</v>
      </c>
      <c r="Z15" s="1">
        <v>628</v>
      </c>
      <c r="AA15" s="1">
        <v>628</v>
      </c>
      <c r="AB15" s="1">
        <v>628</v>
      </c>
      <c r="AC15" s="1">
        <v>628</v>
      </c>
      <c r="AD15" s="1">
        <v>628</v>
      </c>
      <c r="AE15" s="1">
        <v>0</v>
      </c>
      <c r="AF15" s="1">
        <v>628</v>
      </c>
      <c r="AG15" s="1">
        <v>628</v>
      </c>
      <c r="AH15" s="1">
        <v>628</v>
      </c>
      <c r="AI15" s="1">
        <v>628</v>
      </c>
      <c r="AJ15" s="456">
        <f t="shared" si="5"/>
        <v>13517</v>
      </c>
    </row>
    <row r="16" spans="2:36" ht="22.55" customHeight="1">
      <c r="B16" s="453"/>
      <c r="C16" s="138" t="s">
        <v>6</v>
      </c>
      <c r="D16" s="1">
        <v>852</v>
      </c>
      <c r="E16" s="1">
        <v>499</v>
      </c>
      <c r="F16" s="1">
        <f t="shared" ref="F16:AI16" si="9">F13+F14-F15</f>
        <v>739</v>
      </c>
      <c r="G16" s="1">
        <v>737</v>
      </c>
      <c r="H16" s="1">
        <f t="shared" si="9"/>
        <v>911</v>
      </c>
      <c r="I16" s="1">
        <f t="shared" si="9"/>
        <v>882</v>
      </c>
      <c r="J16" s="1">
        <f t="shared" si="9"/>
        <v>882</v>
      </c>
      <c r="K16" s="1">
        <f t="shared" si="9"/>
        <v>872</v>
      </c>
      <c r="L16" s="1">
        <f t="shared" si="9"/>
        <v>412</v>
      </c>
      <c r="M16" s="1">
        <f t="shared" si="9"/>
        <v>532</v>
      </c>
      <c r="N16" s="1">
        <v>951</v>
      </c>
      <c r="O16" s="1">
        <v>846</v>
      </c>
      <c r="P16" s="1">
        <v>868</v>
      </c>
      <c r="Q16" s="1">
        <v>868</v>
      </c>
      <c r="R16" s="1">
        <v>807</v>
      </c>
      <c r="S16" s="1">
        <v>689</v>
      </c>
      <c r="T16" s="1">
        <f t="shared" si="9"/>
        <v>661</v>
      </c>
      <c r="U16" s="1">
        <f t="shared" si="9"/>
        <v>633</v>
      </c>
      <c r="V16" s="1">
        <f t="shared" si="9"/>
        <v>405</v>
      </c>
      <c r="W16" s="1">
        <f t="shared" si="9"/>
        <v>405</v>
      </c>
      <c r="X16" s="1">
        <f t="shared" si="9"/>
        <v>405</v>
      </c>
      <c r="Y16" s="1">
        <f t="shared" si="9"/>
        <v>377</v>
      </c>
      <c r="Z16" s="1">
        <f t="shared" si="9"/>
        <v>349</v>
      </c>
      <c r="AA16" s="1">
        <f t="shared" si="9"/>
        <v>321</v>
      </c>
      <c r="AB16" s="1">
        <f t="shared" si="9"/>
        <v>293</v>
      </c>
      <c r="AC16" s="1">
        <f t="shared" si="9"/>
        <v>265</v>
      </c>
      <c r="AD16" s="1">
        <f t="shared" si="9"/>
        <v>237</v>
      </c>
      <c r="AE16" s="1">
        <f t="shared" si="9"/>
        <v>637</v>
      </c>
      <c r="AF16" s="1">
        <f t="shared" si="9"/>
        <v>609</v>
      </c>
      <c r="AG16" s="1">
        <f t="shared" si="9"/>
        <v>581</v>
      </c>
      <c r="AH16" s="1">
        <f t="shared" si="9"/>
        <v>581</v>
      </c>
      <c r="AI16" s="1">
        <f t="shared" si="9"/>
        <v>553</v>
      </c>
      <c r="AJ16" s="456"/>
    </row>
    <row r="17" spans="2:36" ht="6.9" customHeight="1">
      <c r="B17" s="161"/>
      <c r="C17" s="60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62"/>
      <c r="U17" s="162"/>
      <c r="V17" s="162"/>
      <c r="W17" s="162"/>
      <c r="X17" s="526"/>
      <c r="Y17" s="163"/>
      <c r="Z17" s="162"/>
      <c r="AA17" s="162"/>
      <c r="AB17" s="162"/>
      <c r="AC17" s="190"/>
      <c r="AD17" s="190"/>
      <c r="AE17" s="190"/>
      <c r="AF17" s="190"/>
      <c r="AG17" s="190"/>
      <c r="AH17" s="190"/>
      <c r="AI17" s="434"/>
      <c r="AJ17" s="456"/>
    </row>
    <row r="18" spans="2:36" ht="22.55" customHeight="1">
      <c r="B18" s="963" t="s">
        <v>1</v>
      </c>
      <c r="C18" s="964"/>
      <c r="D18" s="5" t="str">
        <f t="shared" ref="D18:AI18" si="10">D6</f>
        <v>9/30</v>
      </c>
      <c r="E18" s="5" t="str">
        <f t="shared" si="10"/>
        <v>19.10/1</v>
      </c>
      <c r="F18" s="5" t="str">
        <f t="shared" si="10"/>
        <v>10/2</v>
      </c>
      <c r="G18" s="5" t="str">
        <f t="shared" si="10"/>
        <v>10/3</v>
      </c>
      <c r="H18" s="5" t="str">
        <f t="shared" si="10"/>
        <v>10/4</v>
      </c>
      <c r="I18" s="5" t="str">
        <f t="shared" si="10"/>
        <v>10/5</v>
      </c>
      <c r="J18" s="5" t="str">
        <f t="shared" si="10"/>
        <v>10/6</v>
      </c>
      <c r="K18" s="5" t="str">
        <f t="shared" si="10"/>
        <v>10/7</v>
      </c>
      <c r="L18" s="5" t="str">
        <f t="shared" si="10"/>
        <v>10/8</v>
      </c>
      <c r="M18" s="5" t="str">
        <f t="shared" si="10"/>
        <v>10/9</v>
      </c>
      <c r="N18" s="5" t="str">
        <f t="shared" si="10"/>
        <v>10/10</v>
      </c>
      <c r="O18" s="5" t="str">
        <f t="shared" si="10"/>
        <v>10/11</v>
      </c>
      <c r="P18" s="5" t="str">
        <f t="shared" si="10"/>
        <v>10/12</v>
      </c>
      <c r="Q18" s="5" t="str">
        <f t="shared" si="10"/>
        <v>10/13</v>
      </c>
      <c r="R18" s="5" t="str">
        <f t="shared" si="10"/>
        <v>10/14</v>
      </c>
      <c r="S18" s="5" t="str">
        <f t="shared" si="10"/>
        <v>10/15</v>
      </c>
      <c r="T18" s="12" t="str">
        <f t="shared" si="10"/>
        <v>10/16</v>
      </c>
      <c r="U18" s="12" t="str">
        <f t="shared" si="10"/>
        <v>10/17</v>
      </c>
      <c r="V18" s="12" t="str">
        <f t="shared" si="10"/>
        <v>10/18</v>
      </c>
      <c r="W18" s="12" t="str">
        <f t="shared" si="10"/>
        <v>10/19</v>
      </c>
      <c r="X18" s="5" t="str">
        <f t="shared" si="10"/>
        <v>10/20</v>
      </c>
      <c r="Y18" s="12" t="str">
        <f t="shared" si="10"/>
        <v>10/21</v>
      </c>
      <c r="Z18" s="527" t="str">
        <f t="shared" si="10"/>
        <v>10/22</v>
      </c>
      <c r="AA18" s="12" t="str">
        <f t="shared" si="10"/>
        <v>10/23</v>
      </c>
      <c r="AB18" s="12" t="str">
        <f t="shared" si="10"/>
        <v>10/24</v>
      </c>
      <c r="AC18" s="561" t="str">
        <f t="shared" si="10"/>
        <v>10/25</v>
      </c>
      <c r="AD18" s="561" t="str">
        <f t="shared" si="10"/>
        <v>10/26</v>
      </c>
      <c r="AE18" s="561" t="str">
        <f t="shared" si="10"/>
        <v>10/27</v>
      </c>
      <c r="AF18" s="561" t="str">
        <f t="shared" si="10"/>
        <v>10/28</v>
      </c>
      <c r="AG18" s="561" t="str">
        <f t="shared" si="10"/>
        <v>10/29</v>
      </c>
      <c r="AH18" s="561" t="str">
        <f t="shared" si="10"/>
        <v>10/30</v>
      </c>
      <c r="AI18" s="561" t="str">
        <f t="shared" si="10"/>
        <v>10/31</v>
      </c>
      <c r="AJ18" s="456"/>
    </row>
    <row r="19" spans="2:36" ht="22.55" customHeight="1">
      <c r="B19" s="963" t="s">
        <v>2</v>
      </c>
      <c r="C19" s="964"/>
      <c r="D19" s="1">
        <f t="shared" ref="D19:AI19" si="11">D11</f>
        <v>21106</v>
      </c>
      <c r="E19" s="1">
        <f t="shared" si="11"/>
        <v>19258</v>
      </c>
      <c r="F19" s="1">
        <f t="shared" si="11"/>
        <v>17527</v>
      </c>
      <c r="G19" s="1">
        <f t="shared" si="11"/>
        <v>19400</v>
      </c>
      <c r="H19" s="1">
        <f t="shared" si="11"/>
        <v>18595</v>
      </c>
      <c r="I19" s="1">
        <f t="shared" si="11"/>
        <v>19811</v>
      </c>
      <c r="J19" s="1">
        <f t="shared" si="11"/>
        <v>21362</v>
      </c>
      <c r="K19" s="1">
        <f t="shared" si="11"/>
        <v>20814</v>
      </c>
      <c r="L19" s="1">
        <f t="shared" si="11"/>
        <v>19038</v>
      </c>
      <c r="M19" s="1">
        <f t="shared" si="11"/>
        <v>19302</v>
      </c>
      <c r="N19" s="1">
        <f t="shared" si="11"/>
        <v>19469</v>
      </c>
      <c r="O19" s="1">
        <f t="shared" si="11"/>
        <v>19050</v>
      </c>
      <c r="P19" s="1">
        <f t="shared" si="11"/>
        <v>18819</v>
      </c>
      <c r="Q19" s="1">
        <f t="shared" si="11"/>
        <v>20712</v>
      </c>
      <c r="R19" s="1">
        <f t="shared" si="11"/>
        <v>20815</v>
      </c>
      <c r="S19" s="1">
        <f t="shared" si="11"/>
        <v>18639</v>
      </c>
      <c r="T19" s="603">
        <f t="shared" si="11"/>
        <v>16839</v>
      </c>
      <c r="U19" s="603">
        <f t="shared" si="11"/>
        <v>14812</v>
      </c>
      <c r="V19" s="603">
        <f t="shared" si="11"/>
        <v>14185</v>
      </c>
      <c r="W19" s="603">
        <f t="shared" si="11"/>
        <v>15485</v>
      </c>
      <c r="X19" s="1">
        <f t="shared" si="11"/>
        <v>17485</v>
      </c>
      <c r="Y19" s="603">
        <f t="shared" si="11"/>
        <v>17458</v>
      </c>
      <c r="Z19" s="525">
        <f t="shared" si="11"/>
        <v>17431</v>
      </c>
      <c r="AA19" s="603">
        <f t="shared" si="11"/>
        <v>16704</v>
      </c>
      <c r="AB19" s="603">
        <f t="shared" si="11"/>
        <v>16677</v>
      </c>
      <c r="AC19" s="214">
        <f t="shared" si="11"/>
        <v>15950</v>
      </c>
      <c r="AD19" s="214">
        <f t="shared" si="11"/>
        <v>15223</v>
      </c>
      <c r="AE19" s="214">
        <f t="shared" si="11"/>
        <v>17023</v>
      </c>
      <c r="AF19" s="214">
        <f t="shared" si="11"/>
        <v>16996</v>
      </c>
      <c r="AG19" s="214">
        <f t="shared" ref="AG19" si="12">AG11</f>
        <v>16969</v>
      </c>
      <c r="AH19" s="214">
        <f t="shared" si="11"/>
        <v>16242</v>
      </c>
      <c r="AI19" s="214">
        <f t="shared" si="11"/>
        <v>16215</v>
      </c>
      <c r="AJ19" s="456"/>
    </row>
    <row r="20" spans="2:36" ht="22.55" customHeight="1">
      <c r="B20" s="963" t="s">
        <v>542</v>
      </c>
      <c r="C20" s="964"/>
      <c r="D20" s="1">
        <f>D16</f>
        <v>852</v>
      </c>
      <c r="E20" s="1">
        <f t="shared" ref="E20:AI20" si="13">E16</f>
        <v>499</v>
      </c>
      <c r="F20" s="1">
        <f t="shared" si="13"/>
        <v>739</v>
      </c>
      <c r="G20" s="1">
        <f t="shared" si="13"/>
        <v>737</v>
      </c>
      <c r="H20" s="1">
        <f t="shared" si="13"/>
        <v>911</v>
      </c>
      <c r="I20" s="1">
        <f t="shared" si="13"/>
        <v>882</v>
      </c>
      <c r="J20" s="1">
        <f t="shared" si="13"/>
        <v>882</v>
      </c>
      <c r="K20" s="1">
        <f t="shared" si="13"/>
        <v>872</v>
      </c>
      <c r="L20" s="1">
        <f t="shared" si="13"/>
        <v>412</v>
      </c>
      <c r="M20" s="1">
        <f t="shared" si="13"/>
        <v>532</v>
      </c>
      <c r="N20" s="1">
        <f t="shared" si="13"/>
        <v>951</v>
      </c>
      <c r="O20" s="1">
        <f t="shared" si="13"/>
        <v>846</v>
      </c>
      <c r="P20" s="1">
        <f t="shared" si="13"/>
        <v>868</v>
      </c>
      <c r="Q20" s="1">
        <f t="shared" si="13"/>
        <v>868</v>
      </c>
      <c r="R20" s="1">
        <f t="shared" si="13"/>
        <v>807</v>
      </c>
      <c r="S20" s="1">
        <f t="shared" si="13"/>
        <v>689</v>
      </c>
      <c r="T20" s="603">
        <f t="shared" si="13"/>
        <v>661</v>
      </c>
      <c r="U20" s="603">
        <f t="shared" si="13"/>
        <v>633</v>
      </c>
      <c r="V20" s="603">
        <f t="shared" si="13"/>
        <v>405</v>
      </c>
      <c r="W20" s="603">
        <f t="shared" si="13"/>
        <v>405</v>
      </c>
      <c r="X20" s="1">
        <f t="shared" si="13"/>
        <v>405</v>
      </c>
      <c r="Y20" s="603">
        <f t="shared" si="13"/>
        <v>377</v>
      </c>
      <c r="Z20" s="525">
        <f t="shared" si="13"/>
        <v>349</v>
      </c>
      <c r="AA20" s="603">
        <f t="shared" si="13"/>
        <v>321</v>
      </c>
      <c r="AB20" s="603">
        <f t="shared" si="13"/>
        <v>293</v>
      </c>
      <c r="AC20" s="603">
        <f t="shared" si="13"/>
        <v>265</v>
      </c>
      <c r="AD20" s="603">
        <f t="shared" si="13"/>
        <v>237</v>
      </c>
      <c r="AE20" s="603">
        <f t="shared" si="13"/>
        <v>637</v>
      </c>
      <c r="AF20" s="603">
        <f t="shared" si="13"/>
        <v>609</v>
      </c>
      <c r="AG20" s="603">
        <f t="shared" ref="AG20" si="14">AG16</f>
        <v>581</v>
      </c>
      <c r="AH20" s="603">
        <f t="shared" si="13"/>
        <v>581</v>
      </c>
      <c r="AI20" s="603">
        <f t="shared" si="13"/>
        <v>553</v>
      </c>
      <c r="AJ20" s="456"/>
    </row>
    <row r="21" spans="2:36">
      <c r="B21" s="3"/>
      <c r="C21" s="168"/>
      <c r="E21" s="3"/>
      <c r="F21" s="3"/>
      <c r="H21" s="3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2:36">
      <c r="B22" s="3"/>
      <c r="C22" s="3"/>
      <c r="D22" s="3"/>
      <c r="E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2:36">
      <c r="B23" s="3" t="s">
        <v>91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2:36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2:36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2:3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2:36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2:36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2:36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2:36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2:36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2:36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2:2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2:2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2:2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2:2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50" spans="6:8">
      <c r="F50">
        <v>2500</v>
      </c>
      <c r="G50">
        <v>0.3</v>
      </c>
      <c r="H50">
        <f>G50*F50</f>
        <v>750</v>
      </c>
    </row>
    <row r="51" spans="6:8">
      <c r="F51">
        <v>10800</v>
      </c>
      <c r="G51">
        <v>0.5</v>
      </c>
      <c r="H51">
        <f>G51*F51</f>
        <v>5400</v>
      </c>
    </row>
    <row r="52" spans="6:8">
      <c r="F52">
        <f t="shared" ref="F52:H52" si="15">SUM(F50:F51)</f>
        <v>13300</v>
      </c>
      <c r="G52">
        <f>F52/H52</f>
        <v>2.1626016260162602</v>
      </c>
      <c r="H52">
        <f t="shared" si="15"/>
        <v>6150</v>
      </c>
    </row>
  </sheetData>
  <mergeCells count="18">
    <mergeCell ref="Y3:Z3"/>
    <mergeCell ref="AA3:AB3"/>
    <mergeCell ref="AC3:AD3"/>
    <mergeCell ref="B18:C18"/>
    <mergeCell ref="W1:X1"/>
    <mergeCell ref="Y1:Z1"/>
    <mergeCell ref="AA1:AB1"/>
    <mergeCell ref="AC1:AD1"/>
    <mergeCell ref="U2:V2"/>
    <mergeCell ref="W2:X2"/>
    <mergeCell ref="Y2:Z2"/>
    <mergeCell ref="AA2:AB2"/>
    <mergeCell ref="AC2:AD2"/>
    <mergeCell ref="B19:C19"/>
    <mergeCell ref="B20:C20"/>
    <mergeCell ref="K3:L3"/>
    <mergeCell ref="U3:V3"/>
    <mergeCell ref="W3:X3"/>
  </mergeCells>
  <phoneticPr fontId="156" type="noConversion"/>
  <pageMargins left="0" right="0" top="0.74803149606299213" bottom="0.74803149606299213" header="0.31496062992125984" footer="0.31496062992125984"/>
  <pageSetup paperSize="9" scale="55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32"/>
  <sheetViews>
    <sheetView workbookViewId="0">
      <selection activeCell="S13" sqref="S13"/>
    </sheetView>
  </sheetViews>
  <sheetFormatPr defaultRowHeight="18.2"/>
  <sheetData>
    <row r="2" spans="1:4">
      <c r="A2" s="481"/>
      <c r="B2" s="482"/>
      <c r="C2" s="482"/>
      <c r="D2" s="482"/>
    </row>
    <row r="3" spans="1:4">
      <c r="A3" s="481"/>
      <c r="B3" s="482"/>
      <c r="C3" s="482"/>
      <c r="D3" s="482"/>
    </row>
    <row r="4" spans="1:4">
      <c r="A4" s="481"/>
      <c r="B4" s="482"/>
      <c r="C4" s="482"/>
      <c r="D4" s="482"/>
    </row>
    <row r="5" spans="1:4">
      <c r="A5" s="481"/>
      <c r="B5" s="482"/>
      <c r="C5" s="482"/>
      <c r="D5" s="482"/>
    </row>
    <row r="6" spans="1:4">
      <c r="A6" s="481"/>
      <c r="B6" s="482"/>
      <c r="C6" s="482"/>
      <c r="D6" s="482"/>
    </row>
    <row r="7" spans="1:4">
      <c r="A7" s="481"/>
      <c r="B7" s="482"/>
      <c r="C7" s="482"/>
      <c r="D7" s="482"/>
    </row>
    <row r="8" spans="1:4">
      <c r="A8" s="481"/>
      <c r="B8" s="482"/>
      <c r="C8" s="482"/>
      <c r="D8" s="482"/>
    </row>
    <row r="9" spans="1:4">
      <c r="A9" s="481"/>
      <c r="B9" s="482"/>
      <c r="C9" s="482"/>
      <c r="D9" s="482"/>
    </row>
    <row r="10" spans="1:4">
      <c r="A10" s="481"/>
      <c r="B10" s="482"/>
      <c r="C10" s="482"/>
      <c r="D10" s="482"/>
    </row>
    <row r="11" spans="1:4">
      <c r="A11" s="481"/>
      <c r="B11" s="482"/>
      <c r="C11" s="482"/>
      <c r="D11" s="482"/>
    </row>
    <row r="12" spans="1:4">
      <c r="A12" s="481"/>
      <c r="B12" s="482"/>
      <c r="C12" s="482"/>
      <c r="D12" s="482"/>
    </row>
    <row r="13" spans="1:4">
      <c r="A13" s="481"/>
      <c r="B13" s="482"/>
      <c r="C13" s="482"/>
      <c r="D13" s="482"/>
    </row>
    <row r="14" spans="1:4">
      <c r="A14" s="481"/>
      <c r="B14" s="482"/>
      <c r="C14" s="482"/>
      <c r="D14" s="482"/>
    </row>
    <row r="15" spans="1:4">
      <c r="A15" s="481"/>
      <c r="B15" s="482"/>
      <c r="C15" s="482"/>
      <c r="D15" s="482"/>
    </row>
    <row r="16" spans="1:4">
      <c r="A16" s="481"/>
      <c r="B16" s="482"/>
      <c r="C16" s="482"/>
      <c r="D16" s="482"/>
    </row>
    <row r="17" spans="1:4">
      <c r="A17" s="481"/>
      <c r="B17" s="482"/>
      <c r="C17" s="482"/>
      <c r="D17" s="482"/>
    </row>
    <row r="18" spans="1:4">
      <c r="A18" s="481"/>
      <c r="B18" s="482"/>
      <c r="C18" s="482"/>
      <c r="D18" s="482"/>
    </row>
    <row r="19" spans="1:4">
      <c r="A19" s="481"/>
      <c r="B19" s="482"/>
      <c r="C19" s="482"/>
      <c r="D19" s="482"/>
    </row>
    <row r="20" spans="1:4">
      <c r="A20" s="481"/>
      <c r="B20" s="482"/>
      <c r="C20" s="482"/>
      <c r="D20" s="482"/>
    </row>
    <row r="21" spans="1:4">
      <c r="A21" s="481"/>
      <c r="B21" s="482"/>
      <c r="C21" s="482"/>
      <c r="D21" s="482"/>
    </row>
    <row r="22" spans="1:4">
      <c r="A22" s="481"/>
      <c r="B22" s="482"/>
      <c r="C22" s="482"/>
      <c r="D22" s="482"/>
    </row>
    <row r="23" spans="1:4">
      <c r="A23" s="481"/>
      <c r="B23" s="482"/>
      <c r="C23" s="482"/>
      <c r="D23" s="482"/>
    </row>
    <row r="24" spans="1:4">
      <c r="A24" s="481"/>
      <c r="B24" s="482"/>
      <c r="C24" s="482"/>
      <c r="D24" s="482"/>
    </row>
    <row r="25" spans="1:4">
      <c r="A25" s="481"/>
      <c r="B25" s="482"/>
      <c r="C25" s="482"/>
      <c r="D25" s="482"/>
    </row>
    <row r="26" spans="1:4">
      <c r="A26" s="481"/>
      <c r="B26" s="482"/>
      <c r="C26" s="482"/>
      <c r="D26" s="482"/>
    </row>
    <row r="27" spans="1:4">
      <c r="A27" s="481"/>
      <c r="B27" s="482"/>
      <c r="C27" s="482"/>
      <c r="D27" s="482"/>
    </row>
    <row r="28" spans="1:4">
      <c r="A28" s="481"/>
      <c r="B28" s="482"/>
      <c r="C28" s="482"/>
      <c r="D28" s="482"/>
    </row>
    <row r="29" spans="1:4">
      <c r="A29" s="481"/>
      <c r="B29" s="482"/>
      <c r="C29" s="482"/>
      <c r="D29" s="482"/>
    </row>
    <row r="30" spans="1:4">
      <c r="A30" s="481"/>
      <c r="B30" s="482"/>
      <c r="C30" s="482"/>
      <c r="D30" s="482"/>
    </row>
    <row r="31" spans="1:4">
      <c r="A31" s="481"/>
      <c r="B31" s="482"/>
      <c r="C31" s="482"/>
      <c r="D31" s="482"/>
    </row>
    <row r="32" spans="1:4">
      <c r="A32" s="481"/>
      <c r="B32" s="482"/>
      <c r="C32" s="482"/>
      <c r="D32" s="482"/>
    </row>
  </sheetData>
  <phoneticPr fontId="156" type="noConversion"/>
  <pageMargins left="0" right="0" top="0.74803149606299213" bottom="0.74803149606299213" header="0.31496062992125984" footer="0.31496062992125984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>
      <selection activeCell="N13" sqref="N13"/>
    </sheetView>
  </sheetViews>
  <sheetFormatPr defaultRowHeight="18.2"/>
  <cols>
    <col min="1" max="1" width="7.09765625" style="483" customWidth="1"/>
    <col min="2" max="2" width="13.5" style="483" customWidth="1"/>
    <col min="3" max="3" width="11.796875" style="483" customWidth="1"/>
    <col min="4" max="7" width="16.09765625" style="483" customWidth="1"/>
    <col min="8" max="8" width="15.296875" style="483" customWidth="1"/>
    <col min="9" max="16384" width="8.796875" style="483"/>
  </cols>
  <sheetData/>
  <phoneticPr fontId="156" type="noConversion"/>
  <pageMargins left="0.11811023622047245" right="0.11811023622047245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28"/>
  <sheetViews>
    <sheetView workbookViewId="0">
      <selection activeCell="J17" sqref="J17"/>
    </sheetView>
  </sheetViews>
  <sheetFormatPr defaultColWidth="8.69921875" defaultRowHeight="18.2"/>
  <cols>
    <col min="1" max="1" width="15.19921875" style="13" customWidth="1"/>
    <col min="2" max="2" width="12" style="13" customWidth="1"/>
    <col min="3" max="3" width="9.09765625" style="13" customWidth="1"/>
    <col min="4" max="5" width="8.59765625" style="13" customWidth="1"/>
    <col min="6" max="6" width="11.09765625" style="13" customWidth="1"/>
    <col min="7" max="7" width="8.296875" style="13" customWidth="1"/>
    <col min="8" max="8" width="7" style="13" customWidth="1"/>
    <col min="9" max="9" width="6.3984375" style="13" customWidth="1"/>
    <col min="10" max="10" width="11.19921875" style="13" bestFit="1" customWidth="1"/>
    <col min="11" max="13" width="11.19921875" style="13" customWidth="1"/>
    <col min="14" max="14" width="10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22" width="9.19921875" style="13" bestFit="1" customWidth="1"/>
    <col min="23" max="23" width="8.69921875" style="13"/>
    <col min="24" max="24" width="10.296875" style="13" customWidth="1"/>
    <col min="25" max="25" width="9.296875" style="13" customWidth="1"/>
    <col min="26" max="26" width="9.59765625" style="13" bestFit="1" customWidth="1"/>
    <col min="27" max="27" width="8.69921875" style="13"/>
    <col min="28" max="28" width="9.69921875" style="13" customWidth="1"/>
    <col min="29" max="32" width="8.69921875" style="13"/>
    <col min="33" max="33" width="0.69921875" style="13" customWidth="1"/>
    <col min="34" max="34" width="9.796875" style="13" customWidth="1"/>
    <col min="35" max="38" width="8.69921875" style="13"/>
    <col min="39" max="39" width="4.5" style="13" customWidth="1"/>
    <col min="40" max="41" width="8" style="13" customWidth="1"/>
    <col min="42" max="43" width="7.796875" style="13" customWidth="1"/>
    <col min="44" max="44" width="7.8984375" style="13" customWidth="1"/>
    <col min="45" max="45" width="7.19921875" style="13" customWidth="1"/>
    <col min="46" max="46" width="6.5" style="13" customWidth="1"/>
    <col min="47" max="47" width="0.5" style="13" customWidth="1"/>
    <col min="48" max="48" width="8.69921875" style="13"/>
    <col min="49" max="50" width="7.59765625" style="13" customWidth="1"/>
    <col min="51" max="51" width="8.59765625" style="13" customWidth="1"/>
    <col min="52" max="52" width="7.59765625" style="13" customWidth="1"/>
    <col min="53" max="53" width="6.796875" style="13" customWidth="1"/>
    <col min="54" max="56" width="8.69921875" style="13"/>
    <col min="57" max="57" width="9.3984375" style="13" bestFit="1" customWidth="1"/>
    <col min="58" max="16384" width="8.69921875" style="13"/>
  </cols>
  <sheetData>
    <row r="1" spans="1:44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  <c r="W1" s="142"/>
      <c r="X1" s="46"/>
      <c r="Y1" s="42"/>
    </row>
    <row r="2" spans="1:44" ht="21" customHeight="1">
      <c r="A2" s="346"/>
      <c r="B2" s="346"/>
      <c r="C2" s="346"/>
      <c r="D2" s="346"/>
      <c r="E2" s="346"/>
      <c r="F2" s="346"/>
      <c r="G2" s="346"/>
      <c r="H2" s="346"/>
      <c r="I2" s="346"/>
      <c r="W2" s="142"/>
      <c r="X2" s="46"/>
      <c r="Y2" s="42"/>
    </row>
    <row r="3" spans="1:44">
      <c r="J3" s="14"/>
      <c r="K3" s="14"/>
      <c r="L3" s="14"/>
      <c r="M3" s="14"/>
      <c r="W3" s="142"/>
      <c r="X3" s="46"/>
      <c r="Y3" s="42"/>
      <c r="AM3" s="757" t="s">
        <v>229</v>
      </c>
      <c r="AN3" s="244" t="s">
        <v>230</v>
      </c>
      <c r="AO3" s="244" t="s">
        <v>231</v>
      </c>
      <c r="AP3" s="244" t="s">
        <v>232</v>
      </c>
    </row>
    <row r="4" spans="1:44">
      <c r="A4" s="15" t="s">
        <v>9</v>
      </c>
      <c r="H4" s="874" t="s">
        <v>374</v>
      </c>
      <c r="I4" s="875"/>
      <c r="N4" s="16"/>
      <c r="O4" s="81"/>
      <c r="W4" s="142"/>
      <c r="X4" s="48"/>
      <c r="Y4" s="42"/>
      <c r="AM4" s="758"/>
      <c r="AN4" s="734"/>
      <c r="AO4" s="734"/>
      <c r="AP4" s="734"/>
    </row>
    <row r="5" spans="1:44" ht="17.399999999999999" customHeight="1">
      <c r="A5" s="736" t="s">
        <v>10</v>
      </c>
      <c r="B5" s="738" t="s">
        <v>11</v>
      </c>
      <c r="C5" s="736" t="s">
        <v>12</v>
      </c>
      <c r="D5" s="740"/>
      <c r="E5" s="742" t="s">
        <v>39</v>
      </c>
      <c r="F5" s="743"/>
      <c r="G5" s="876" t="s">
        <v>314</v>
      </c>
      <c r="H5" s="747"/>
      <c r="I5" s="747"/>
      <c r="J5" s="75"/>
      <c r="K5" s="75"/>
      <c r="L5" s="75"/>
      <c r="M5" s="75"/>
      <c r="N5" s="17"/>
      <c r="O5" s="748"/>
      <c r="P5" s="748"/>
      <c r="Q5" s="748" t="s">
        <v>52</v>
      </c>
      <c r="R5" s="748"/>
      <c r="S5" s="349"/>
      <c r="T5" s="349"/>
      <c r="W5" s="142"/>
      <c r="X5" s="48"/>
      <c r="Y5" s="42"/>
      <c r="Z5" s="48"/>
      <c r="AM5" s="735"/>
      <c r="AN5" s="735"/>
      <c r="AO5" s="735"/>
      <c r="AP5" s="735"/>
    </row>
    <row r="6" spans="1:44" ht="18.8" thickBot="1">
      <c r="A6" s="737"/>
      <c r="B6" s="739"/>
      <c r="C6" s="737"/>
      <c r="D6" s="741"/>
      <c r="E6" s="744"/>
      <c r="F6" s="745"/>
      <c r="G6" s="87" t="s">
        <v>13</v>
      </c>
      <c r="H6" s="877" t="s">
        <v>377</v>
      </c>
      <c r="I6" s="750"/>
      <c r="N6" s="17"/>
      <c r="O6" s="349"/>
      <c r="P6" s="82"/>
      <c r="Q6" s="349" t="s">
        <v>51</v>
      </c>
      <c r="R6" s="82"/>
      <c r="S6" s="82"/>
      <c r="T6" s="82"/>
      <c r="W6" s="142"/>
      <c r="X6" s="42"/>
      <c r="Y6" s="42"/>
    </row>
    <row r="7" spans="1:44" ht="18.8" thickTop="1">
      <c r="A7" s="19" t="s">
        <v>14</v>
      </c>
      <c r="B7" s="20">
        <v>24</v>
      </c>
      <c r="C7" s="751">
        <v>1915.1</v>
      </c>
      <c r="D7" s="752"/>
      <c r="E7" s="753">
        <f>C7/B7</f>
        <v>79.795833333333334</v>
      </c>
      <c r="F7" s="754"/>
      <c r="G7" s="88"/>
      <c r="H7" s="755"/>
      <c r="I7" s="755"/>
      <c r="J7" s="13">
        <f>50/60</f>
        <v>0.83333333333333337</v>
      </c>
      <c r="N7" s="272" t="s">
        <v>255</v>
      </c>
      <c r="O7" s="273" t="s">
        <v>256</v>
      </c>
      <c r="P7" s="22"/>
      <c r="Q7" s="17">
        <v>2191718</v>
      </c>
      <c r="R7" s="17"/>
      <c r="S7" s="17"/>
      <c r="U7" s="222" t="s">
        <v>179</v>
      </c>
      <c r="V7" s="145"/>
      <c r="W7" s="143"/>
      <c r="X7" s="42"/>
      <c r="Y7" s="42"/>
    </row>
    <row r="8" spans="1:44">
      <c r="A8" s="23" t="s">
        <v>15</v>
      </c>
      <c r="B8" s="74">
        <f>24+8.83+24+10+9.6+9.8+9.66+9.67+9.83+24+9.67+9.66+6.16+9.66+9.66+9.66+24+14.8+14.8+14.8+14.8+14.8+14.8+24+11.16+14.8+14.83+14.8+14.84+14.8+24</f>
        <v>439.89000000000004</v>
      </c>
      <c r="C8" s="769">
        <f>25836.2+894+1187+1201+1181+1189+1178+1915</f>
        <v>34581.199999999997</v>
      </c>
      <c r="D8" s="770"/>
      <c r="E8" s="771">
        <f>C8/B8</f>
        <v>78.613289686057868</v>
      </c>
      <c r="F8" s="772"/>
      <c r="G8" s="86">
        <v>43148</v>
      </c>
      <c r="H8" s="773">
        <v>34581</v>
      </c>
      <c r="I8" s="773"/>
      <c r="N8" s="83"/>
      <c r="O8" s="84"/>
      <c r="P8" s="22"/>
      <c r="Q8" s="14"/>
      <c r="T8" s="219">
        <f>SUM(T9:T11)</f>
        <v>1698.9997850000011</v>
      </c>
      <c r="U8" s="219">
        <f>SUM(U9:U11)</f>
        <v>291</v>
      </c>
      <c r="W8" s="143"/>
      <c r="X8" s="48"/>
      <c r="Y8" s="42"/>
      <c r="AP8" s="13">
        <v>86200</v>
      </c>
      <c r="AQ8" s="13">
        <v>846</v>
      </c>
      <c r="AR8" s="13">
        <f>AQ8*AP8/10000</f>
        <v>7292.52</v>
      </c>
    </row>
    <row r="9" spans="1:44">
      <c r="A9" s="23" t="s">
        <v>16</v>
      </c>
      <c r="B9" s="24">
        <f>293.8+241.3+439.9</f>
        <v>975</v>
      </c>
      <c r="C9" s="774">
        <f>23200+18384+34581</f>
        <v>76165</v>
      </c>
      <c r="D9" s="775"/>
      <c r="E9" s="771">
        <f>C9/B9</f>
        <v>78.117948717948721</v>
      </c>
      <c r="F9" s="772"/>
      <c r="G9" s="21"/>
      <c r="H9" s="776"/>
      <c r="I9" s="777"/>
      <c r="N9" s="83">
        <f>749/73.65</f>
        <v>10.169721656483366</v>
      </c>
      <c r="O9" s="85"/>
      <c r="P9" s="22"/>
      <c r="Q9" s="123"/>
      <c r="S9" s="353" t="s">
        <v>379</v>
      </c>
      <c r="T9" s="219">
        <v>120</v>
      </c>
      <c r="U9" s="216"/>
      <c r="V9" s="207"/>
      <c r="W9" s="143"/>
      <c r="X9" s="48"/>
      <c r="Y9" s="42"/>
      <c r="Z9" s="144"/>
      <c r="AP9" s="13">
        <v>90700</v>
      </c>
      <c r="AQ9" s="13">
        <v>924</v>
      </c>
      <c r="AR9" s="13">
        <f>AQ9*AP9/10000</f>
        <v>8380.68</v>
      </c>
    </row>
    <row r="10" spans="1:44">
      <c r="A10" s="351" t="s">
        <v>375</v>
      </c>
      <c r="B10" s="25"/>
      <c r="F10" s="27"/>
      <c r="G10" s="27"/>
      <c r="H10" s="28"/>
      <c r="I10" s="28"/>
      <c r="N10" s="276"/>
      <c r="O10" s="85"/>
      <c r="P10" s="22"/>
      <c r="Q10" s="14"/>
      <c r="T10" s="219">
        <v>956</v>
      </c>
      <c r="U10" s="216">
        <v>915</v>
      </c>
      <c r="V10" s="379" t="s">
        <v>396</v>
      </c>
      <c r="W10" s="143"/>
      <c r="X10" s="48"/>
      <c r="Y10" s="42"/>
      <c r="AP10" s="13">
        <f>SUM(AP8:AP9)</f>
        <v>176900</v>
      </c>
      <c r="AQ10" s="13">
        <v>88700</v>
      </c>
      <c r="AR10" s="13">
        <f>SUM(AR8:AR9)</f>
        <v>15673.2</v>
      </c>
    </row>
    <row r="11" spans="1:44" ht="10.8" customHeight="1">
      <c r="A11" s="236"/>
      <c r="B11" s="25"/>
      <c r="C11" s="26"/>
      <c r="D11" s="26"/>
      <c r="E11" s="26"/>
      <c r="F11" s="27"/>
      <c r="G11" s="106"/>
      <c r="H11" s="28"/>
      <c r="I11" s="28"/>
      <c r="N11" s="91"/>
      <c r="O11" s="85"/>
      <c r="P11" s="22"/>
      <c r="Q11" s="14"/>
      <c r="T11" s="219">
        <f>T33</f>
        <v>622.99978500000111</v>
      </c>
      <c r="U11" s="216">
        <v>-624</v>
      </c>
      <c r="V11" s="379" t="s">
        <v>397</v>
      </c>
      <c r="W11" s="141"/>
      <c r="X11" s="48"/>
      <c r="Y11" s="42"/>
    </row>
    <row r="12" spans="1:44">
      <c r="A12" s="31" t="s">
        <v>17</v>
      </c>
      <c r="J12" s="32"/>
      <c r="K12" s="32"/>
      <c r="L12" s="32"/>
      <c r="M12" s="32"/>
      <c r="N12" s="146">
        <v>856</v>
      </c>
      <c r="O12" s="29">
        <v>56.1</v>
      </c>
      <c r="P12" s="102">
        <v>10</v>
      </c>
      <c r="Q12" s="13">
        <f>P12*O12</f>
        <v>561</v>
      </c>
      <c r="T12" s="219">
        <v>-350</v>
      </c>
      <c r="U12" s="219">
        <v>-624</v>
      </c>
      <c r="V12" s="257" t="s">
        <v>184</v>
      </c>
      <c r="W12" s="141"/>
      <c r="X12" s="42"/>
      <c r="Y12" s="42"/>
    </row>
    <row r="13" spans="1:44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N13" s="146">
        <v>924</v>
      </c>
      <c r="O13" s="29">
        <v>78.599999999999994</v>
      </c>
      <c r="P13" s="102">
        <v>8</v>
      </c>
      <c r="Q13" s="13">
        <f t="shared" ref="Q13:Q14" si="0">P13*O13</f>
        <v>628.79999999999995</v>
      </c>
      <c r="T13" s="92">
        <v>183</v>
      </c>
      <c r="U13" s="51"/>
      <c r="V13" s="257" t="s">
        <v>237</v>
      </c>
      <c r="W13" s="141"/>
      <c r="X13" s="42"/>
      <c r="Y13" s="42"/>
    </row>
    <row r="14" spans="1:44" ht="18.8" thickBot="1">
      <c r="A14" s="762"/>
      <c r="B14" s="347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18"/>
      <c r="L14" s="18"/>
      <c r="M14" s="18"/>
      <c r="N14" s="146">
        <v>78</v>
      </c>
      <c r="O14" s="29">
        <v>109.3</v>
      </c>
      <c r="P14" s="102">
        <v>6</v>
      </c>
      <c r="Q14" s="13">
        <f t="shared" si="0"/>
        <v>655.8</v>
      </c>
      <c r="T14" s="92">
        <v>-29</v>
      </c>
      <c r="U14" s="51"/>
      <c r="V14" s="257" t="s">
        <v>236</v>
      </c>
      <c r="W14" s="287"/>
      <c r="X14" s="42"/>
      <c r="Y14" s="42"/>
    </row>
    <row r="15" spans="1:44" ht="18.8" thickTop="1">
      <c r="A15" s="19" t="s">
        <v>14</v>
      </c>
      <c r="B15" s="37">
        <v>68040</v>
      </c>
      <c r="C15" s="771">
        <f>(B15/C7)</f>
        <v>35.528170852696988</v>
      </c>
      <c r="D15" s="772"/>
      <c r="E15" s="779">
        <v>10513</v>
      </c>
      <c r="F15" s="779"/>
      <c r="G15" s="780">
        <f>E15/C7</f>
        <v>5.4895305728160411</v>
      </c>
      <c r="H15" s="780"/>
      <c r="I15" s="780"/>
      <c r="J15" s="338"/>
      <c r="K15" s="338"/>
      <c r="L15" s="338"/>
      <c r="M15" s="338"/>
      <c r="N15" s="147">
        <f>SUM(N12:N14)</f>
        <v>1858</v>
      </c>
      <c r="O15" s="147">
        <f>Q15/P15</f>
        <v>76.899999999999991</v>
      </c>
      <c r="P15" s="34">
        <f t="shared" ref="P15:Q15" si="1">SUM(P12:P14)</f>
        <v>24</v>
      </c>
      <c r="Q15" s="33">
        <f t="shared" si="1"/>
        <v>1845.6</v>
      </c>
      <c r="T15" s="92">
        <f>143+39</f>
        <v>182</v>
      </c>
      <c r="W15" s="51"/>
    </row>
    <row r="16" spans="1:44">
      <c r="A16" s="23" t="s">
        <v>15</v>
      </c>
      <c r="B16" s="38">
        <f>994800+44580+44220+43440+43260+42120+68040</f>
        <v>1280460</v>
      </c>
      <c r="C16" s="771">
        <f>B16/C8</f>
        <v>37.027633511850375</v>
      </c>
      <c r="D16" s="772"/>
      <c r="E16" s="781">
        <f>109501+6831+5797+7209+5919+10233+5085+6638+6526+6611+6554+6354+10513</f>
        <v>193771</v>
      </c>
      <c r="F16" s="781"/>
      <c r="G16" s="782">
        <f>E16/C8</f>
        <v>5.603362520675975</v>
      </c>
      <c r="H16" s="782"/>
      <c r="I16" s="782"/>
      <c r="N16" s="33"/>
      <c r="O16" s="33"/>
      <c r="P16" s="33"/>
      <c r="Q16" s="33"/>
      <c r="T16" s="216">
        <v>692</v>
      </c>
      <c r="U16" s="117">
        <v>416</v>
      </c>
      <c r="V16" s="284" t="s">
        <v>265</v>
      </c>
    </row>
    <row r="17" spans="1:53" ht="21.3">
      <c r="A17" s="23" t="s">
        <v>16</v>
      </c>
      <c r="B17" s="39">
        <f>882900+727883+1280460</f>
        <v>2891243</v>
      </c>
      <c r="C17" s="797">
        <f>B17/C9</f>
        <v>37.960257336046737</v>
      </c>
      <c r="D17" s="798"/>
      <c r="E17" s="799">
        <f>134461+110345+193771</f>
        <v>438577</v>
      </c>
      <c r="F17" s="799"/>
      <c r="G17" s="800">
        <f>E17/C9</f>
        <v>5.7582485393553471</v>
      </c>
      <c r="H17" s="800"/>
      <c r="I17" s="800"/>
      <c r="L17" s="13">
        <v>2470</v>
      </c>
      <c r="N17" s="289" t="s">
        <v>267</v>
      </c>
      <c r="O17" s="33"/>
      <c r="T17" s="92">
        <v>26</v>
      </c>
      <c r="U17" s="92"/>
      <c r="V17" s="288" t="s">
        <v>268</v>
      </c>
      <c r="AB17" s="854" t="s">
        <v>225</v>
      </c>
      <c r="AC17" s="854"/>
      <c r="AD17" s="854"/>
      <c r="AE17" s="854"/>
      <c r="AO17" s="868" t="s">
        <v>241</v>
      </c>
      <c r="AP17" s="868"/>
      <c r="AQ17" s="868"/>
      <c r="AR17" s="868"/>
      <c r="AS17" s="868"/>
    </row>
    <row r="18" spans="1:53">
      <c r="A18" s="314" t="s">
        <v>286</v>
      </c>
      <c r="J18" s="41"/>
      <c r="K18" s="41"/>
      <c r="L18" s="41">
        <v>510</v>
      </c>
      <c r="M18" s="41"/>
      <c r="N18" s="42"/>
      <c r="Q18" s="133"/>
      <c r="T18" s="219">
        <v>-483</v>
      </c>
      <c r="U18" s="219">
        <v>-328</v>
      </c>
      <c r="V18" s="288" t="s">
        <v>268</v>
      </c>
    </row>
    <row r="19" spans="1:53">
      <c r="A19" s="186" t="s">
        <v>145</v>
      </c>
      <c r="J19" s="43"/>
      <c r="K19" s="43"/>
      <c r="L19" s="43">
        <f>SUM(L17:L18)</f>
        <v>2980</v>
      </c>
      <c r="M19" s="43"/>
      <c r="N19" s="125"/>
      <c r="O19" s="42"/>
      <c r="P19" s="42"/>
      <c r="Q19" s="292"/>
      <c r="T19" s="219">
        <v>-150</v>
      </c>
      <c r="U19" s="219">
        <f>P30</f>
        <v>-131.65</v>
      </c>
      <c r="V19" s="318" t="s">
        <v>326</v>
      </c>
    </row>
    <row r="20" spans="1:53" ht="12.05" customHeight="1">
      <c r="A20" s="40"/>
      <c r="B20" s="44"/>
      <c r="C20" s="36"/>
      <c r="D20" s="36"/>
      <c r="E20" s="36"/>
      <c r="F20" s="36"/>
      <c r="J20" s="45"/>
      <c r="K20" s="45"/>
      <c r="L20" s="45"/>
      <c r="M20" s="45"/>
      <c r="N20" s="169"/>
      <c r="O20" s="42">
        <f>17750*1.0032</f>
        <v>17806.800000000003</v>
      </c>
      <c r="P20" s="42">
        <v>17750</v>
      </c>
      <c r="Q20" s="320">
        <f>P20-O20</f>
        <v>-56.80000000000291</v>
      </c>
      <c r="R20" s="46">
        <v>312</v>
      </c>
      <c r="T20" s="219">
        <v>70</v>
      </c>
      <c r="U20" s="219"/>
      <c r="V20" s="318" t="s">
        <v>327</v>
      </c>
      <c r="AB20" s="32" t="s">
        <v>222</v>
      </c>
      <c r="AH20" s="32" t="s">
        <v>224</v>
      </c>
      <c r="AO20" s="32" t="s">
        <v>222</v>
      </c>
      <c r="AP20" s="32"/>
      <c r="AV20" s="32" t="s">
        <v>224</v>
      </c>
      <c r="AW20" s="32"/>
    </row>
    <row r="21" spans="1:53">
      <c r="A21" s="15" t="s">
        <v>49</v>
      </c>
      <c r="J21" s="43"/>
      <c r="K21" s="43"/>
      <c r="L21" s="43"/>
      <c r="M21" s="43"/>
      <c r="N21" s="295"/>
      <c r="O21" s="320">
        <f>18750*1.003</f>
        <v>18806.249999999996</v>
      </c>
      <c r="P21" s="321">
        <f>P20</f>
        <v>17750</v>
      </c>
      <c r="Q21" s="320">
        <f>P21-O21</f>
        <v>-1056.2499999999964</v>
      </c>
      <c r="R21" s="329">
        <v>159</v>
      </c>
      <c r="T21" s="219">
        <v>150</v>
      </c>
      <c r="U21" s="219"/>
      <c r="V21" s="318" t="s">
        <v>328</v>
      </c>
      <c r="X21" s="291"/>
      <c r="AB21" s="225" t="s">
        <v>153</v>
      </c>
      <c r="AC21" s="225" t="s">
        <v>217</v>
      </c>
      <c r="AD21" s="225" t="s">
        <v>218</v>
      </c>
      <c r="AE21" s="225" t="s">
        <v>219</v>
      </c>
      <c r="AF21" s="225" t="s">
        <v>31</v>
      </c>
      <c r="AH21" s="225" t="s">
        <v>153</v>
      </c>
      <c r="AI21" s="225" t="s">
        <v>217</v>
      </c>
      <c r="AJ21" s="225" t="s">
        <v>218</v>
      </c>
      <c r="AK21" s="225" t="s">
        <v>219</v>
      </c>
      <c r="AL21" s="225" t="s">
        <v>31</v>
      </c>
      <c r="AO21" s="869" t="s">
        <v>153</v>
      </c>
      <c r="AP21" s="871" t="s">
        <v>251</v>
      </c>
      <c r="AQ21" s="871" t="s">
        <v>252</v>
      </c>
      <c r="AR21" s="871" t="s">
        <v>254</v>
      </c>
      <c r="AS21" s="871" t="s">
        <v>253</v>
      </c>
      <c r="AT21" s="749" t="s">
        <v>245</v>
      </c>
      <c r="AV21" s="869" t="s">
        <v>153</v>
      </c>
      <c r="AW21" s="871" t="s">
        <v>251</v>
      </c>
      <c r="AX21" s="871" t="s">
        <v>252</v>
      </c>
      <c r="AY21" s="871" t="s">
        <v>254</v>
      </c>
      <c r="AZ21" s="871" t="s">
        <v>253</v>
      </c>
      <c r="BA21" s="749" t="s">
        <v>245</v>
      </c>
    </row>
    <row r="22" spans="1:53" ht="15.65" customHeight="1">
      <c r="A22" s="761" t="s">
        <v>0</v>
      </c>
      <c r="B22" s="738" t="s">
        <v>24</v>
      </c>
      <c r="C22" s="736" t="s">
        <v>25</v>
      </c>
      <c r="D22" s="740"/>
      <c r="E22" s="736" t="s">
        <v>26</v>
      </c>
      <c r="F22" s="740"/>
      <c r="G22" s="766" t="s">
        <v>27</v>
      </c>
      <c r="H22" s="766"/>
      <c r="I22" s="766"/>
      <c r="J22" s="47"/>
      <c r="K22" s="47"/>
      <c r="L22" s="47"/>
      <c r="M22" s="47"/>
      <c r="N22" s="354" t="s">
        <v>378</v>
      </c>
      <c r="O22" s="320">
        <f>44650*1.0024</f>
        <v>44757.159999999996</v>
      </c>
      <c r="P22" s="321">
        <v>44900</v>
      </c>
      <c r="Q22" s="320">
        <f>P22-O22</f>
        <v>142.84000000000378</v>
      </c>
      <c r="R22" s="330">
        <v>2980</v>
      </c>
      <c r="T22" s="92">
        <v>340</v>
      </c>
      <c r="U22" s="92">
        <v>95</v>
      </c>
      <c r="V22" s="318" t="s">
        <v>327</v>
      </c>
      <c r="X22" s="291"/>
      <c r="AB22" s="226" t="s">
        <v>190</v>
      </c>
      <c r="AC22" s="345">
        <v>0</v>
      </c>
      <c r="AD22" s="345">
        <v>0</v>
      </c>
      <c r="AE22" s="345">
        <v>0</v>
      </c>
      <c r="AF22" s="345">
        <f>SUM(AC22:AE22)</f>
        <v>0</v>
      </c>
      <c r="AH22" s="226" t="s">
        <v>190</v>
      </c>
      <c r="AI22" s="345">
        <v>0</v>
      </c>
      <c r="AJ22" s="345">
        <v>0</v>
      </c>
      <c r="AK22" s="345">
        <v>0</v>
      </c>
      <c r="AL22" s="345">
        <f>SUM(AI22:AK22)</f>
        <v>0</v>
      </c>
      <c r="AO22" s="870"/>
      <c r="AP22" s="872"/>
      <c r="AQ22" s="873"/>
      <c r="AR22" s="873"/>
      <c r="AS22" s="873"/>
      <c r="AT22" s="873"/>
      <c r="AV22" s="870"/>
      <c r="AW22" s="872"/>
      <c r="AX22" s="873"/>
      <c r="AY22" s="873"/>
      <c r="AZ22" s="873"/>
      <c r="BA22" s="873"/>
    </row>
    <row r="23" spans="1:53" ht="15.65" customHeight="1" thickBot="1">
      <c r="A23" s="778"/>
      <c r="B23" s="739"/>
      <c r="C23" s="737"/>
      <c r="D23" s="741"/>
      <c r="E23" s="737"/>
      <c r="F23" s="741"/>
      <c r="G23" s="89" t="s">
        <v>53</v>
      </c>
      <c r="H23" s="89" t="s">
        <v>54</v>
      </c>
      <c r="I23" s="89" t="s">
        <v>55</v>
      </c>
      <c r="J23" s="47"/>
      <c r="K23" s="47"/>
      <c r="L23" s="47"/>
      <c r="M23" s="47"/>
      <c r="N23" s="135"/>
      <c r="O23" s="320">
        <f>252000*1.003</f>
        <v>252755.99999999997</v>
      </c>
      <c r="P23" s="321">
        <v>253000</v>
      </c>
      <c r="Q23" s="320">
        <f>P23-O23</f>
        <v>244.0000000000291</v>
      </c>
      <c r="R23" s="330">
        <v>191</v>
      </c>
      <c r="S23" s="48"/>
      <c r="T23" s="92">
        <v>5</v>
      </c>
      <c r="U23" s="51"/>
      <c r="V23" s="288" t="s">
        <v>268</v>
      </c>
      <c r="X23" s="291"/>
      <c r="AB23" s="226" t="s">
        <v>191</v>
      </c>
      <c r="AC23" s="345">
        <v>7.7</v>
      </c>
      <c r="AD23" s="345">
        <v>0</v>
      </c>
      <c r="AE23" s="345">
        <v>0</v>
      </c>
      <c r="AF23" s="345">
        <f t="shared" ref="AB23:AF52" si="2">SUM(AC23:AE23)</f>
        <v>7.7</v>
      </c>
      <c r="AH23" s="226" t="s">
        <v>191</v>
      </c>
      <c r="AI23" s="345">
        <v>10</v>
      </c>
      <c r="AJ23" s="345">
        <v>8</v>
      </c>
      <c r="AK23" s="345">
        <v>6</v>
      </c>
      <c r="AL23" s="345">
        <f t="shared" ref="AL23:AL33" si="3">SUM(AI23:AK23)</f>
        <v>24</v>
      </c>
      <c r="AO23" s="226" t="s">
        <v>191</v>
      </c>
      <c r="AP23" s="229">
        <v>7.7</v>
      </c>
      <c r="AQ23" s="274">
        <v>6.31</v>
      </c>
      <c r="AR23" s="345">
        <v>700</v>
      </c>
      <c r="AS23" s="345">
        <v>77</v>
      </c>
      <c r="AT23" s="274">
        <v>5.3</v>
      </c>
      <c r="AV23" s="226" t="s">
        <v>191</v>
      </c>
      <c r="AW23" s="229">
        <v>24</v>
      </c>
      <c r="AX23" s="274">
        <v>7.17</v>
      </c>
      <c r="AY23" s="345">
        <v>650</v>
      </c>
      <c r="AZ23" s="345">
        <v>79</v>
      </c>
      <c r="BA23" s="274">
        <v>5.99</v>
      </c>
    </row>
    <row r="24" spans="1:53" ht="16.75" customHeight="1" thickTop="1">
      <c r="A24" s="95" t="s">
        <v>57</v>
      </c>
      <c r="B24" s="783">
        <v>4864</v>
      </c>
      <c r="C24" s="785">
        <v>675</v>
      </c>
      <c r="D24" s="786"/>
      <c r="E24" s="787"/>
      <c r="F24" s="788"/>
      <c r="G24" s="791">
        <v>5346</v>
      </c>
      <c r="H24" s="793">
        <f>B24+C24+C25-E24</f>
        <v>5539</v>
      </c>
      <c r="I24" s="793">
        <f>G24-H24</f>
        <v>-193</v>
      </c>
      <c r="O24" s="320">
        <f>19000*1.0035</f>
        <v>19066.5</v>
      </c>
      <c r="P24" s="320">
        <f>P21</f>
        <v>17750</v>
      </c>
      <c r="Q24" s="320">
        <f>P24-O24</f>
        <v>-1316.5</v>
      </c>
      <c r="R24" s="330">
        <v>1000</v>
      </c>
      <c r="S24" s="48"/>
      <c r="T24" s="92">
        <f>P27+P26</f>
        <v>-18.566535000000034</v>
      </c>
      <c r="U24" s="51"/>
      <c r="V24" s="318" t="s">
        <v>326</v>
      </c>
      <c r="X24" s="291"/>
      <c r="AB24" s="226" t="s">
        <v>192</v>
      </c>
      <c r="AC24" s="345">
        <v>10</v>
      </c>
      <c r="AD24" s="345">
        <v>3.8</v>
      </c>
      <c r="AE24" s="345">
        <v>2</v>
      </c>
      <c r="AF24" s="345">
        <f t="shared" si="2"/>
        <v>15.8</v>
      </c>
      <c r="AH24" s="226" t="s">
        <v>192</v>
      </c>
      <c r="AI24" s="345">
        <v>10</v>
      </c>
      <c r="AJ24" s="345">
        <v>8</v>
      </c>
      <c r="AK24" s="345">
        <v>6</v>
      </c>
      <c r="AL24" s="345">
        <f t="shared" si="3"/>
        <v>24</v>
      </c>
      <c r="AO24" s="226" t="s">
        <v>192</v>
      </c>
      <c r="AP24" s="229">
        <v>15.8</v>
      </c>
      <c r="AQ24" s="274">
        <v>5.93</v>
      </c>
      <c r="AR24" s="345">
        <v>700</v>
      </c>
      <c r="AS24" s="345">
        <v>78</v>
      </c>
      <c r="AT24" s="274">
        <v>5.64</v>
      </c>
      <c r="AV24" s="226" t="s">
        <v>192</v>
      </c>
      <c r="AW24" s="229">
        <v>24</v>
      </c>
      <c r="AX24" s="274">
        <v>7.15</v>
      </c>
      <c r="AY24" s="345">
        <v>700</v>
      </c>
      <c r="AZ24" s="345">
        <v>83</v>
      </c>
      <c r="BA24" s="274">
        <v>6.19</v>
      </c>
    </row>
    <row r="25" spans="1:53" ht="16.75" customHeight="1">
      <c r="A25" s="96" t="s">
        <v>58</v>
      </c>
      <c r="B25" s="784"/>
      <c r="C25" s="795"/>
      <c r="D25" s="796"/>
      <c r="E25" s="789"/>
      <c r="F25" s="790"/>
      <c r="G25" s="792"/>
      <c r="H25" s="794"/>
      <c r="I25" s="794"/>
      <c r="N25" s="49"/>
      <c r="O25" s="320"/>
      <c r="P25" s="320"/>
      <c r="Q25" s="320"/>
      <c r="R25" s="320">
        <f>SUM(R22:R24)</f>
        <v>4171</v>
      </c>
      <c r="S25" s="137"/>
      <c r="T25" s="92">
        <v>14</v>
      </c>
      <c r="U25" s="92">
        <v>25</v>
      </c>
      <c r="V25" s="326" t="s">
        <v>337</v>
      </c>
      <c r="X25" s="291"/>
      <c r="AB25" s="226" t="s">
        <v>193</v>
      </c>
      <c r="AC25" s="345">
        <v>10</v>
      </c>
      <c r="AD25" s="345">
        <v>3</v>
      </c>
      <c r="AE25" s="345">
        <v>2</v>
      </c>
      <c r="AF25" s="345">
        <f t="shared" si="2"/>
        <v>15</v>
      </c>
      <c r="AH25" s="226" t="s">
        <v>193</v>
      </c>
      <c r="AI25" s="345">
        <v>10</v>
      </c>
      <c r="AJ25" s="345">
        <v>8</v>
      </c>
      <c r="AK25" s="345">
        <v>2.4</v>
      </c>
      <c r="AL25" s="345">
        <f t="shared" si="3"/>
        <v>20.399999999999999</v>
      </c>
      <c r="AO25" s="226" t="s">
        <v>193</v>
      </c>
      <c r="AP25" s="229">
        <v>15</v>
      </c>
      <c r="AQ25" s="274">
        <v>7.05</v>
      </c>
      <c r="AR25" s="345">
        <v>700</v>
      </c>
      <c r="AS25" s="345">
        <v>75</v>
      </c>
      <c r="AT25" s="274">
        <v>5.79</v>
      </c>
      <c r="AV25" s="226" t="s">
        <v>193</v>
      </c>
      <c r="AW25" s="229">
        <v>20.399999999999999</v>
      </c>
      <c r="AX25" s="274">
        <v>7.14</v>
      </c>
      <c r="AY25" s="345">
        <v>700</v>
      </c>
      <c r="AZ25" s="345">
        <v>79</v>
      </c>
      <c r="BA25" s="274">
        <v>6.22</v>
      </c>
    </row>
    <row r="26" spans="1:53" ht="16.75" customHeight="1">
      <c r="A26" s="97" t="s">
        <v>59</v>
      </c>
      <c r="B26" s="811">
        <v>3319</v>
      </c>
      <c r="C26" s="813">
        <v>1240</v>
      </c>
      <c r="D26" s="814"/>
      <c r="E26" s="815"/>
      <c r="F26" s="816"/>
      <c r="G26" s="801">
        <f>4091+250</f>
        <v>4341</v>
      </c>
      <c r="H26" s="803">
        <f>B26+C26+C27-E26-E28</f>
        <v>4363</v>
      </c>
      <c r="I26" s="803">
        <f>G26-H26</f>
        <v>-22</v>
      </c>
      <c r="J26" s="50"/>
      <c r="K26" s="50"/>
      <c r="L26" s="50"/>
      <c r="M26" s="50"/>
      <c r="N26" s="60"/>
      <c r="O26" s="188">
        <f>P20*R20/10000</f>
        <v>553.79999999999995</v>
      </c>
      <c r="P26" s="323">
        <f>Q20*R20/10000</f>
        <v>-1.7721600000000908</v>
      </c>
      <c r="Q26" s="292"/>
      <c r="R26" s="129"/>
      <c r="S26" s="129"/>
      <c r="T26" s="92">
        <v>-51</v>
      </c>
      <c r="U26" s="51"/>
      <c r="V26" s="326" t="s">
        <v>328</v>
      </c>
      <c r="X26" s="291"/>
      <c r="AB26" s="226" t="s">
        <v>194</v>
      </c>
      <c r="AC26" s="345">
        <v>10</v>
      </c>
      <c r="AD26" s="345">
        <v>3.7</v>
      </c>
      <c r="AE26" s="345">
        <v>2</v>
      </c>
      <c r="AF26" s="345">
        <f t="shared" si="2"/>
        <v>15.7</v>
      </c>
      <c r="AH26" s="226" t="s">
        <v>194</v>
      </c>
      <c r="AI26" s="345">
        <v>10</v>
      </c>
      <c r="AJ26" s="345">
        <v>7.5</v>
      </c>
      <c r="AK26" s="345">
        <v>6</v>
      </c>
      <c r="AL26" s="345">
        <f t="shared" si="3"/>
        <v>23.5</v>
      </c>
      <c r="AO26" s="226" t="s">
        <v>194</v>
      </c>
      <c r="AP26" s="229">
        <v>15.7</v>
      </c>
      <c r="AQ26" s="274">
        <v>6.56</v>
      </c>
      <c r="AR26" s="345">
        <v>700</v>
      </c>
      <c r="AS26" s="345">
        <v>77</v>
      </c>
      <c r="AT26" s="274">
        <v>5.58</v>
      </c>
      <c r="AV26" s="226" t="s">
        <v>194</v>
      </c>
      <c r="AW26" s="229">
        <v>23.5</v>
      </c>
      <c r="AX26" s="274">
        <v>7.1</v>
      </c>
      <c r="AY26" s="345">
        <v>700</v>
      </c>
      <c r="AZ26" s="345">
        <v>79</v>
      </c>
      <c r="BA26" s="274">
        <v>6.02</v>
      </c>
    </row>
    <row r="27" spans="1:53" ht="16.75" customHeight="1">
      <c r="A27" s="174" t="s">
        <v>60</v>
      </c>
      <c r="B27" s="812"/>
      <c r="C27" s="819"/>
      <c r="D27" s="820"/>
      <c r="E27" s="817"/>
      <c r="F27" s="818"/>
      <c r="G27" s="802"/>
      <c r="H27" s="804"/>
      <c r="I27" s="804"/>
      <c r="J27" s="50"/>
      <c r="K27" s="328" t="s">
        <v>336</v>
      </c>
      <c r="L27" s="50"/>
      <c r="M27" s="50"/>
      <c r="O27" s="188">
        <f>P21*R21/10000</f>
        <v>282.22500000000002</v>
      </c>
      <c r="P27" s="323">
        <f>Q21*R21/10000</f>
        <v>-16.794374999999942</v>
      </c>
      <c r="R27" s="130"/>
      <c r="S27" s="35"/>
      <c r="T27" s="92">
        <f>P28</f>
        <v>42.566320000001127</v>
      </c>
      <c r="U27" s="92">
        <v>-81</v>
      </c>
      <c r="V27" s="332" t="s">
        <v>340</v>
      </c>
      <c r="X27" s="291"/>
      <c r="AB27" s="227" t="s">
        <v>88</v>
      </c>
      <c r="AC27" s="345">
        <v>24</v>
      </c>
      <c r="AD27" s="345">
        <v>0</v>
      </c>
      <c r="AE27" s="345">
        <v>0</v>
      </c>
      <c r="AF27" s="345">
        <f t="shared" si="2"/>
        <v>24</v>
      </c>
      <c r="AH27" s="229" t="s">
        <v>88</v>
      </c>
      <c r="AI27" s="345">
        <v>10</v>
      </c>
      <c r="AJ27" s="345">
        <v>8</v>
      </c>
      <c r="AK27" s="345">
        <v>6</v>
      </c>
      <c r="AL27" s="345">
        <f t="shared" si="3"/>
        <v>24</v>
      </c>
      <c r="AO27" s="227" t="s">
        <v>88</v>
      </c>
      <c r="AP27" s="229">
        <v>24</v>
      </c>
      <c r="AQ27" s="274">
        <v>6.4</v>
      </c>
      <c r="AR27" s="345">
        <v>450</v>
      </c>
      <c r="AS27" s="345">
        <v>77</v>
      </c>
      <c r="AT27" s="274">
        <v>5.9</v>
      </c>
      <c r="AV27" s="229" t="s">
        <v>88</v>
      </c>
      <c r="AW27" s="229">
        <v>24</v>
      </c>
      <c r="AX27" s="274">
        <v>7.03</v>
      </c>
      <c r="AY27" s="345">
        <v>600</v>
      </c>
      <c r="AZ27" s="345">
        <v>78</v>
      </c>
      <c r="BA27" s="274">
        <v>6</v>
      </c>
    </row>
    <row r="28" spans="1:53" ht="16.75" customHeight="1">
      <c r="A28" s="175" t="s">
        <v>43</v>
      </c>
      <c r="B28" s="812"/>
      <c r="C28" s="807"/>
      <c r="D28" s="808"/>
      <c r="E28" s="809">
        <v>196</v>
      </c>
      <c r="F28" s="810"/>
      <c r="G28" s="802"/>
      <c r="H28" s="804"/>
      <c r="I28" s="804"/>
      <c r="J28" s="14"/>
      <c r="K28" s="14"/>
      <c r="L28" s="14"/>
      <c r="M28" s="14"/>
      <c r="O28" s="188">
        <f>R22*P22/10000</f>
        <v>13380.2</v>
      </c>
      <c r="P28" s="322">
        <f>Q22*R22/10000</f>
        <v>42.566320000001127</v>
      </c>
      <c r="R28" s="132"/>
      <c r="S28" s="294"/>
      <c r="T28" s="51"/>
      <c r="U28" s="92">
        <f>P29</f>
        <v>4.6604000000005561</v>
      </c>
      <c r="V28" s="336" t="s">
        <v>372</v>
      </c>
      <c r="AB28" s="226" t="s">
        <v>195</v>
      </c>
      <c r="AC28" s="345">
        <v>0</v>
      </c>
      <c r="AD28" s="345">
        <v>0</v>
      </c>
      <c r="AE28" s="345">
        <v>0</v>
      </c>
      <c r="AF28" s="345">
        <f t="shared" si="2"/>
        <v>0</v>
      </c>
      <c r="AH28" s="227" t="s">
        <v>89</v>
      </c>
      <c r="AI28" s="345">
        <v>24</v>
      </c>
      <c r="AJ28" s="345">
        <v>0</v>
      </c>
      <c r="AK28" s="345">
        <v>0</v>
      </c>
      <c r="AL28" s="345">
        <f t="shared" si="3"/>
        <v>24</v>
      </c>
      <c r="AO28" s="226" t="s">
        <v>202</v>
      </c>
      <c r="AP28" s="229">
        <v>6.8</v>
      </c>
      <c r="AQ28" s="274">
        <v>4.8</v>
      </c>
      <c r="AR28" s="345">
        <v>250</v>
      </c>
      <c r="AS28" s="345">
        <v>83</v>
      </c>
      <c r="AT28" s="274">
        <v>12.2</v>
      </c>
      <c r="AV28" s="227" t="s">
        <v>89</v>
      </c>
      <c r="AW28" s="229">
        <v>24</v>
      </c>
      <c r="AX28" s="274">
        <v>7.02</v>
      </c>
      <c r="AY28" s="345">
        <v>700</v>
      </c>
      <c r="AZ28" s="345">
        <v>77</v>
      </c>
      <c r="BA28" s="274">
        <v>6.44</v>
      </c>
    </row>
    <row r="29" spans="1:53" ht="16.75" customHeight="1">
      <c r="A29" s="172" t="s">
        <v>141</v>
      </c>
      <c r="B29" s="811">
        <v>9374</v>
      </c>
      <c r="C29" s="829"/>
      <c r="D29" s="830"/>
      <c r="E29" s="815"/>
      <c r="F29" s="816"/>
      <c r="G29" s="801">
        <v>9374</v>
      </c>
      <c r="H29" s="803">
        <f>B29+C29+C30-E29-E31</f>
        <v>9374</v>
      </c>
      <c r="I29" s="803">
        <f>G29-H29</f>
        <v>0</v>
      </c>
      <c r="J29" s="14"/>
      <c r="K29" s="327"/>
      <c r="L29" s="14"/>
      <c r="M29" s="14"/>
      <c r="O29" s="92">
        <f>P23*R23/10000</f>
        <v>4832.3</v>
      </c>
      <c r="P29" s="211">
        <f>Q23*R23/10000</f>
        <v>4.6604000000005561</v>
      </c>
      <c r="R29" s="35"/>
      <c r="S29" s="284"/>
      <c r="V29" s="294"/>
      <c r="AB29" s="226" t="s">
        <v>196</v>
      </c>
      <c r="AC29" s="345">
        <v>0</v>
      </c>
      <c r="AD29" s="345">
        <v>0</v>
      </c>
      <c r="AE29" s="345">
        <v>0</v>
      </c>
      <c r="AF29" s="345">
        <f t="shared" si="2"/>
        <v>0</v>
      </c>
      <c r="AH29" s="229" t="s">
        <v>90</v>
      </c>
      <c r="AI29" s="345">
        <v>10</v>
      </c>
      <c r="AJ29" s="345">
        <v>8</v>
      </c>
      <c r="AK29" s="345">
        <v>6</v>
      </c>
      <c r="AL29" s="345">
        <f t="shared" si="3"/>
        <v>24</v>
      </c>
      <c r="AO29" s="226" t="s">
        <v>203</v>
      </c>
      <c r="AP29" s="229">
        <v>14.8</v>
      </c>
      <c r="AQ29" s="274">
        <v>5.09</v>
      </c>
      <c r="AR29" s="345">
        <v>70</v>
      </c>
      <c r="AS29" s="345">
        <v>90</v>
      </c>
      <c r="AT29" s="274">
        <v>5.39</v>
      </c>
      <c r="AV29" s="229" t="s">
        <v>90</v>
      </c>
      <c r="AW29" s="229">
        <v>24</v>
      </c>
      <c r="AX29" s="274">
        <v>6.94</v>
      </c>
      <c r="AY29" s="345">
        <v>700</v>
      </c>
      <c r="AZ29" s="345">
        <v>77</v>
      </c>
      <c r="BA29" s="274">
        <v>5.98</v>
      </c>
    </row>
    <row r="30" spans="1:53" ht="16.75" customHeight="1">
      <c r="A30" s="173" t="s">
        <v>142</v>
      </c>
      <c r="B30" s="812"/>
      <c r="C30" s="805"/>
      <c r="D30" s="806"/>
      <c r="E30" s="831"/>
      <c r="F30" s="832"/>
      <c r="G30" s="802"/>
      <c r="H30" s="804"/>
      <c r="I30" s="804"/>
      <c r="J30" s="14"/>
      <c r="K30" s="14"/>
      <c r="L30" s="14"/>
      <c r="M30" s="14"/>
      <c r="O30" s="92">
        <f>P24*R24/10000</f>
        <v>1775</v>
      </c>
      <c r="P30" s="211">
        <f>Q24*R24/10000</f>
        <v>-131.65</v>
      </c>
      <c r="R30" s="35"/>
      <c r="T30" s="51"/>
      <c r="V30" s="296"/>
      <c r="AB30" s="226" t="s">
        <v>197</v>
      </c>
      <c r="AC30" s="345">
        <v>0</v>
      </c>
      <c r="AD30" s="345">
        <v>0</v>
      </c>
      <c r="AE30" s="345">
        <v>0</v>
      </c>
      <c r="AF30" s="345">
        <f t="shared" si="2"/>
        <v>0</v>
      </c>
      <c r="AH30" s="229" t="s">
        <v>92</v>
      </c>
      <c r="AI30" s="345">
        <v>8.9</v>
      </c>
      <c r="AJ30" s="345">
        <v>1</v>
      </c>
      <c r="AK30" s="345">
        <v>3.7</v>
      </c>
      <c r="AL30" s="345">
        <f t="shared" si="3"/>
        <v>13.600000000000001</v>
      </c>
      <c r="AO30" s="226" t="s">
        <v>204</v>
      </c>
      <c r="AP30" s="229">
        <v>16.7</v>
      </c>
      <c r="AQ30" s="274">
        <v>5.33</v>
      </c>
      <c r="AR30" s="345">
        <v>80</v>
      </c>
      <c r="AS30" s="345">
        <v>89</v>
      </c>
      <c r="AT30" s="274">
        <v>5.62</v>
      </c>
      <c r="AV30" s="229" t="s">
        <v>92</v>
      </c>
      <c r="AW30" s="229">
        <v>13.600000000000001</v>
      </c>
      <c r="AX30" s="274">
        <v>7.01</v>
      </c>
      <c r="AY30" s="345">
        <v>700</v>
      </c>
      <c r="AZ30" s="345">
        <v>77</v>
      </c>
      <c r="BA30" s="274">
        <v>6.43</v>
      </c>
    </row>
    <row r="31" spans="1:53" ht="16.75" customHeight="1">
      <c r="A31" s="176" t="s">
        <v>143</v>
      </c>
      <c r="B31" s="784"/>
      <c r="C31" s="807"/>
      <c r="D31" s="808"/>
      <c r="E31" s="809"/>
      <c r="F31" s="810"/>
      <c r="G31" s="792"/>
      <c r="H31" s="794"/>
      <c r="I31" s="804"/>
      <c r="J31" s="242"/>
      <c r="K31" s="242"/>
      <c r="L31" s="242"/>
      <c r="M31" s="242"/>
      <c r="O31" s="261">
        <f t="shared" ref="O31:P31" si="4">SUM(O26:O30)</f>
        <v>20823.525000000001</v>
      </c>
      <c r="P31" s="261">
        <f t="shared" si="4"/>
        <v>-102.98981499999836</v>
      </c>
      <c r="R31" s="132"/>
      <c r="T31" s="219"/>
      <c r="V31" s="297"/>
      <c r="AB31" s="226" t="s">
        <v>198</v>
      </c>
      <c r="AC31" s="345">
        <v>0</v>
      </c>
      <c r="AD31" s="345">
        <v>0</v>
      </c>
      <c r="AE31" s="345">
        <v>0</v>
      </c>
      <c r="AF31" s="345">
        <f t="shared" si="2"/>
        <v>0</v>
      </c>
      <c r="AH31" s="229" t="s">
        <v>93</v>
      </c>
      <c r="AI31" s="345">
        <v>10</v>
      </c>
      <c r="AJ31" s="345">
        <v>8</v>
      </c>
      <c r="AK31" s="345">
        <v>6</v>
      </c>
      <c r="AL31" s="345">
        <f t="shared" si="3"/>
        <v>24</v>
      </c>
      <c r="AO31" s="226" t="s">
        <v>205</v>
      </c>
      <c r="AP31" s="229">
        <v>16.3</v>
      </c>
      <c r="AQ31" s="274">
        <v>5.8</v>
      </c>
      <c r="AR31" s="345">
        <v>70</v>
      </c>
      <c r="AS31" s="345">
        <v>81</v>
      </c>
      <c r="AT31" s="274">
        <v>5.84</v>
      </c>
      <c r="AV31" s="229" t="s">
        <v>93</v>
      </c>
      <c r="AW31" s="229">
        <v>24</v>
      </c>
      <c r="AX31" s="274">
        <v>6.85</v>
      </c>
      <c r="AY31" s="345">
        <v>700</v>
      </c>
      <c r="AZ31" s="345">
        <v>77</v>
      </c>
      <c r="BA31" s="274">
        <v>6.02</v>
      </c>
    </row>
    <row r="32" spans="1:53" ht="16.75" customHeight="1" thickBot="1">
      <c r="A32" s="53" t="s">
        <v>28</v>
      </c>
      <c r="B32" s="78">
        <f>SUM(B24:B31)</f>
        <v>17557</v>
      </c>
      <c r="C32" s="821">
        <f>SUM(C24:D31)</f>
        <v>1915</v>
      </c>
      <c r="D32" s="822"/>
      <c r="E32" s="821">
        <f>SUM(E24:F31)</f>
        <v>196</v>
      </c>
      <c r="F32" s="822"/>
      <c r="G32" s="343">
        <f>G24+G26+G29</f>
        <v>19061</v>
      </c>
      <c r="H32" s="343">
        <f>H24+H26+H29</f>
        <v>19276</v>
      </c>
      <c r="I32" s="343">
        <f>I24+I26+I29</f>
        <v>-215</v>
      </c>
      <c r="J32" s="14"/>
      <c r="K32" s="14"/>
      <c r="L32" s="14"/>
      <c r="M32" s="14"/>
      <c r="N32" s="140"/>
      <c r="P32" s="42"/>
      <c r="T32" s="219"/>
      <c r="U32" s="219"/>
      <c r="AB32" s="226" t="s">
        <v>199</v>
      </c>
      <c r="AC32" s="345">
        <v>0</v>
      </c>
      <c r="AD32" s="345">
        <v>0</v>
      </c>
      <c r="AE32" s="345">
        <v>0</v>
      </c>
      <c r="AF32" s="345">
        <f t="shared" si="2"/>
        <v>0</v>
      </c>
      <c r="AH32" s="229" t="s">
        <v>94</v>
      </c>
      <c r="AI32" s="345">
        <v>10</v>
      </c>
      <c r="AJ32" s="345">
        <v>1.5</v>
      </c>
      <c r="AK32" s="345">
        <v>0</v>
      </c>
      <c r="AL32" s="345">
        <f t="shared" si="3"/>
        <v>11.5</v>
      </c>
      <c r="AO32" s="226" t="s">
        <v>206</v>
      </c>
      <c r="AP32" s="229">
        <v>10.8</v>
      </c>
      <c r="AQ32" s="274">
        <v>5.39</v>
      </c>
      <c r="AR32" s="345">
        <v>280</v>
      </c>
      <c r="AS32" s="345">
        <v>82</v>
      </c>
      <c r="AT32" s="274">
        <v>5.34</v>
      </c>
      <c r="AV32" s="229" t="s">
        <v>94</v>
      </c>
      <c r="AW32" s="229">
        <v>11.5</v>
      </c>
      <c r="AX32" s="274">
        <v>6.93</v>
      </c>
      <c r="AY32" s="345">
        <v>700</v>
      </c>
      <c r="AZ32" s="345">
        <v>76</v>
      </c>
      <c r="BA32" s="274">
        <v>6.17</v>
      </c>
    </row>
    <row r="33" spans="1:53" ht="16.75" customHeight="1" thickBot="1">
      <c r="A33" s="177" t="s">
        <v>44</v>
      </c>
      <c r="B33" s="178">
        <v>420</v>
      </c>
      <c r="C33" s="823">
        <f>E28+E34+E31</f>
        <v>407</v>
      </c>
      <c r="D33" s="824"/>
      <c r="E33" s="823">
        <v>0</v>
      </c>
      <c r="F33" s="824"/>
      <c r="G33" s="183">
        <v>827</v>
      </c>
      <c r="H33" s="183">
        <f>B33+C33-E33</f>
        <v>827</v>
      </c>
      <c r="I33" s="183">
        <f>G33-H33</f>
        <v>0</v>
      </c>
      <c r="J33" s="94">
        <f>G33-728</f>
        <v>99</v>
      </c>
      <c r="K33" s="94"/>
      <c r="L33" s="94"/>
      <c r="M33" s="94"/>
      <c r="P33" s="107"/>
      <c r="Q33" s="22"/>
      <c r="R33" s="22"/>
      <c r="S33" s="22"/>
      <c r="T33" s="219">
        <f>SUM(T12:T32)</f>
        <v>622.99978500000111</v>
      </c>
      <c r="U33" s="219">
        <f>SUM(U12:U32)</f>
        <v>-623.98959999999943</v>
      </c>
      <c r="V33" s="59">
        <f>SUM(T33:U33)</f>
        <v>-0.98981499999831613</v>
      </c>
      <c r="X33" s="222" t="s">
        <v>187</v>
      </c>
      <c r="AB33" s="226" t="s">
        <v>200</v>
      </c>
      <c r="AC33" s="345">
        <v>0</v>
      </c>
      <c r="AD33" s="345">
        <v>0</v>
      </c>
      <c r="AE33" s="345">
        <v>0</v>
      </c>
      <c r="AF33" s="345">
        <f t="shared" si="2"/>
        <v>0</v>
      </c>
      <c r="AH33" s="229" t="s">
        <v>95</v>
      </c>
      <c r="AI33" s="345">
        <v>10</v>
      </c>
      <c r="AJ33" s="345">
        <v>5.6</v>
      </c>
      <c r="AK33" s="345">
        <v>4</v>
      </c>
      <c r="AL33" s="345">
        <f t="shared" si="3"/>
        <v>19.600000000000001</v>
      </c>
      <c r="AO33" s="227" t="s">
        <v>103</v>
      </c>
      <c r="AP33" s="229">
        <v>24</v>
      </c>
      <c r="AQ33" s="274">
        <v>6.67</v>
      </c>
      <c r="AR33" s="345">
        <v>100</v>
      </c>
      <c r="AS33" s="345">
        <v>80</v>
      </c>
      <c r="AT33" s="274">
        <v>5.75</v>
      </c>
      <c r="AV33" s="229" t="s">
        <v>95</v>
      </c>
      <c r="AW33" s="229">
        <v>19.600000000000001</v>
      </c>
      <c r="AX33" s="274">
        <v>6.96</v>
      </c>
      <c r="AY33" s="345">
        <v>700</v>
      </c>
      <c r="AZ33" s="345">
        <v>76</v>
      </c>
      <c r="BA33" s="274">
        <v>6.1</v>
      </c>
    </row>
    <row r="34" spans="1:53" ht="16.75" customHeight="1">
      <c r="A34" s="179" t="s">
        <v>29</v>
      </c>
      <c r="B34" s="180">
        <v>3449</v>
      </c>
      <c r="C34" s="825"/>
      <c r="D34" s="826"/>
      <c r="E34" s="827">
        <v>211</v>
      </c>
      <c r="F34" s="828"/>
      <c r="G34" s="181">
        <v>3449</v>
      </c>
      <c r="H34" s="182">
        <f>B34+C34-E34</f>
        <v>3238</v>
      </c>
      <c r="I34" s="182">
        <f>G34-H34</f>
        <v>211</v>
      </c>
      <c r="J34" s="52"/>
      <c r="K34" s="52"/>
      <c r="L34" s="71" t="s">
        <v>41</v>
      </c>
      <c r="M34" s="7"/>
      <c r="N34" s="93"/>
      <c r="O34" s="93"/>
      <c r="P34" s="93"/>
      <c r="Q34" s="324" t="s">
        <v>330</v>
      </c>
      <c r="X34" s="227" t="s">
        <v>96</v>
      </c>
      <c r="Y34" s="345">
        <v>0</v>
      </c>
      <c r="Z34" s="345">
        <v>0</v>
      </c>
      <c r="AA34" s="345">
        <v>0</v>
      </c>
      <c r="AB34" s="345">
        <f>SUM(Y34:AA34)</f>
        <v>0</v>
      </c>
      <c r="AD34" s="229" t="s">
        <v>96</v>
      </c>
      <c r="AE34" s="345">
        <v>10</v>
      </c>
      <c r="AF34" s="345">
        <v>8</v>
      </c>
      <c r="AG34" s="345">
        <v>6</v>
      </c>
      <c r="AH34" s="345">
        <f>SUM(AE34:AG34)</f>
        <v>24</v>
      </c>
      <c r="AK34" s="226" t="s">
        <v>207</v>
      </c>
      <c r="AL34" s="229">
        <v>10.3</v>
      </c>
      <c r="AM34" s="274">
        <v>6.43</v>
      </c>
      <c r="AN34" s="345">
        <v>350</v>
      </c>
      <c r="AO34" s="345">
        <v>79</v>
      </c>
      <c r="AP34" s="274">
        <v>5.8</v>
      </c>
      <c r="AR34" s="229" t="s">
        <v>96</v>
      </c>
      <c r="AS34" s="229">
        <v>24</v>
      </c>
      <c r="AT34" s="274">
        <v>7.08</v>
      </c>
      <c r="AU34" s="345">
        <v>700</v>
      </c>
      <c r="AV34" s="345">
        <v>76</v>
      </c>
      <c r="AW34" s="274">
        <v>6.08</v>
      </c>
    </row>
    <row r="35" spans="1:53">
      <c r="A35" s="30" t="s">
        <v>45</v>
      </c>
      <c r="C35" s="313" t="s">
        <v>285</v>
      </c>
      <c r="D35" s="46">
        <f>296+386+405+400+404+402+406+419+410+409+369+433+416+407</f>
        <v>5562</v>
      </c>
      <c r="E35" s="79" t="s">
        <v>47</v>
      </c>
      <c r="F35" s="80" t="s">
        <v>46</v>
      </c>
      <c r="G35" s="55">
        <f>7689+D35</f>
        <v>13251</v>
      </c>
      <c r="H35" s="79" t="s">
        <v>47</v>
      </c>
      <c r="I35" s="79"/>
      <c r="J35" s="220"/>
      <c r="K35" s="220"/>
      <c r="L35" s="10"/>
      <c r="M35" s="10" t="s">
        <v>148</v>
      </c>
      <c r="N35" s="10" t="s">
        <v>32</v>
      </c>
      <c r="O35" s="10" t="s">
        <v>61</v>
      </c>
      <c r="P35" s="155" t="s">
        <v>67</v>
      </c>
      <c r="Q35" s="10" t="s">
        <v>315</v>
      </c>
      <c r="R35" s="54" t="s">
        <v>30</v>
      </c>
      <c r="S35" s="54" t="s">
        <v>33</v>
      </c>
      <c r="T35" s="112"/>
      <c r="U35" s="68"/>
      <c r="V35" s="68"/>
      <c r="X35" s="226" t="s">
        <v>201</v>
      </c>
      <c r="Y35" s="345">
        <v>0</v>
      </c>
      <c r="Z35" s="345">
        <v>0</v>
      </c>
      <c r="AA35" s="345">
        <v>0</v>
      </c>
      <c r="AB35" s="345">
        <f t="shared" si="2"/>
        <v>0</v>
      </c>
      <c r="AD35" s="227" t="s">
        <v>97</v>
      </c>
      <c r="AE35" s="345">
        <v>23</v>
      </c>
      <c r="AF35" s="345">
        <v>0</v>
      </c>
      <c r="AG35" s="345">
        <v>0</v>
      </c>
      <c r="AH35" s="345">
        <f t="shared" ref="AH35:AH45" si="5">SUM(AE35:AG35)</f>
        <v>23</v>
      </c>
      <c r="AK35" s="226" t="s">
        <v>208</v>
      </c>
      <c r="AL35" s="229">
        <v>10.5</v>
      </c>
      <c r="AM35" s="274">
        <v>6.45</v>
      </c>
      <c r="AN35" s="345">
        <v>200</v>
      </c>
      <c r="AO35" s="345">
        <v>77</v>
      </c>
      <c r="AP35" s="274">
        <v>5.74</v>
      </c>
      <c r="AR35" s="227" t="s">
        <v>97</v>
      </c>
      <c r="AS35" s="229">
        <v>23</v>
      </c>
      <c r="AT35" s="274">
        <v>7.09</v>
      </c>
      <c r="AU35" s="345">
        <v>700</v>
      </c>
      <c r="AV35" s="345">
        <v>77</v>
      </c>
      <c r="AW35" s="274">
        <v>6.25</v>
      </c>
    </row>
    <row r="36" spans="1:53">
      <c r="A36" s="30" t="s">
        <v>48</v>
      </c>
      <c r="C36" s="313" t="s">
        <v>285</v>
      </c>
      <c r="D36" s="46">
        <f>154+201+215+209+209+207+212+221+213+215+192+226+217+211</f>
        <v>2902</v>
      </c>
      <c r="E36" s="79" t="s">
        <v>47</v>
      </c>
      <c r="F36" s="80" t="s">
        <v>46</v>
      </c>
      <c r="G36" s="55">
        <f>4048+D36</f>
        <v>6950</v>
      </c>
      <c r="H36" s="79" t="s">
        <v>47</v>
      </c>
      <c r="I36" s="79"/>
      <c r="J36" s="188"/>
      <c r="K36" s="188"/>
      <c r="L36" s="100" t="s">
        <v>288</v>
      </c>
      <c r="M36" s="11"/>
      <c r="N36" s="67">
        <v>1856</v>
      </c>
      <c r="O36" s="76">
        <v>95.4</v>
      </c>
      <c r="P36" s="76">
        <f t="shared" ref="P36:P66" si="6">N36-O36</f>
        <v>1760.6</v>
      </c>
      <c r="Q36" s="10">
        <f>P36*(1-S36)*1.079</f>
        <v>1871.1920889999997</v>
      </c>
      <c r="R36" s="54">
        <f t="shared" ref="R36:R66" si="7">P36*S36*1.2</f>
        <v>31.690799999999996</v>
      </c>
      <c r="S36" s="103">
        <v>1.4999999999999999E-2</v>
      </c>
      <c r="T36" s="36">
        <v>0.02</v>
      </c>
      <c r="U36" s="46" t="e">
        <f t="shared" ref="U36:U66" si="8">Q36/$V$67</f>
        <v>#DIV/0!</v>
      </c>
      <c r="X36" s="226" t="s">
        <v>202</v>
      </c>
      <c r="Y36" s="345">
        <v>5.8</v>
      </c>
      <c r="Z36" s="345">
        <v>0</v>
      </c>
      <c r="AA36" s="345">
        <v>1</v>
      </c>
      <c r="AB36" s="345">
        <f t="shared" si="2"/>
        <v>6.8</v>
      </c>
      <c r="AD36" s="229" t="s">
        <v>98</v>
      </c>
      <c r="AE36" s="345">
        <v>0</v>
      </c>
      <c r="AF36" s="345">
        <v>0</v>
      </c>
      <c r="AG36" s="345">
        <v>0</v>
      </c>
      <c r="AH36" s="345">
        <f t="shared" si="5"/>
        <v>0</v>
      </c>
      <c r="AK36" s="226" t="s">
        <v>209</v>
      </c>
      <c r="AL36" s="229">
        <v>9.1</v>
      </c>
      <c r="AM36" s="274">
        <v>6.62</v>
      </c>
      <c r="AN36" s="345">
        <v>700</v>
      </c>
      <c r="AO36" s="345">
        <v>74</v>
      </c>
      <c r="AP36" s="274">
        <v>5.92</v>
      </c>
      <c r="AR36" s="229" t="s">
        <v>101</v>
      </c>
      <c r="AS36" s="229">
        <v>23.5</v>
      </c>
      <c r="AT36" s="274">
        <v>6.09</v>
      </c>
      <c r="AU36" s="345">
        <v>400</v>
      </c>
      <c r="AV36" s="345">
        <v>85</v>
      </c>
      <c r="AW36" s="274">
        <v>5.65</v>
      </c>
    </row>
    <row r="37" spans="1:53" ht="15.65" customHeight="1">
      <c r="A37" s="30"/>
      <c r="B37" s="15"/>
      <c r="C37" s="99"/>
      <c r="D37" s="46"/>
      <c r="E37" s="79"/>
      <c r="F37" s="80"/>
      <c r="G37" s="98"/>
      <c r="H37" s="79"/>
      <c r="I37" s="79"/>
      <c r="J37" s="188"/>
      <c r="K37" s="188"/>
      <c r="L37" s="100" t="s">
        <v>289</v>
      </c>
      <c r="M37" s="11"/>
      <c r="N37" s="67">
        <v>693</v>
      </c>
      <c r="O37" s="76">
        <v>29</v>
      </c>
      <c r="P37" s="76">
        <f t="shared" si="6"/>
        <v>664</v>
      </c>
      <c r="Q37" s="10">
        <f t="shared" ref="Q37:Q40" si="9">P37*(1-S37)*1.079</f>
        <v>705.70915999999988</v>
      </c>
      <c r="R37" s="54">
        <f t="shared" si="7"/>
        <v>11.951999999999998</v>
      </c>
      <c r="S37" s="103">
        <v>1.4999999999999999E-2</v>
      </c>
      <c r="T37" s="36">
        <f t="shared" ref="T37:T43" si="10">R37*0.6</f>
        <v>7.1711999999999989</v>
      </c>
      <c r="U37" s="46" t="e">
        <f t="shared" si="8"/>
        <v>#DIV/0!</v>
      </c>
      <c r="X37" s="226" t="s">
        <v>203</v>
      </c>
      <c r="Y37" s="345">
        <v>10</v>
      </c>
      <c r="Z37" s="345">
        <v>2.8</v>
      </c>
      <c r="AA37" s="345">
        <v>2</v>
      </c>
      <c r="AB37" s="345">
        <f t="shared" si="2"/>
        <v>14.8</v>
      </c>
      <c r="AD37" s="229" t="s">
        <v>99</v>
      </c>
      <c r="AE37" s="345">
        <v>0</v>
      </c>
      <c r="AF37" s="345">
        <v>0</v>
      </c>
      <c r="AG37" s="345">
        <v>0</v>
      </c>
      <c r="AH37" s="345">
        <f t="shared" si="5"/>
        <v>0</v>
      </c>
      <c r="AK37" s="226" t="s">
        <v>210</v>
      </c>
      <c r="AL37" s="229">
        <v>10.1</v>
      </c>
      <c r="AM37" s="274">
        <v>6.84</v>
      </c>
      <c r="AN37" s="345">
        <v>650</v>
      </c>
      <c r="AO37" s="345">
        <v>72</v>
      </c>
      <c r="AP37" s="274">
        <v>5.84</v>
      </c>
      <c r="AR37" s="229" t="s">
        <v>102</v>
      </c>
      <c r="AS37" s="229">
        <v>20.3</v>
      </c>
      <c r="AT37" s="274">
        <v>5.86</v>
      </c>
      <c r="AU37" s="345">
        <v>400</v>
      </c>
      <c r="AV37" s="345">
        <v>83</v>
      </c>
      <c r="AW37" s="274">
        <v>5.91</v>
      </c>
    </row>
    <row r="38" spans="1:53">
      <c r="A38" s="31" t="s">
        <v>50</v>
      </c>
      <c r="J38" s="34"/>
      <c r="K38" s="34"/>
      <c r="L38" s="100" t="s">
        <v>279</v>
      </c>
      <c r="M38" s="11"/>
      <c r="N38" s="67">
        <v>1858</v>
      </c>
      <c r="O38" s="76">
        <v>76</v>
      </c>
      <c r="P38" s="76">
        <f t="shared" si="6"/>
        <v>1782</v>
      </c>
      <c r="Q38" s="10">
        <f t="shared" si="9"/>
        <v>1893.93633</v>
      </c>
      <c r="R38" s="54">
        <f t="shared" si="7"/>
        <v>32.076000000000001</v>
      </c>
      <c r="S38" s="103">
        <v>1.4999999999999999E-2</v>
      </c>
      <c r="T38" s="36">
        <f t="shared" si="10"/>
        <v>19.2456</v>
      </c>
      <c r="U38" s="46" t="e">
        <f t="shared" si="8"/>
        <v>#DIV/0!</v>
      </c>
      <c r="X38" s="226" t="s">
        <v>204</v>
      </c>
      <c r="Y38" s="345">
        <v>10</v>
      </c>
      <c r="Z38" s="345">
        <v>4.7</v>
      </c>
      <c r="AA38" s="345">
        <v>2</v>
      </c>
      <c r="AB38" s="345">
        <f t="shared" si="2"/>
        <v>16.7</v>
      </c>
      <c r="AD38" s="229" t="s">
        <v>100</v>
      </c>
      <c r="AE38" s="345">
        <v>0</v>
      </c>
      <c r="AF38" s="345">
        <v>0</v>
      </c>
      <c r="AG38" s="345">
        <v>0</v>
      </c>
      <c r="AH38" s="345">
        <f t="shared" si="5"/>
        <v>0</v>
      </c>
      <c r="AK38" s="226" t="s">
        <v>211</v>
      </c>
      <c r="AL38" s="229">
        <v>10.1</v>
      </c>
      <c r="AM38" s="274">
        <v>7.33</v>
      </c>
      <c r="AN38" s="345">
        <v>700</v>
      </c>
      <c r="AO38" s="345">
        <v>73</v>
      </c>
      <c r="AP38" s="274">
        <v>6.29</v>
      </c>
      <c r="AR38" s="229" t="s">
        <v>103</v>
      </c>
      <c r="AS38" s="229">
        <v>24</v>
      </c>
      <c r="AT38" s="274">
        <v>5.0999999999999996</v>
      </c>
      <c r="AU38" s="345">
        <v>350</v>
      </c>
      <c r="AV38" s="345">
        <v>82</v>
      </c>
      <c r="AW38" s="274">
        <v>5.66</v>
      </c>
    </row>
    <row r="39" spans="1:53" ht="15.05" customHeight="1">
      <c r="A39" s="842" t="s">
        <v>1</v>
      </c>
      <c r="B39" s="203" t="s">
        <v>166</v>
      </c>
      <c r="C39" s="205" t="s">
        <v>168</v>
      </c>
      <c r="D39" s="843" t="s">
        <v>36</v>
      </c>
      <c r="E39" s="844"/>
      <c r="F39" s="842" t="s">
        <v>37</v>
      </c>
      <c r="G39" s="842"/>
      <c r="H39" s="842"/>
      <c r="I39" s="842"/>
      <c r="J39" s="238"/>
      <c r="K39" s="238"/>
      <c r="L39" s="100" t="s">
        <v>280</v>
      </c>
      <c r="M39" s="11"/>
      <c r="N39" s="67">
        <v>746</v>
      </c>
      <c r="O39" s="76">
        <v>27</v>
      </c>
      <c r="P39" s="76">
        <f t="shared" si="6"/>
        <v>719</v>
      </c>
      <c r="Q39" s="10">
        <f t="shared" si="9"/>
        <v>764.16398500000003</v>
      </c>
      <c r="R39" s="54">
        <f t="shared" si="7"/>
        <v>12.942</v>
      </c>
      <c r="S39" s="103">
        <v>1.4999999999999999E-2</v>
      </c>
      <c r="T39" s="36">
        <f t="shared" si="10"/>
        <v>7.7652000000000001</v>
      </c>
      <c r="U39" s="46" t="e">
        <f t="shared" si="8"/>
        <v>#DIV/0!</v>
      </c>
      <c r="X39" s="226" t="s">
        <v>205</v>
      </c>
      <c r="Y39" s="345">
        <v>10</v>
      </c>
      <c r="Z39" s="345">
        <v>4.3</v>
      </c>
      <c r="AA39" s="345">
        <v>2</v>
      </c>
      <c r="AB39" s="345">
        <f t="shared" si="2"/>
        <v>16.3</v>
      </c>
      <c r="AD39" s="229" t="s">
        <v>101</v>
      </c>
      <c r="AE39" s="345">
        <v>9.5</v>
      </c>
      <c r="AF39" s="345">
        <v>8</v>
      </c>
      <c r="AG39" s="345">
        <v>6</v>
      </c>
      <c r="AH39" s="345">
        <f t="shared" si="5"/>
        <v>23.5</v>
      </c>
      <c r="AK39" s="226" t="s">
        <v>212</v>
      </c>
      <c r="AL39" s="229">
        <v>10.3</v>
      </c>
      <c r="AM39" s="274">
        <v>7.48</v>
      </c>
      <c r="AN39" s="345">
        <v>700</v>
      </c>
      <c r="AO39" s="345">
        <v>73</v>
      </c>
      <c r="AP39" s="274">
        <v>5.74</v>
      </c>
      <c r="AR39" s="227" t="s">
        <v>104</v>
      </c>
      <c r="AS39" s="229">
        <v>24</v>
      </c>
      <c r="AT39" s="274">
        <v>5.0999999999999996</v>
      </c>
      <c r="AU39" s="345">
        <v>300</v>
      </c>
      <c r="AV39" s="345">
        <v>84</v>
      </c>
      <c r="AW39" s="274">
        <v>5.72</v>
      </c>
    </row>
    <row r="40" spans="1:53" ht="15.05" customHeight="1">
      <c r="A40" s="842"/>
      <c r="B40" s="204" t="s">
        <v>167</v>
      </c>
      <c r="C40" s="204" t="s">
        <v>35</v>
      </c>
      <c r="D40" s="315" t="s">
        <v>287</v>
      </c>
      <c r="E40" s="77" t="s">
        <v>7</v>
      </c>
      <c r="F40" s="342" t="s">
        <v>34</v>
      </c>
      <c r="G40" s="342" t="s">
        <v>38</v>
      </c>
      <c r="H40" s="842" t="s">
        <v>7</v>
      </c>
      <c r="I40" s="842"/>
      <c r="J40" s="56"/>
      <c r="K40" s="56"/>
      <c r="L40" s="100" t="s">
        <v>281</v>
      </c>
      <c r="M40" s="11"/>
      <c r="N40" s="67">
        <v>736</v>
      </c>
      <c r="O40" s="76">
        <v>27</v>
      </c>
      <c r="P40" s="76">
        <f t="shared" si="6"/>
        <v>709</v>
      </c>
      <c r="Q40" s="10">
        <f t="shared" si="9"/>
        <v>753.53583500000002</v>
      </c>
      <c r="R40" s="54">
        <f t="shared" si="7"/>
        <v>12.761999999999999</v>
      </c>
      <c r="S40" s="103">
        <v>1.4999999999999999E-2</v>
      </c>
      <c r="T40" s="36">
        <f t="shared" si="10"/>
        <v>7.6571999999999987</v>
      </c>
      <c r="U40" s="46" t="e">
        <f t="shared" si="8"/>
        <v>#DIV/0!</v>
      </c>
      <c r="V40" s="36"/>
      <c r="X40" s="226" t="s">
        <v>206</v>
      </c>
      <c r="Y40" s="345">
        <v>10</v>
      </c>
      <c r="Z40" s="345">
        <v>0.8</v>
      </c>
      <c r="AA40" s="345">
        <v>0</v>
      </c>
      <c r="AB40" s="345">
        <f t="shared" si="2"/>
        <v>10.8</v>
      </c>
      <c r="AD40" s="229" t="s">
        <v>102</v>
      </c>
      <c r="AE40" s="345">
        <v>10</v>
      </c>
      <c r="AF40" s="345">
        <v>6.3</v>
      </c>
      <c r="AG40" s="345">
        <v>4</v>
      </c>
      <c r="AH40" s="345">
        <f t="shared" si="5"/>
        <v>20.3</v>
      </c>
      <c r="AK40" s="227" t="s">
        <v>110</v>
      </c>
      <c r="AL40" s="229">
        <v>24</v>
      </c>
      <c r="AM40" s="274">
        <v>6.48</v>
      </c>
      <c r="AN40" s="345">
        <v>250</v>
      </c>
      <c r="AO40" s="345">
        <v>76</v>
      </c>
      <c r="AP40" s="274">
        <v>5.66</v>
      </c>
      <c r="AR40" s="226" t="s">
        <v>208</v>
      </c>
      <c r="AS40" s="229">
        <v>20.3</v>
      </c>
      <c r="AT40" s="274">
        <v>6.48</v>
      </c>
      <c r="AU40" s="345">
        <v>700</v>
      </c>
      <c r="AV40" s="345">
        <v>77</v>
      </c>
      <c r="AW40" s="274">
        <v>6.13</v>
      </c>
    </row>
    <row r="41" spans="1:53" ht="16.75" customHeight="1" thickBot="1">
      <c r="A41" s="342" t="s">
        <v>40</v>
      </c>
      <c r="B41" s="344">
        <v>1088</v>
      </c>
      <c r="C41" s="340"/>
      <c r="D41" s="339">
        <f>499+144+19+18+17+18+17+13+43+32+12+32+13+13+13+12+12+11+12+15+12+12+12</f>
        <v>1001</v>
      </c>
      <c r="E41" s="340">
        <f>D41+C41</f>
        <v>1001</v>
      </c>
      <c r="F41" s="340">
        <v>0</v>
      </c>
      <c r="G41" s="340">
        <f>1088-D41</f>
        <v>87</v>
      </c>
      <c r="H41" s="845">
        <f>G41+F41</f>
        <v>87</v>
      </c>
      <c r="I41" s="845"/>
      <c r="J41" s="57">
        <f>B41-E41-H41</f>
        <v>0</v>
      </c>
      <c r="K41" s="57"/>
      <c r="L41" s="100" t="s">
        <v>290</v>
      </c>
      <c r="M41" s="11"/>
      <c r="N41" s="67">
        <v>746</v>
      </c>
      <c r="O41" s="76">
        <v>35</v>
      </c>
      <c r="P41" s="76">
        <f t="shared" si="6"/>
        <v>711</v>
      </c>
      <c r="Q41" s="10">
        <f t="shared" ref="Q41:Q52" si="11">P41*(1-S41)*1.075</f>
        <v>752.86012500000004</v>
      </c>
      <c r="R41" s="54">
        <f t="shared" si="7"/>
        <v>12.797999999999998</v>
      </c>
      <c r="S41" s="103">
        <v>1.4999999999999999E-2</v>
      </c>
      <c r="T41" s="36">
        <f t="shared" si="10"/>
        <v>7.678799999999999</v>
      </c>
      <c r="U41" s="46" t="e">
        <f t="shared" si="8"/>
        <v>#DIV/0!</v>
      </c>
      <c r="V41" s="36"/>
      <c r="X41" s="227" t="s">
        <v>103</v>
      </c>
      <c r="Y41" s="345">
        <v>24</v>
      </c>
      <c r="Z41" s="345">
        <v>0</v>
      </c>
      <c r="AA41" s="345">
        <v>0</v>
      </c>
      <c r="AB41" s="345">
        <f t="shared" si="2"/>
        <v>24</v>
      </c>
      <c r="AD41" s="229" t="s">
        <v>103</v>
      </c>
      <c r="AE41" s="345">
        <v>10</v>
      </c>
      <c r="AF41" s="345">
        <v>8</v>
      </c>
      <c r="AG41" s="345">
        <v>6</v>
      </c>
      <c r="AH41" s="345">
        <f t="shared" si="5"/>
        <v>24</v>
      </c>
      <c r="AK41" s="226" t="s">
        <v>213</v>
      </c>
      <c r="AL41" s="229">
        <v>10.5</v>
      </c>
      <c r="AM41" s="274">
        <v>6.3</v>
      </c>
      <c r="AN41" s="345">
        <v>400</v>
      </c>
      <c r="AO41" s="345">
        <v>76</v>
      </c>
      <c r="AP41" s="274">
        <v>5.77</v>
      </c>
      <c r="AR41" s="226" t="s">
        <v>216</v>
      </c>
      <c r="AS41" s="229">
        <v>13.3</v>
      </c>
      <c r="AT41" s="274">
        <v>8.25</v>
      </c>
      <c r="AU41" s="345">
        <v>700</v>
      </c>
      <c r="AV41" s="345">
        <v>70</v>
      </c>
      <c r="AW41" s="274">
        <v>7.45</v>
      </c>
    </row>
    <row r="42" spans="1:53" ht="16.75" customHeight="1" thickTop="1">
      <c r="A42" s="206" t="s">
        <v>178</v>
      </c>
      <c r="B42" s="340"/>
      <c r="C42" s="340">
        <v>27030</v>
      </c>
      <c r="D42" s="339">
        <f>839+726+779+746+808+857+167+760+886+807+214+104</f>
        <v>7693</v>
      </c>
      <c r="E42" s="340">
        <f>D42</f>
        <v>7693</v>
      </c>
      <c r="F42" s="340">
        <v>19337</v>
      </c>
      <c r="G42" s="340">
        <f>C42-E42-F42</f>
        <v>0</v>
      </c>
      <c r="H42" s="846">
        <f>G42+F42</f>
        <v>19337</v>
      </c>
      <c r="I42" s="847"/>
      <c r="J42" s="57">
        <f>C42-E42-H42</f>
        <v>0</v>
      </c>
      <c r="K42" s="57"/>
      <c r="L42" s="100" t="s">
        <v>291</v>
      </c>
      <c r="M42" s="11"/>
      <c r="N42" s="67">
        <v>768.7</v>
      </c>
      <c r="O42" s="76">
        <v>22</v>
      </c>
      <c r="P42" s="76">
        <f t="shared" si="6"/>
        <v>746.7</v>
      </c>
      <c r="Q42" s="10">
        <f t="shared" si="11"/>
        <v>790.66196249999996</v>
      </c>
      <c r="R42" s="54">
        <f t="shared" si="7"/>
        <v>13.4406</v>
      </c>
      <c r="S42" s="103">
        <v>1.4999999999999999E-2</v>
      </c>
      <c r="T42" s="36">
        <f t="shared" si="10"/>
        <v>8.0643599999999989</v>
      </c>
      <c r="U42" s="46" t="e">
        <f t="shared" si="8"/>
        <v>#DIV/0!</v>
      </c>
      <c r="V42" s="36"/>
      <c r="X42" s="226" t="s">
        <v>207</v>
      </c>
      <c r="Y42" s="345">
        <v>10</v>
      </c>
      <c r="Z42" s="345">
        <v>0.3</v>
      </c>
      <c r="AA42" s="345">
        <v>0</v>
      </c>
      <c r="AB42" s="345">
        <f t="shared" si="2"/>
        <v>10.3</v>
      </c>
      <c r="AD42" s="227" t="s">
        <v>104</v>
      </c>
      <c r="AE42" s="345">
        <v>24</v>
      </c>
      <c r="AF42" s="345">
        <v>0</v>
      </c>
      <c r="AG42" s="345">
        <v>0</v>
      </c>
      <c r="AH42" s="345">
        <f t="shared" si="5"/>
        <v>24</v>
      </c>
      <c r="AK42" s="226" t="s">
        <v>214</v>
      </c>
      <c r="AL42" s="229">
        <v>10.5</v>
      </c>
      <c r="AM42" s="274">
        <v>6.53</v>
      </c>
      <c r="AN42" s="345">
        <v>400</v>
      </c>
      <c r="AO42" s="345">
        <v>76</v>
      </c>
      <c r="AP42" s="274">
        <v>5.85</v>
      </c>
      <c r="AR42" s="270" t="s">
        <v>250</v>
      </c>
      <c r="AS42" s="269">
        <f>SUM(AW23:AW41)</f>
        <v>281.45000000000005</v>
      </c>
      <c r="AT42" s="271">
        <f>AVERAGE(AX23:AX41)</f>
        <v>7.0272727272727273</v>
      </c>
      <c r="AU42" s="268">
        <f>AVERAGE(AY23:AY41)</f>
        <v>686.36363636363637</v>
      </c>
      <c r="AV42" s="268">
        <f>AVERAGE(AZ23:AZ41)</f>
        <v>78</v>
      </c>
      <c r="AW42" s="269">
        <v>6.06</v>
      </c>
    </row>
    <row r="43" spans="1:53" ht="16.75" customHeight="1">
      <c r="A43" s="283" t="s">
        <v>264</v>
      </c>
      <c r="B43" s="340"/>
      <c r="C43" s="340">
        <v>6699</v>
      </c>
      <c r="D43" s="339">
        <f>777+1812+559+791</f>
        <v>3939</v>
      </c>
      <c r="E43" s="340">
        <f>D43</f>
        <v>3939</v>
      </c>
      <c r="F43" s="340">
        <v>0</v>
      </c>
      <c r="G43" s="340">
        <f>C43-E43-F43</f>
        <v>2760</v>
      </c>
      <c r="H43" s="846">
        <f>G43+F43</f>
        <v>2760</v>
      </c>
      <c r="I43" s="847"/>
      <c r="J43" s="57">
        <f t="shared" ref="J43:J45" si="12">C43-E43-H43</f>
        <v>0</v>
      </c>
      <c r="K43" s="57"/>
      <c r="L43" s="100" t="s">
        <v>292</v>
      </c>
      <c r="M43" s="11"/>
      <c r="N43" s="67">
        <v>733</v>
      </c>
      <c r="O43" s="76">
        <v>27</v>
      </c>
      <c r="P43" s="76">
        <f t="shared" si="6"/>
        <v>706</v>
      </c>
      <c r="Q43" s="10">
        <f t="shared" si="11"/>
        <v>747.56574999999998</v>
      </c>
      <c r="R43" s="54">
        <f t="shared" si="7"/>
        <v>12.708</v>
      </c>
      <c r="S43" s="103">
        <v>1.4999999999999999E-2</v>
      </c>
      <c r="T43" s="36">
        <f t="shared" si="10"/>
        <v>7.6247999999999996</v>
      </c>
      <c r="U43" s="46" t="e">
        <f t="shared" si="8"/>
        <v>#DIV/0!</v>
      </c>
      <c r="V43" s="36"/>
      <c r="X43" s="226" t="s">
        <v>208</v>
      </c>
      <c r="Y43" s="345">
        <v>10</v>
      </c>
      <c r="Z43" s="345">
        <v>0.5</v>
      </c>
      <c r="AA43" s="345">
        <v>0</v>
      </c>
      <c r="AB43" s="345">
        <f t="shared" si="2"/>
        <v>10.5</v>
      </c>
      <c r="AD43" s="226" t="s">
        <v>208</v>
      </c>
      <c r="AE43" s="345">
        <v>6.3</v>
      </c>
      <c r="AF43" s="345">
        <v>8</v>
      </c>
      <c r="AG43" s="345">
        <v>6</v>
      </c>
      <c r="AH43" s="345">
        <f t="shared" si="5"/>
        <v>20.3</v>
      </c>
      <c r="AK43" s="226" t="s">
        <v>215</v>
      </c>
      <c r="AL43" s="229">
        <v>10.5</v>
      </c>
      <c r="AM43" s="274">
        <v>8.6</v>
      </c>
      <c r="AN43" s="345">
        <v>700</v>
      </c>
      <c r="AO43" s="345">
        <v>72</v>
      </c>
      <c r="AP43" s="274">
        <v>5.49</v>
      </c>
    </row>
    <row r="44" spans="1:53" ht="16.75" customHeight="1" thickBot="1">
      <c r="A44" s="350" t="s">
        <v>322</v>
      </c>
      <c r="B44" s="340"/>
      <c r="C44" s="340">
        <v>25300</v>
      </c>
      <c r="D44" s="339">
        <f>748+766+1896+762+766+489+770+773+762+1882+1146+1182+1132+1121+661+1188</f>
        <v>16044</v>
      </c>
      <c r="E44" s="340">
        <f>D44</f>
        <v>16044</v>
      </c>
      <c r="F44" s="340">
        <v>5078</v>
      </c>
      <c r="G44" s="340">
        <f>C44-E44-F44</f>
        <v>4178</v>
      </c>
      <c r="H44" s="846">
        <f>G44+F44</f>
        <v>9256</v>
      </c>
      <c r="I44" s="847"/>
      <c r="J44" s="57">
        <f t="shared" si="12"/>
        <v>0</v>
      </c>
      <c r="K44" s="57"/>
      <c r="L44" s="100" t="s">
        <v>293</v>
      </c>
      <c r="M44" s="11"/>
      <c r="N44" s="67">
        <v>758</v>
      </c>
      <c r="O44" s="76">
        <v>35</v>
      </c>
      <c r="P44" s="76">
        <f t="shared" si="6"/>
        <v>723</v>
      </c>
      <c r="Q44" s="10">
        <f t="shared" si="11"/>
        <v>765.56662499999993</v>
      </c>
      <c r="R44" s="54">
        <f t="shared" si="7"/>
        <v>13.013999999999998</v>
      </c>
      <c r="S44" s="103">
        <v>1.4999999999999999E-2</v>
      </c>
      <c r="T44" s="36">
        <f>R44*0.6</f>
        <v>7.808399999999998</v>
      </c>
      <c r="U44" s="46" t="e">
        <f t="shared" si="8"/>
        <v>#DIV/0!</v>
      </c>
      <c r="V44" s="36"/>
      <c r="X44" s="226" t="s">
        <v>209</v>
      </c>
      <c r="Y44" s="345">
        <v>9.1</v>
      </c>
      <c r="Z44" s="345">
        <v>0</v>
      </c>
      <c r="AA44" s="345">
        <v>0</v>
      </c>
      <c r="AB44" s="345">
        <f t="shared" ref="AB44" si="13">SUM(Y44:AA44)</f>
        <v>9.1</v>
      </c>
      <c r="AD44" s="226" t="s">
        <v>209</v>
      </c>
      <c r="AE44" s="345">
        <v>0</v>
      </c>
      <c r="AF44" s="345">
        <v>0</v>
      </c>
      <c r="AG44" s="345">
        <v>0</v>
      </c>
      <c r="AH44" s="345">
        <f t="shared" si="5"/>
        <v>0</v>
      </c>
      <c r="AK44" s="266" t="s">
        <v>216</v>
      </c>
      <c r="AL44" s="267">
        <v>10.6</v>
      </c>
      <c r="AM44" s="275">
        <v>6.74</v>
      </c>
      <c r="AN44" s="348">
        <v>260</v>
      </c>
      <c r="AO44" s="348">
        <v>77</v>
      </c>
      <c r="AP44" s="275">
        <v>6.1</v>
      </c>
    </row>
    <row r="45" spans="1:53" ht="18.8" thickTop="1">
      <c r="A45" s="333" t="s">
        <v>339</v>
      </c>
      <c r="B45" s="340"/>
      <c r="C45" s="340">
        <v>31250</v>
      </c>
      <c r="D45" s="339">
        <f>1196+1191+1934</f>
        <v>4321</v>
      </c>
      <c r="E45" s="340">
        <f>D45</f>
        <v>4321</v>
      </c>
      <c r="F45" s="340">
        <f>C45-14084</f>
        <v>17166</v>
      </c>
      <c r="G45" s="340">
        <f>C45-E45-F45</f>
        <v>9763</v>
      </c>
      <c r="H45" s="846">
        <f>G45+F45</f>
        <v>26929</v>
      </c>
      <c r="I45" s="847"/>
      <c r="J45" s="352">
        <f t="shared" si="12"/>
        <v>0</v>
      </c>
      <c r="K45" s="57"/>
      <c r="L45" s="100" t="s">
        <v>294</v>
      </c>
      <c r="M45" s="11"/>
      <c r="N45" s="67">
        <v>1872</v>
      </c>
      <c r="O45" s="76">
        <f>38+43</f>
        <v>81</v>
      </c>
      <c r="P45" s="76">
        <f t="shared" si="6"/>
        <v>1791</v>
      </c>
      <c r="Q45" s="10">
        <f t="shared" si="11"/>
        <v>1896.445125</v>
      </c>
      <c r="R45" s="54">
        <f t="shared" si="7"/>
        <v>32.238</v>
      </c>
      <c r="S45" s="103">
        <v>1.4999999999999999E-2</v>
      </c>
      <c r="T45" s="36">
        <f t="shared" ref="T45:T55" si="14">R45*0.6</f>
        <v>19.3428</v>
      </c>
      <c r="U45" s="46" t="e">
        <f t="shared" si="8"/>
        <v>#DIV/0!</v>
      </c>
      <c r="V45" s="36"/>
      <c r="W45" s="36"/>
      <c r="X45" s="226" t="s">
        <v>210</v>
      </c>
      <c r="Y45" s="345">
        <v>10</v>
      </c>
      <c r="Z45" s="345">
        <v>0.1</v>
      </c>
      <c r="AA45" s="345">
        <v>0</v>
      </c>
      <c r="AB45" s="345">
        <f t="shared" si="2"/>
        <v>10.1</v>
      </c>
      <c r="AD45" s="226" t="s">
        <v>210</v>
      </c>
      <c r="AE45" s="345">
        <v>0</v>
      </c>
      <c r="AF45" s="345">
        <v>0</v>
      </c>
      <c r="AG45" s="345">
        <v>0</v>
      </c>
      <c r="AH45" s="345">
        <f t="shared" si="5"/>
        <v>0</v>
      </c>
      <c r="AK45" s="270" t="s">
        <v>250</v>
      </c>
      <c r="AL45" s="269">
        <v>294.10000000000002</v>
      </c>
      <c r="AM45" s="271">
        <f>AVERAGE(AQ23:AQ44)</f>
        <v>5.9390909090909085</v>
      </c>
      <c r="AN45" s="268">
        <f>AVERAGE(AR23:AR44)</f>
        <v>372.72727272727275</v>
      </c>
      <c r="AO45" s="268">
        <f>AVERAGE(AS23:AS44)</f>
        <v>67.142499999999998</v>
      </c>
      <c r="AP45" s="269">
        <v>5.75</v>
      </c>
    </row>
    <row r="46" spans="1:53" ht="17.399999999999999" customHeight="1">
      <c r="A46" s="148" t="s">
        <v>31</v>
      </c>
      <c r="B46" s="340">
        <f>SUM(B41:B43)</f>
        <v>1088</v>
      </c>
      <c r="C46" s="340">
        <f>SUM(C41:C45)</f>
        <v>90279</v>
      </c>
      <c r="D46" s="340">
        <f>SUM(D41:D45)</f>
        <v>32998</v>
      </c>
      <c r="E46" s="340">
        <f>SUM(E41:E45)</f>
        <v>32998</v>
      </c>
      <c r="F46" s="340">
        <f>SUM(F41:F45)</f>
        <v>41581</v>
      </c>
      <c r="G46" s="340">
        <f>SUM(G41:G45)</f>
        <v>16788</v>
      </c>
      <c r="H46" s="845">
        <f>SUM(H41:I45)</f>
        <v>58369</v>
      </c>
      <c r="I46" s="845"/>
      <c r="J46" s="57">
        <f>B46+C46-E46-H46</f>
        <v>0</v>
      </c>
      <c r="K46" s="57"/>
      <c r="L46" s="100" t="s">
        <v>295</v>
      </c>
      <c r="M46" s="11"/>
      <c r="N46" s="67">
        <v>751</v>
      </c>
      <c r="O46" s="76">
        <v>31</v>
      </c>
      <c r="P46" s="76">
        <f t="shared" si="6"/>
        <v>720</v>
      </c>
      <c r="Q46" s="10">
        <f t="shared" si="11"/>
        <v>762.39</v>
      </c>
      <c r="R46" s="54">
        <f t="shared" si="7"/>
        <v>12.959999999999999</v>
      </c>
      <c r="S46" s="103">
        <v>1.4999999999999999E-2</v>
      </c>
      <c r="T46" s="36">
        <f t="shared" si="14"/>
        <v>7.7759999999999989</v>
      </c>
      <c r="U46" s="46" t="e">
        <f t="shared" si="8"/>
        <v>#DIV/0!</v>
      </c>
      <c r="X46" s="226" t="s">
        <v>211</v>
      </c>
      <c r="Y46" s="345">
        <v>10</v>
      </c>
      <c r="Z46" s="345">
        <v>0.1</v>
      </c>
      <c r="AA46" s="345">
        <v>0</v>
      </c>
      <c r="AB46" s="345">
        <f>SUM(Y46:AA46)</f>
        <v>10.1</v>
      </c>
      <c r="AD46" s="226" t="s">
        <v>211</v>
      </c>
      <c r="AE46" s="345">
        <v>0</v>
      </c>
      <c r="AF46" s="345">
        <v>0</v>
      </c>
      <c r="AG46" s="345">
        <v>0</v>
      </c>
      <c r="AH46" s="345">
        <f>SUM(AE46:AG46)</f>
        <v>0</v>
      </c>
    </row>
    <row r="47" spans="1:53" ht="14.4" customHeight="1">
      <c r="D47" s="221"/>
      <c r="J47" s="56"/>
      <c r="K47" s="56"/>
      <c r="L47" s="100" t="s">
        <v>296</v>
      </c>
      <c r="M47" s="11"/>
      <c r="N47" s="67">
        <v>761.7</v>
      </c>
      <c r="O47" s="76">
        <v>38</v>
      </c>
      <c r="P47" s="76">
        <f t="shared" si="6"/>
        <v>723.7</v>
      </c>
      <c r="Q47" s="10">
        <f t="shared" si="11"/>
        <v>766.30783750000001</v>
      </c>
      <c r="R47" s="54">
        <f t="shared" si="7"/>
        <v>13.0266</v>
      </c>
      <c r="S47" s="103">
        <v>1.4999999999999999E-2</v>
      </c>
      <c r="T47" s="36">
        <f t="shared" si="14"/>
        <v>7.8159599999999996</v>
      </c>
      <c r="U47" s="46" t="e">
        <f t="shared" si="8"/>
        <v>#DIV/0!</v>
      </c>
      <c r="X47" s="226" t="s">
        <v>212</v>
      </c>
      <c r="Y47" s="345">
        <v>10</v>
      </c>
      <c r="Z47" s="345">
        <v>0.3</v>
      </c>
      <c r="AA47" s="345">
        <v>0</v>
      </c>
      <c r="AB47" s="345">
        <f t="shared" si="2"/>
        <v>10.3</v>
      </c>
      <c r="AD47" s="226" t="s">
        <v>212</v>
      </c>
      <c r="AE47" s="345">
        <v>0</v>
      </c>
      <c r="AF47" s="345">
        <v>0</v>
      </c>
      <c r="AG47" s="345">
        <v>0</v>
      </c>
      <c r="AH47" s="345">
        <f t="shared" ref="AH47:AH52" si="15">SUM(AE47:AG47)</f>
        <v>0</v>
      </c>
    </row>
    <row r="48" spans="1:53" ht="16.3" customHeight="1">
      <c r="A48" s="15" t="s">
        <v>78</v>
      </c>
      <c r="F48" s="42"/>
      <c r="G48" s="42"/>
      <c r="J48" s="104"/>
      <c r="K48" s="104"/>
      <c r="L48" s="100" t="s">
        <v>297</v>
      </c>
      <c r="M48" s="11"/>
      <c r="N48" s="67">
        <v>485</v>
      </c>
      <c r="O48" s="76">
        <v>23</v>
      </c>
      <c r="P48" s="76">
        <f t="shared" si="6"/>
        <v>462</v>
      </c>
      <c r="Q48" s="10">
        <f t="shared" si="11"/>
        <v>489.20024999999998</v>
      </c>
      <c r="R48" s="54">
        <f t="shared" si="7"/>
        <v>8.3159999999999989</v>
      </c>
      <c r="S48" s="103">
        <v>1.4999999999999999E-2</v>
      </c>
      <c r="T48" s="36">
        <f t="shared" si="14"/>
        <v>4.9895999999999994</v>
      </c>
      <c r="U48" s="46" t="e">
        <f t="shared" si="8"/>
        <v>#DIV/0!</v>
      </c>
      <c r="X48" s="227" t="s">
        <v>110</v>
      </c>
      <c r="Y48" s="345">
        <v>24</v>
      </c>
      <c r="Z48" s="345">
        <v>0</v>
      </c>
      <c r="AA48" s="345">
        <v>0</v>
      </c>
      <c r="AB48" s="345">
        <f t="shared" si="2"/>
        <v>24</v>
      </c>
      <c r="AD48" s="229" t="s">
        <v>110</v>
      </c>
      <c r="AE48" s="345">
        <v>0</v>
      </c>
      <c r="AF48" s="345">
        <v>0</v>
      </c>
      <c r="AG48" s="345">
        <v>0</v>
      </c>
      <c r="AH48" s="345">
        <f t="shared" si="15"/>
        <v>0</v>
      </c>
    </row>
    <row r="49" spans="1:47" ht="16.3" customHeight="1">
      <c r="A49" s="833" t="s">
        <v>1</v>
      </c>
      <c r="B49" s="835" t="s">
        <v>37</v>
      </c>
      <c r="C49" s="836"/>
      <c r="D49" s="837" t="s">
        <v>35</v>
      </c>
      <c r="E49" s="838"/>
      <c r="F49" s="837" t="s">
        <v>36</v>
      </c>
      <c r="G49" s="838"/>
      <c r="H49" s="839" t="s">
        <v>6</v>
      </c>
      <c r="I49" s="836"/>
      <c r="J49" s="104"/>
      <c r="K49" s="104"/>
      <c r="L49" s="100" t="s">
        <v>298</v>
      </c>
      <c r="M49" s="11"/>
      <c r="N49" s="67">
        <v>760</v>
      </c>
      <c r="O49" s="76">
        <v>33</v>
      </c>
      <c r="P49" s="76">
        <f t="shared" si="6"/>
        <v>727</v>
      </c>
      <c r="Q49" s="10">
        <f t="shared" si="11"/>
        <v>769.80212500000005</v>
      </c>
      <c r="R49" s="54">
        <f t="shared" si="7"/>
        <v>13.085999999999999</v>
      </c>
      <c r="S49" s="103">
        <v>1.4999999999999999E-2</v>
      </c>
      <c r="T49" s="36">
        <f t="shared" si="14"/>
        <v>7.8515999999999986</v>
      </c>
      <c r="U49" s="46" t="e">
        <f t="shared" si="8"/>
        <v>#DIV/0!</v>
      </c>
      <c r="X49" s="226" t="s">
        <v>213</v>
      </c>
      <c r="Y49" s="345">
        <v>10</v>
      </c>
      <c r="Z49" s="345">
        <v>0.5</v>
      </c>
      <c r="AA49" s="345">
        <v>0</v>
      </c>
      <c r="AB49" s="345">
        <f t="shared" si="2"/>
        <v>10.5</v>
      </c>
      <c r="AD49" s="227" t="s">
        <v>111</v>
      </c>
      <c r="AE49" s="345">
        <v>0</v>
      </c>
      <c r="AF49" s="345">
        <v>0</v>
      </c>
      <c r="AG49" s="345">
        <v>0</v>
      </c>
      <c r="AH49" s="345">
        <f t="shared" si="15"/>
        <v>0</v>
      </c>
    </row>
    <row r="50" spans="1:47" ht="16.3" customHeight="1">
      <c r="A50" s="834"/>
      <c r="B50" s="341" t="s">
        <v>3</v>
      </c>
      <c r="C50" s="152" t="s">
        <v>82</v>
      </c>
      <c r="D50" s="341" t="s">
        <v>80</v>
      </c>
      <c r="E50" s="152" t="s">
        <v>81</v>
      </c>
      <c r="F50" s="152" t="s">
        <v>80</v>
      </c>
      <c r="G50" s="151" t="s">
        <v>81</v>
      </c>
      <c r="H50" s="840"/>
      <c r="I50" s="841"/>
      <c r="J50" s="104"/>
      <c r="K50" s="104"/>
      <c r="L50" s="100" t="s">
        <v>299</v>
      </c>
      <c r="M50" s="11"/>
      <c r="N50" s="67">
        <v>767</v>
      </c>
      <c r="O50" s="76">
        <v>34</v>
      </c>
      <c r="P50" s="76">
        <f t="shared" si="6"/>
        <v>733</v>
      </c>
      <c r="Q50" s="10">
        <f>P50*(1-S50)*1.07</f>
        <v>772.54534999999998</v>
      </c>
      <c r="R50" s="54">
        <f t="shared" si="7"/>
        <v>13.193999999999999</v>
      </c>
      <c r="S50" s="103">
        <v>1.4999999999999999E-2</v>
      </c>
      <c r="T50" s="36">
        <f t="shared" si="14"/>
        <v>7.9163999999999994</v>
      </c>
      <c r="U50" s="46" t="e">
        <f t="shared" si="8"/>
        <v>#DIV/0!</v>
      </c>
      <c r="X50" s="226" t="s">
        <v>214</v>
      </c>
      <c r="Y50" s="345">
        <v>10</v>
      </c>
      <c r="Z50" s="345">
        <v>0.5</v>
      </c>
      <c r="AA50" s="345">
        <v>0</v>
      </c>
      <c r="AB50" s="345">
        <f t="shared" si="2"/>
        <v>10.5</v>
      </c>
      <c r="AD50" s="226" t="s">
        <v>214</v>
      </c>
      <c r="AE50" s="345">
        <v>0</v>
      </c>
      <c r="AF50" s="345">
        <v>0</v>
      </c>
      <c r="AG50" s="345">
        <v>0</v>
      </c>
      <c r="AH50" s="345">
        <f t="shared" si="15"/>
        <v>0</v>
      </c>
    </row>
    <row r="51" spans="1:47" ht="16.3" customHeight="1">
      <c r="A51" s="160" t="s">
        <v>85</v>
      </c>
      <c r="B51" s="149">
        <v>14</v>
      </c>
      <c r="C51" s="154">
        <v>113</v>
      </c>
      <c r="D51" s="184">
        <v>0</v>
      </c>
      <c r="E51" s="153">
        <v>583</v>
      </c>
      <c r="F51" s="153">
        <v>13</v>
      </c>
      <c r="G51" s="185">
        <v>696</v>
      </c>
      <c r="H51" s="846">
        <f>B51+D51-F51</f>
        <v>1</v>
      </c>
      <c r="I51" s="847"/>
      <c r="J51" s="240">
        <f>C51+E51-G51</f>
        <v>0</v>
      </c>
      <c r="K51" s="240"/>
      <c r="L51" s="100" t="s">
        <v>300</v>
      </c>
      <c r="M51" s="11"/>
      <c r="N51" s="67">
        <v>753</v>
      </c>
      <c r="O51" s="76">
        <v>33</v>
      </c>
      <c r="P51" s="76">
        <f t="shared" si="6"/>
        <v>720</v>
      </c>
      <c r="Q51" s="10">
        <f t="shared" si="11"/>
        <v>762.39</v>
      </c>
      <c r="R51" s="54">
        <f t="shared" si="7"/>
        <v>12.959999999999999</v>
      </c>
      <c r="S51" s="103">
        <v>1.4999999999999999E-2</v>
      </c>
      <c r="T51" s="36">
        <f t="shared" si="14"/>
        <v>7.7759999999999989</v>
      </c>
      <c r="U51" s="46" t="e">
        <f t="shared" si="8"/>
        <v>#DIV/0!</v>
      </c>
      <c r="X51" s="226" t="s">
        <v>215</v>
      </c>
      <c r="Y51" s="345">
        <v>10</v>
      </c>
      <c r="Z51" s="345">
        <v>0.5</v>
      </c>
      <c r="AA51" s="345">
        <v>0</v>
      </c>
      <c r="AB51" s="345">
        <f t="shared" si="2"/>
        <v>10.5</v>
      </c>
      <c r="AD51" s="226" t="s">
        <v>215</v>
      </c>
      <c r="AE51" s="345">
        <v>0</v>
      </c>
      <c r="AF51" s="345">
        <v>0</v>
      </c>
      <c r="AG51" s="345">
        <v>0</v>
      </c>
      <c r="AH51" s="345">
        <f t="shared" si="15"/>
        <v>0</v>
      </c>
    </row>
    <row r="52" spans="1:47" ht="16.3" customHeight="1">
      <c r="A52" s="149" t="s">
        <v>79</v>
      </c>
      <c r="B52" s="149">
        <v>80</v>
      </c>
      <c r="C52" s="345">
        <v>85</v>
      </c>
      <c r="D52" s="184">
        <v>0</v>
      </c>
      <c r="E52" s="153">
        <f>641+87</f>
        <v>728</v>
      </c>
      <c r="F52" s="153">
        <v>41</v>
      </c>
      <c r="G52" s="185">
        <v>784</v>
      </c>
      <c r="H52" s="846">
        <f>B52+D52-F52</f>
        <v>39</v>
      </c>
      <c r="I52" s="847"/>
      <c r="J52" s="241">
        <f>C52+E52-G52</f>
        <v>29</v>
      </c>
      <c r="K52" s="241"/>
      <c r="L52" s="100" t="s">
        <v>301</v>
      </c>
      <c r="M52" s="67"/>
      <c r="N52" s="67">
        <v>1855</v>
      </c>
      <c r="O52" s="76">
        <v>78</v>
      </c>
      <c r="P52" s="76">
        <f t="shared" si="6"/>
        <v>1777</v>
      </c>
      <c r="Q52" s="10">
        <f t="shared" si="11"/>
        <v>1881.6208749999998</v>
      </c>
      <c r="R52" s="54">
        <f t="shared" si="7"/>
        <v>31.985999999999997</v>
      </c>
      <c r="S52" s="103">
        <v>1.4999999999999999E-2</v>
      </c>
      <c r="T52" s="36">
        <f t="shared" si="14"/>
        <v>19.191599999999998</v>
      </c>
      <c r="U52" s="46" t="e">
        <f t="shared" si="8"/>
        <v>#DIV/0!</v>
      </c>
      <c r="X52" s="226" t="s">
        <v>216</v>
      </c>
      <c r="Y52" s="345">
        <v>10</v>
      </c>
      <c r="Z52" s="345">
        <v>0.6</v>
      </c>
      <c r="AA52" s="345">
        <v>0</v>
      </c>
      <c r="AB52" s="345">
        <f t="shared" si="2"/>
        <v>10.6</v>
      </c>
      <c r="AD52" s="226" t="s">
        <v>216</v>
      </c>
      <c r="AE52" s="345">
        <v>8</v>
      </c>
      <c r="AF52" s="345">
        <v>1.3</v>
      </c>
      <c r="AG52" s="345">
        <v>4</v>
      </c>
      <c r="AH52" s="345">
        <f t="shared" si="15"/>
        <v>13.3</v>
      </c>
      <c r="AR52" s="13">
        <v>34900</v>
      </c>
      <c r="AS52" s="13">
        <v>200</v>
      </c>
      <c r="AT52" s="13">
        <f>AS52*AR52</f>
        <v>6980000</v>
      </c>
    </row>
    <row r="53" spans="1:47" ht="16.75" customHeight="1">
      <c r="A53" s="149" t="s">
        <v>77</v>
      </c>
      <c r="B53" s="149">
        <f>SUM(B51:B52)</f>
        <v>94</v>
      </c>
      <c r="C53" s="149">
        <f>SUM(C51:C52)</f>
        <v>198</v>
      </c>
      <c r="D53" s="149">
        <f t="shared" ref="D53:G53" si="16">SUM(D51:D52)</f>
        <v>0</v>
      </c>
      <c r="E53" s="149">
        <f t="shared" si="16"/>
        <v>1311</v>
      </c>
      <c r="F53" s="149">
        <f t="shared" si="16"/>
        <v>54</v>
      </c>
      <c r="G53" s="149">
        <f t="shared" si="16"/>
        <v>1480</v>
      </c>
      <c r="H53" s="846">
        <f t="shared" ref="H53" si="17">B53+D53-F53</f>
        <v>40</v>
      </c>
      <c r="I53" s="847"/>
      <c r="J53" s="127">
        <f>SUM(J51:J52)</f>
        <v>29</v>
      </c>
      <c r="K53" s="127"/>
      <c r="L53" s="100" t="s">
        <v>302</v>
      </c>
      <c r="M53" s="11"/>
      <c r="N53" s="67">
        <v>1134</v>
      </c>
      <c r="O53" s="76">
        <v>49</v>
      </c>
      <c r="P53" s="76">
        <f t="shared" si="6"/>
        <v>1085</v>
      </c>
      <c r="Q53" s="10">
        <f>P53*(1-S53)*1.072</f>
        <v>1145.6732</v>
      </c>
      <c r="R53" s="54">
        <f t="shared" si="7"/>
        <v>19.529999999999998</v>
      </c>
      <c r="S53" s="103">
        <v>1.4999999999999999E-2</v>
      </c>
      <c r="T53" s="36">
        <f t="shared" si="14"/>
        <v>11.717999999999998</v>
      </c>
      <c r="U53" s="46" t="e">
        <f t="shared" si="8"/>
        <v>#DIV/0!</v>
      </c>
      <c r="X53" s="226" t="s">
        <v>31</v>
      </c>
      <c r="Y53" s="345">
        <f>SUM(AC22:AC52)</f>
        <v>61.7</v>
      </c>
      <c r="Z53" s="345">
        <f>SUM(AD22:AD52)</f>
        <v>10.5</v>
      </c>
      <c r="AA53" s="345">
        <f>SUM(AE22:AE52)</f>
        <v>106.8</v>
      </c>
      <c r="AB53" s="154">
        <f>SUM(AF22:AF52)</f>
        <v>117.8</v>
      </c>
      <c r="AD53" s="226" t="s">
        <v>31</v>
      </c>
      <c r="AE53" s="345">
        <f>SUM(AI22:AI52)</f>
        <v>122.9</v>
      </c>
      <c r="AF53" s="345">
        <f>SUM(AJ22:AJ52)</f>
        <v>63.6</v>
      </c>
      <c r="AG53" s="345">
        <f>SUM(AK22:AK52)</f>
        <v>46.1</v>
      </c>
      <c r="AH53" s="154">
        <f>SUM(AL22:AL52)</f>
        <v>653.20000000000005</v>
      </c>
      <c r="AR53" s="13">
        <v>34950</v>
      </c>
      <c r="AS53" s="13">
        <v>800</v>
      </c>
      <c r="AT53" s="13">
        <f t="shared" ref="AT53:AT58" si="18">AS53*AR53</f>
        <v>27960000</v>
      </c>
    </row>
    <row r="54" spans="1:47" ht="19.899999999999999" customHeight="1">
      <c r="L54" s="100" t="s">
        <v>303</v>
      </c>
      <c r="M54" s="11"/>
      <c r="N54" s="67">
        <v>1177</v>
      </c>
      <c r="O54" s="76">
        <v>58</v>
      </c>
      <c r="P54" s="76">
        <f t="shared" si="6"/>
        <v>1119</v>
      </c>
      <c r="Q54" s="10">
        <f t="shared" ref="Q54:Q64" si="19">P54*(1-S54)*1.072</f>
        <v>1181.57448</v>
      </c>
      <c r="R54" s="54">
        <f t="shared" si="7"/>
        <v>20.141999999999999</v>
      </c>
      <c r="S54" s="103">
        <v>1.4999999999999999E-2</v>
      </c>
      <c r="T54" s="36">
        <f t="shared" si="14"/>
        <v>12.085199999999999</v>
      </c>
      <c r="U54" s="46" t="e">
        <f t="shared" si="8"/>
        <v>#DIV/0!</v>
      </c>
      <c r="X54" s="226" t="s">
        <v>220</v>
      </c>
      <c r="Y54" s="345">
        <v>63.1</v>
      </c>
      <c r="Z54" s="345">
        <v>109.2</v>
      </c>
      <c r="AA54" s="345">
        <v>166.7</v>
      </c>
      <c r="AB54" s="230">
        <f>AB56/AB53</f>
        <v>193.91706281833618</v>
      </c>
      <c r="AC54" s="51"/>
      <c r="AD54" s="226" t="s">
        <v>220</v>
      </c>
      <c r="AE54" s="345">
        <v>63.1</v>
      </c>
      <c r="AF54" s="345">
        <v>109.2</v>
      </c>
      <c r="AG54" s="345">
        <v>166.7</v>
      </c>
      <c r="AH54" s="230">
        <f>AH56/AH53</f>
        <v>34.269718309859151</v>
      </c>
      <c r="AR54" s="13">
        <v>34600</v>
      </c>
      <c r="AS54" s="13">
        <v>16</v>
      </c>
      <c r="AT54" s="13">
        <f t="shared" si="18"/>
        <v>553600</v>
      </c>
    </row>
    <row r="55" spans="1:47" ht="19.899999999999999" customHeight="1">
      <c r="A55" s="15" t="s">
        <v>321</v>
      </c>
      <c r="B55" s="115"/>
      <c r="F55" s="115"/>
      <c r="H55" s="150"/>
      <c r="J55" s="127">
        <v>6817</v>
      </c>
      <c r="K55" s="127"/>
      <c r="L55" s="100" t="s">
        <v>304</v>
      </c>
      <c r="M55" s="11"/>
      <c r="N55" s="67">
        <v>1130</v>
      </c>
      <c r="O55" s="76">
        <v>58</v>
      </c>
      <c r="P55" s="76">
        <f t="shared" si="6"/>
        <v>1072</v>
      </c>
      <c r="Q55" s="10">
        <f t="shared" si="19"/>
        <v>1131.9462400000002</v>
      </c>
      <c r="R55" s="54">
        <f t="shared" si="7"/>
        <v>19.295999999999996</v>
      </c>
      <c r="S55" s="103">
        <v>1.4999999999999999E-2</v>
      </c>
      <c r="T55" s="36">
        <f t="shared" si="14"/>
        <v>11.577599999999997</v>
      </c>
      <c r="U55" s="46" t="e">
        <f t="shared" si="8"/>
        <v>#DIV/0!</v>
      </c>
      <c r="X55" s="225" t="s">
        <v>221</v>
      </c>
      <c r="Y55" s="228">
        <f>Y53/$AB$53</f>
        <v>0.52376910016977929</v>
      </c>
      <c r="Z55" s="228">
        <f t="shared" ref="Z55:AA55" si="20">Z53/$AB$53</f>
        <v>8.9134125636672334E-2</v>
      </c>
      <c r="AA55" s="228">
        <f t="shared" si="20"/>
        <v>0.90662139219015281</v>
      </c>
      <c r="AB55" s="228">
        <f>SUM(Y55:AA55)</f>
        <v>1.5195246179966044</v>
      </c>
      <c r="AC55" s="51"/>
      <c r="AD55" s="225" t="s">
        <v>221</v>
      </c>
      <c r="AE55" s="228">
        <f>AE53/$AH$53</f>
        <v>0.18815064298836498</v>
      </c>
      <c r="AF55" s="228">
        <f t="shared" ref="AF55:AG55" si="21">AF53/$AH$53</f>
        <v>9.7366809552969988E-2</v>
      </c>
      <c r="AG55" s="228">
        <f t="shared" si="21"/>
        <v>7.057562767911818E-2</v>
      </c>
      <c r="AH55" s="228">
        <f>SUM(AE55:AG55)</f>
        <v>0.35609308022045316</v>
      </c>
      <c r="AR55" s="13">
        <v>34750</v>
      </c>
      <c r="AS55" s="13">
        <v>340</v>
      </c>
      <c r="AT55" s="13">
        <f t="shared" si="18"/>
        <v>11815000</v>
      </c>
    </row>
    <row r="56" spans="1:47" ht="19.899999999999999" customHeight="1">
      <c r="A56" s="194" t="s">
        <v>153</v>
      </c>
      <c r="B56" s="194" t="s">
        <v>154</v>
      </c>
      <c r="C56" s="194" t="s">
        <v>155</v>
      </c>
      <c r="D56" s="194" t="s">
        <v>156</v>
      </c>
      <c r="E56" s="194" t="s">
        <v>54</v>
      </c>
      <c r="F56" s="194" t="s">
        <v>161</v>
      </c>
      <c r="G56" s="116"/>
      <c r="H56" s="116"/>
      <c r="J56" s="59"/>
      <c r="K56" s="59"/>
      <c r="L56" s="100" t="s">
        <v>305</v>
      </c>
      <c r="M56" s="11"/>
      <c r="N56" s="67">
        <v>1114</v>
      </c>
      <c r="O56" s="76">
        <v>52</v>
      </c>
      <c r="P56" s="76">
        <f t="shared" si="6"/>
        <v>1062</v>
      </c>
      <c r="Q56" s="10">
        <f t="shared" si="19"/>
        <v>1121.3870400000001</v>
      </c>
      <c r="R56" s="54">
        <f t="shared" si="7"/>
        <v>19.116</v>
      </c>
      <c r="S56" s="103">
        <v>1.4999999999999999E-2</v>
      </c>
      <c r="T56" s="36">
        <f t="shared" ref="T56:T66" si="22">R56*0.75</f>
        <v>14.337</v>
      </c>
      <c r="U56" s="46" t="e">
        <f t="shared" si="8"/>
        <v>#DIV/0!</v>
      </c>
      <c r="X56" s="231" t="s">
        <v>223</v>
      </c>
      <c r="Y56" s="54">
        <f>Y53*Y54</f>
        <v>3893.2700000000004</v>
      </c>
      <c r="Z56" s="54">
        <f>Z53*Z54</f>
        <v>1146.6000000000001</v>
      </c>
      <c r="AA56" s="54">
        <f>AA53*AA54</f>
        <v>17803.559999999998</v>
      </c>
      <c r="AB56" s="61">
        <f>SUM(Y56:AA56)</f>
        <v>22843.43</v>
      </c>
      <c r="AC56" s="51"/>
      <c r="AD56" s="231" t="s">
        <v>223</v>
      </c>
      <c r="AE56" s="54">
        <f>AE53*AE54</f>
        <v>7754.9900000000007</v>
      </c>
      <c r="AF56" s="54">
        <f>AF53*AF54</f>
        <v>6945.12</v>
      </c>
      <c r="AG56" s="54">
        <f>AG53*AG54</f>
        <v>7684.87</v>
      </c>
      <c r="AH56" s="61">
        <f>SUM(AE56:AG56)</f>
        <v>22384.98</v>
      </c>
      <c r="AR56" s="13">
        <v>34800</v>
      </c>
      <c r="AS56" s="13">
        <v>186</v>
      </c>
      <c r="AT56" s="13">
        <f t="shared" si="18"/>
        <v>6472800</v>
      </c>
    </row>
    <row r="57" spans="1:47" ht="19.899999999999999" customHeight="1">
      <c r="A57" s="195" t="s">
        <v>160</v>
      </c>
      <c r="B57" s="196">
        <v>0</v>
      </c>
      <c r="C57" s="196">
        <v>0</v>
      </c>
      <c r="D57" s="196">
        <v>1320</v>
      </c>
      <c r="E57" s="340">
        <v>1320</v>
      </c>
      <c r="F57" s="340">
        <f>D57-E57</f>
        <v>0</v>
      </c>
      <c r="G57" s="51"/>
      <c r="H57" s="51"/>
      <c r="J57" s="59"/>
      <c r="K57" s="59"/>
      <c r="L57" s="100" t="s">
        <v>306</v>
      </c>
      <c r="M57" s="11"/>
      <c r="N57" s="67">
        <v>1209</v>
      </c>
      <c r="O57" s="76">
        <v>57</v>
      </c>
      <c r="P57" s="76">
        <f t="shared" si="6"/>
        <v>1152</v>
      </c>
      <c r="Q57" s="10">
        <f>P57*(1-S57)*1.052</f>
        <v>1193.7254400000002</v>
      </c>
      <c r="R57" s="54">
        <f t="shared" si="7"/>
        <v>20.736000000000001</v>
      </c>
      <c r="S57" s="103">
        <v>1.4999999999999999E-2</v>
      </c>
      <c r="T57" s="36">
        <f t="shared" si="22"/>
        <v>15.552</v>
      </c>
      <c r="U57" s="46" t="e">
        <f t="shared" si="8"/>
        <v>#DIV/0!</v>
      </c>
      <c r="X57" s="46"/>
      <c r="AH57" s="232">
        <f>AB54-AH54</f>
        <v>159.64734450847703</v>
      </c>
      <c r="AR57" s="13">
        <v>35000</v>
      </c>
      <c r="AS57" s="13">
        <v>850</v>
      </c>
      <c r="AT57" s="13">
        <f t="shared" si="18"/>
        <v>29750000</v>
      </c>
    </row>
    <row r="58" spans="1:47" ht="19.899999999999999" customHeight="1">
      <c r="A58" s="195" t="s">
        <v>157</v>
      </c>
      <c r="B58" s="90">
        <v>1300</v>
      </c>
      <c r="C58" s="90"/>
      <c r="D58" s="90">
        <v>2164</v>
      </c>
      <c r="E58" s="340">
        <f>D57+B58</f>
        <v>2620</v>
      </c>
      <c r="F58" s="340">
        <f t="shared" ref="F58:F93" si="23">D58-E58</f>
        <v>-456</v>
      </c>
      <c r="G58" s="51"/>
      <c r="H58" s="117"/>
      <c r="L58" s="100" t="s">
        <v>307</v>
      </c>
      <c r="M58" s="11"/>
      <c r="N58" s="67">
        <v>1208</v>
      </c>
      <c r="O58" s="76">
        <v>52</v>
      </c>
      <c r="P58" s="76">
        <f t="shared" si="6"/>
        <v>1156</v>
      </c>
      <c r="Q58" s="10">
        <f t="shared" ref="Q58:Q59" si="24">P58*(1-S58)*1.052</f>
        <v>1197.8703200000002</v>
      </c>
      <c r="R58" s="54">
        <f t="shared" si="7"/>
        <v>20.808</v>
      </c>
      <c r="S58" s="103">
        <v>1.4999999999999999E-2</v>
      </c>
      <c r="T58" s="36">
        <f t="shared" si="22"/>
        <v>15.606</v>
      </c>
      <c r="U58" s="46" t="e">
        <f t="shared" si="8"/>
        <v>#DIV/0!</v>
      </c>
      <c r="X58" s="233" t="s">
        <v>226</v>
      </c>
      <c r="Y58" s="233" t="s">
        <v>220</v>
      </c>
      <c r="Z58" s="233" t="s">
        <v>227</v>
      </c>
      <c r="AA58" s="22"/>
      <c r="AB58" s="51"/>
      <c r="AC58" s="51"/>
      <c r="AD58" s="233" t="s">
        <v>226</v>
      </c>
      <c r="AE58" s="233" t="s">
        <v>220</v>
      </c>
      <c r="AF58" s="233" t="s">
        <v>227</v>
      </c>
      <c r="AG58" s="224" t="s">
        <v>161</v>
      </c>
      <c r="AH58" s="51"/>
      <c r="AR58" s="13">
        <v>35050</v>
      </c>
      <c r="AS58" s="13">
        <v>150</v>
      </c>
      <c r="AT58" s="13">
        <f t="shared" si="18"/>
        <v>5257500</v>
      </c>
    </row>
    <row r="59" spans="1:47" ht="19.899999999999999" customHeight="1">
      <c r="A59" s="195" t="s">
        <v>73</v>
      </c>
      <c r="B59" s="90">
        <v>1800</v>
      </c>
      <c r="C59" s="90"/>
      <c r="D59" s="90">
        <v>4094</v>
      </c>
      <c r="E59" s="340">
        <f>E58+B59</f>
        <v>4420</v>
      </c>
      <c r="F59" s="340">
        <f t="shared" si="23"/>
        <v>-326</v>
      </c>
      <c r="G59" s="51"/>
      <c r="H59" s="117"/>
      <c r="L59" s="100" t="s">
        <v>308</v>
      </c>
      <c r="M59" s="11"/>
      <c r="N59" s="67">
        <v>1963</v>
      </c>
      <c r="O59" s="76">
        <v>60</v>
      </c>
      <c r="P59" s="76">
        <f t="shared" si="6"/>
        <v>1903</v>
      </c>
      <c r="Q59" s="10">
        <f t="shared" si="24"/>
        <v>1971.9266600000001</v>
      </c>
      <c r="R59" s="54">
        <f t="shared" si="7"/>
        <v>34.253999999999998</v>
      </c>
      <c r="S59" s="103">
        <v>1.4999999999999999E-2</v>
      </c>
      <c r="T59" s="36">
        <f t="shared" si="22"/>
        <v>25.6905</v>
      </c>
      <c r="U59" s="46" t="e">
        <f t="shared" si="8"/>
        <v>#DIV/0!</v>
      </c>
      <c r="X59" s="234">
        <f>C17</f>
        <v>37.960257336046737</v>
      </c>
      <c r="Y59" s="234">
        <f>AB54</f>
        <v>193.91706281833618</v>
      </c>
      <c r="Z59" s="107">
        <f>Y59*X59</f>
        <v>7361.1416064343821</v>
      </c>
      <c r="AA59" s="92"/>
      <c r="AB59" s="92"/>
      <c r="AC59" s="92"/>
      <c r="AD59" s="234">
        <v>36.5</v>
      </c>
      <c r="AE59" s="234">
        <f>AH54</f>
        <v>34.269718309859151</v>
      </c>
      <c r="AF59" s="107">
        <f>AE59*AD59</f>
        <v>1250.844718309859</v>
      </c>
      <c r="AG59" s="235">
        <f>Z59-AF59</f>
        <v>6110.2968881245233</v>
      </c>
      <c r="AH59" s="51"/>
      <c r="AS59" s="13">
        <f>SUM(AS52:AS58)</f>
        <v>2542</v>
      </c>
      <c r="AT59" s="13">
        <f>SUM(AT52:AT58)</f>
        <v>88788900</v>
      </c>
      <c r="AU59" s="13">
        <f>AT59/AS59</f>
        <v>34928.756884343034</v>
      </c>
    </row>
    <row r="60" spans="1:47" ht="19.899999999999999" customHeight="1">
      <c r="A60" s="195" t="s">
        <v>158</v>
      </c>
      <c r="B60" s="90">
        <v>1200</v>
      </c>
      <c r="C60" s="90"/>
      <c r="D60" s="90">
        <v>5448</v>
      </c>
      <c r="E60" s="340">
        <f>E59+B60</f>
        <v>5620</v>
      </c>
      <c r="F60" s="340">
        <f t="shared" si="23"/>
        <v>-172</v>
      </c>
      <c r="G60" s="118"/>
      <c r="H60" s="117"/>
      <c r="L60" s="100" t="s">
        <v>309</v>
      </c>
      <c r="M60" s="11"/>
      <c r="N60" s="67">
        <v>894</v>
      </c>
      <c r="O60" s="76">
        <v>44</v>
      </c>
      <c r="P60" s="76">
        <f t="shared" si="6"/>
        <v>850</v>
      </c>
      <c r="Q60" s="10">
        <f>P60*(1-S60)*1.06</f>
        <v>887.48500000000001</v>
      </c>
      <c r="R60" s="54">
        <f t="shared" si="7"/>
        <v>15.299999999999999</v>
      </c>
      <c r="S60" s="103">
        <v>1.4999999999999999E-2</v>
      </c>
      <c r="T60" s="36">
        <f t="shared" si="22"/>
        <v>11.475</v>
      </c>
      <c r="U60" s="46" t="e">
        <f t="shared" si="8"/>
        <v>#DIV/0!</v>
      </c>
      <c r="X60" s="46"/>
      <c r="Y60" s="46"/>
      <c r="Z60" s="46"/>
    </row>
    <row r="61" spans="1:47">
      <c r="A61" s="195" t="s">
        <v>159</v>
      </c>
      <c r="B61" s="90">
        <v>614</v>
      </c>
      <c r="C61" s="90">
        <v>88</v>
      </c>
      <c r="D61" s="90">
        <v>5673</v>
      </c>
      <c r="E61" s="340">
        <f>E60+B61-C61</f>
        <v>6146</v>
      </c>
      <c r="F61" s="340">
        <f t="shared" si="23"/>
        <v>-473</v>
      </c>
      <c r="G61" s="119"/>
      <c r="H61" s="118"/>
      <c r="I61" s="115"/>
      <c r="L61" s="100" t="s">
        <v>310</v>
      </c>
      <c r="M61" s="11"/>
      <c r="N61" s="67">
        <v>1187</v>
      </c>
      <c r="O61" s="76">
        <v>57</v>
      </c>
      <c r="P61" s="76">
        <f t="shared" si="6"/>
        <v>1130</v>
      </c>
      <c r="Q61" s="10">
        <f t="shared" ref="Q61:Q62" si="25">P61*(1-S61)*1.06</f>
        <v>1179.8330000000001</v>
      </c>
      <c r="R61" s="54">
        <f t="shared" si="7"/>
        <v>20.34</v>
      </c>
      <c r="S61" s="103">
        <v>1.4999999999999999E-2</v>
      </c>
      <c r="T61" s="36">
        <f t="shared" si="22"/>
        <v>15.254999999999999</v>
      </c>
      <c r="U61" s="46" t="e">
        <f t="shared" si="8"/>
        <v>#DIV/0!</v>
      </c>
      <c r="X61" s="9"/>
      <c r="Y61" s="9"/>
      <c r="Z61" s="9"/>
      <c r="AA61" s="35"/>
    </row>
    <row r="62" spans="1:47">
      <c r="A62" s="195" t="s">
        <v>162</v>
      </c>
      <c r="B62" s="90">
        <v>1248</v>
      </c>
      <c r="C62" s="90"/>
      <c r="D62" s="90">
        <v>7027</v>
      </c>
      <c r="E62" s="340">
        <f>E61+B62-C62</f>
        <v>7394</v>
      </c>
      <c r="F62" s="340">
        <f t="shared" si="23"/>
        <v>-367</v>
      </c>
      <c r="G62" s="119"/>
      <c r="H62" s="118"/>
      <c r="L62" s="100" t="s">
        <v>311</v>
      </c>
      <c r="M62" s="11"/>
      <c r="N62" s="67">
        <v>1201</v>
      </c>
      <c r="O62" s="76">
        <v>56</v>
      </c>
      <c r="P62" s="76">
        <f t="shared" si="6"/>
        <v>1145</v>
      </c>
      <c r="Q62" s="10">
        <f t="shared" si="25"/>
        <v>1195.4945</v>
      </c>
      <c r="R62" s="54">
        <f t="shared" si="7"/>
        <v>20.61</v>
      </c>
      <c r="S62" s="103">
        <v>1.4999999999999999E-2</v>
      </c>
      <c r="T62" s="36">
        <f t="shared" si="22"/>
        <v>15.4575</v>
      </c>
      <c r="U62" s="46" t="e">
        <f t="shared" si="8"/>
        <v>#DIV/0!</v>
      </c>
      <c r="V62" s="18"/>
    </row>
    <row r="63" spans="1:47">
      <c r="A63" s="195" t="s">
        <v>163</v>
      </c>
      <c r="B63" s="340">
        <v>943</v>
      </c>
      <c r="C63" s="340">
        <v>58</v>
      </c>
      <c r="D63" s="340">
        <v>8155</v>
      </c>
      <c r="E63" s="340">
        <f>E62+B63-C63</f>
        <v>8279</v>
      </c>
      <c r="F63" s="340">
        <f t="shared" si="23"/>
        <v>-124</v>
      </c>
      <c r="L63" s="100" t="s">
        <v>312</v>
      </c>
      <c r="M63" s="11"/>
      <c r="N63" s="67">
        <v>1181</v>
      </c>
      <c r="O63" s="76">
        <v>56</v>
      </c>
      <c r="P63" s="76">
        <f t="shared" si="6"/>
        <v>1125</v>
      </c>
      <c r="Q63" s="10">
        <f>P63*(1-S63)*1.072</f>
        <v>1187.9100000000001</v>
      </c>
      <c r="R63" s="54">
        <f t="shared" si="7"/>
        <v>20.25</v>
      </c>
      <c r="S63" s="103">
        <v>1.4999999999999999E-2</v>
      </c>
      <c r="T63" s="36">
        <f t="shared" si="22"/>
        <v>15.1875</v>
      </c>
      <c r="U63" s="46" t="e">
        <f t="shared" si="8"/>
        <v>#DIV/0!</v>
      </c>
      <c r="V63" s="14"/>
      <c r="W63" s="46"/>
      <c r="X63" s="46"/>
    </row>
    <row r="64" spans="1:47">
      <c r="A64" s="195" t="s">
        <v>164</v>
      </c>
      <c r="B64" s="340">
        <v>0</v>
      </c>
      <c r="C64" s="197"/>
      <c r="D64" s="198">
        <v>8155</v>
      </c>
      <c r="E64" s="340">
        <f t="shared" ref="E64:E93" si="26">E63+B64-C64</f>
        <v>8279</v>
      </c>
      <c r="F64" s="340">
        <f t="shared" si="23"/>
        <v>-124</v>
      </c>
      <c r="L64" s="100" t="s">
        <v>313</v>
      </c>
      <c r="M64" s="11"/>
      <c r="N64" s="76">
        <v>1189</v>
      </c>
      <c r="O64" s="76">
        <v>56</v>
      </c>
      <c r="P64" s="76">
        <f t="shared" si="6"/>
        <v>1133</v>
      </c>
      <c r="Q64" s="10">
        <f t="shared" si="19"/>
        <v>1196.35736</v>
      </c>
      <c r="R64" s="54">
        <f t="shared" si="7"/>
        <v>20.394000000000002</v>
      </c>
      <c r="S64" s="103">
        <v>1.4999999999999999E-2</v>
      </c>
      <c r="T64" s="36">
        <f t="shared" si="22"/>
        <v>15.295500000000001</v>
      </c>
      <c r="U64" s="46" t="e">
        <f t="shared" si="8"/>
        <v>#DIV/0!</v>
      </c>
      <c r="W64" s="46"/>
      <c r="X64" s="46"/>
    </row>
    <row r="65" spans="1:30">
      <c r="A65" s="195" t="s">
        <v>165</v>
      </c>
      <c r="B65" s="340">
        <v>1111</v>
      </c>
      <c r="C65" s="197"/>
      <c r="D65" s="198">
        <v>9058</v>
      </c>
      <c r="E65" s="340">
        <f t="shared" si="26"/>
        <v>9390</v>
      </c>
      <c r="F65" s="340">
        <f t="shared" si="23"/>
        <v>-332</v>
      </c>
      <c r="L65" s="100" t="s">
        <v>316</v>
      </c>
      <c r="M65" s="11"/>
      <c r="N65" s="67">
        <v>1178</v>
      </c>
      <c r="O65" s="76">
        <v>53</v>
      </c>
      <c r="P65" s="76">
        <f t="shared" si="6"/>
        <v>1125</v>
      </c>
      <c r="Q65" s="10">
        <f>P65*(1-S65)*1.071</f>
        <v>1186.8018749999999</v>
      </c>
      <c r="R65" s="54">
        <f t="shared" si="7"/>
        <v>20.25</v>
      </c>
      <c r="S65" s="103">
        <v>1.4999999999999999E-2</v>
      </c>
      <c r="T65" s="36">
        <f t="shared" si="22"/>
        <v>15.1875</v>
      </c>
      <c r="U65" s="46" t="e">
        <f t="shared" si="8"/>
        <v>#DIV/0!</v>
      </c>
      <c r="W65" s="46"/>
      <c r="X65" s="46"/>
      <c r="Y65" s="46"/>
    </row>
    <row r="66" spans="1:30">
      <c r="A66" s="277" t="s">
        <v>258</v>
      </c>
      <c r="B66" s="90">
        <v>0</v>
      </c>
      <c r="C66" s="90">
        <v>147</v>
      </c>
      <c r="D66" s="198">
        <v>8832</v>
      </c>
      <c r="E66" s="340">
        <f t="shared" si="26"/>
        <v>9243</v>
      </c>
      <c r="F66" s="340">
        <f t="shared" si="23"/>
        <v>-411</v>
      </c>
      <c r="L66" s="100" t="s">
        <v>317</v>
      </c>
      <c r="M66" s="11"/>
      <c r="N66" s="67">
        <v>1915</v>
      </c>
      <c r="O66" s="76">
        <v>82</v>
      </c>
      <c r="P66" s="76">
        <f t="shared" si="6"/>
        <v>1833</v>
      </c>
      <c r="Q66" s="10">
        <f>P66*(1-S66)*1.071</f>
        <v>1933.6958549999997</v>
      </c>
      <c r="R66" s="54">
        <f t="shared" si="7"/>
        <v>32.993999999999993</v>
      </c>
      <c r="S66" s="103">
        <v>1.4999999999999999E-2</v>
      </c>
      <c r="T66" s="36">
        <f t="shared" si="22"/>
        <v>24.745499999999993</v>
      </c>
      <c r="U66" s="46" t="e">
        <f t="shared" si="8"/>
        <v>#DIV/0!</v>
      </c>
      <c r="X66" s="46"/>
    </row>
    <row r="67" spans="1:30">
      <c r="A67" s="277" t="s">
        <v>124</v>
      </c>
      <c r="B67" s="90">
        <v>0</v>
      </c>
      <c r="C67" s="90">
        <v>138</v>
      </c>
      <c r="D67" s="198">
        <v>8742</v>
      </c>
      <c r="E67" s="340">
        <f t="shared" si="26"/>
        <v>9105</v>
      </c>
      <c r="F67" s="340">
        <f t="shared" si="23"/>
        <v>-363</v>
      </c>
      <c r="L67" s="11" t="s">
        <v>7</v>
      </c>
      <c r="M67" s="120">
        <f t="shared" ref="M67:R67" si="27">SUM(M36:M66)</f>
        <v>0</v>
      </c>
      <c r="N67" s="120">
        <f t="shared" si="27"/>
        <v>34579.4</v>
      </c>
      <c r="O67" s="61">
        <f t="shared" si="27"/>
        <v>1514.4</v>
      </c>
      <c r="P67" s="61">
        <f t="shared" si="27"/>
        <v>33065</v>
      </c>
      <c r="Q67" s="120">
        <f t="shared" si="27"/>
        <v>34857.574394000003</v>
      </c>
      <c r="R67" s="61">
        <f t="shared" si="27"/>
        <v>595.16999999999996</v>
      </c>
      <c r="S67" s="62"/>
      <c r="T67" s="113">
        <f>SUM(T38:T66)</f>
        <v>367.6741199999999</v>
      </c>
      <c r="U67" s="46" t="e">
        <f>SUM(U36:U66)</f>
        <v>#DIV/0!</v>
      </c>
      <c r="V67" s="136" t="e">
        <f>Q67/M67</f>
        <v>#DIV/0!</v>
      </c>
      <c r="W67" s="36"/>
      <c r="Z67" s="48"/>
      <c r="AA67" s="15"/>
      <c r="AC67" s="35"/>
      <c r="AD67" s="35"/>
    </row>
    <row r="68" spans="1:30">
      <c r="A68" s="277" t="s">
        <v>125</v>
      </c>
      <c r="B68" s="90">
        <v>0</v>
      </c>
      <c r="C68" s="90">
        <v>555</v>
      </c>
      <c r="D68" s="198">
        <v>8291</v>
      </c>
      <c r="E68" s="340">
        <f t="shared" si="26"/>
        <v>8550</v>
      </c>
      <c r="F68" s="340">
        <f t="shared" si="23"/>
        <v>-259</v>
      </c>
      <c r="L68" s="101" t="s">
        <v>56</v>
      </c>
      <c r="M68" s="9"/>
      <c r="Q68" s="36"/>
      <c r="S68" s="63"/>
      <c r="T68" s="70"/>
      <c r="U68" s="69"/>
      <c r="V68" s="46"/>
    </row>
    <row r="69" spans="1:30">
      <c r="A69" s="277" t="s">
        <v>126</v>
      </c>
      <c r="B69" s="90">
        <v>0</v>
      </c>
      <c r="C69" s="90">
        <v>113</v>
      </c>
      <c r="D69" s="198">
        <v>8155</v>
      </c>
      <c r="E69" s="340">
        <f t="shared" si="26"/>
        <v>8437</v>
      </c>
      <c r="F69" s="340">
        <f t="shared" si="23"/>
        <v>-282</v>
      </c>
      <c r="Q69" s="49"/>
      <c r="R69" s="64"/>
    </row>
    <row r="70" spans="1:30">
      <c r="A70" s="277" t="s">
        <v>127</v>
      </c>
      <c r="B70" s="90">
        <v>0</v>
      </c>
      <c r="C70" s="90">
        <v>197</v>
      </c>
      <c r="D70" s="198">
        <v>7930</v>
      </c>
      <c r="E70" s="340">
        <f t="shared" si="26"/>
        <v>8240</v>
      </c>
      <c r="F70" s="340">
        <f t="shared" si="23"/>
        <v>-310</v>
      </c>
      <c r="M70" s="114"/>
      <c r="Q70" s="111"/>
    </row>
    <row r="71" spans="1:30">
      <c r="A71" s="277" t="s">
        <v>128</v>
      </c>
      <c r="B71" s="90">
        <v>225</v>
      </c>
      <c r="C71" s="90">
        <v>0</v>
      </c>
      <c r="D71" s="198">
        <v>7930</v>
      </c>
      <c r="E71" s="340">
        <f t="shared" si="26"/>
        <v>8465</v>
      </c>
      <c r="F71" s="340">
        <f t="shared" si="23"/>
        <v>-535</v>
      </c>
      <c r="Q71" s="110"/>
      <c r="R71" s="109"/>
      <c r="W71" s="46"/>
    </row>
    <row r="72" spans="1:30">
      <c r="A72" s="277" t="s">
        <v>129</v>
      </c>
      <c r="B72" s="90">
        <v>1803</v>
      </c>
      <c r="C72" s="90">
        <v>0</v>
      </c>
      <c r="D72" s="198">
        <v>9509</v>
      </c>
      <c r="E72" s="340">
        <f t="shared" si="26"/>
        <v>10268</v>
      </c>
      <c r="F72" s="340">
        <f t="shared" si="23"/>
        <v>-759</v>
      </c>
      <c r="J72" s="13">
        <v>32</v>
      </c>
      <c r="L72" s="201" t="s">
        <v>175</v>
      </c>
      <c r="M72"/>
      <c r="N72"/>
      <c r="O72"/>
      <c r="P72"/>
      <c r="Q72"/>
      <c r="R72"/>
      <c r="S72"/>
      <c r="T72"/>
      <c r="U72"/>
      <c r="V72"/>
      <c r="W72"/>
    </row>
    <row r="73" spans="1:30">
      <c r="A73" s="277" t="s">
        <v>130</v>
      </c>
      <c r="B73" s="90">
        <v>245</v>
      </c>
      <c r="C73" s="90">
        <v>88</v>
      </c>
      <c r="D73" s="198">
        <v>10006</v>
      </c>
      <c r="E73" s="340">
        <f t="shared" si="26"/>
        <v>10425</v>
      </c>
      <c r="F73" s="340">
        <f t="shared" si="23"/>
        <v>-419</v>
      </c>
      <c r="J73" s="13">
        <v>75</v>
      </c>
      <c r="L73" s="337" t="s">
        <v>1</v>
      </c>
      <c r="M73" s="337"/>
      <c r="N73" s="337"/>
      <c r="O73" s="849" t="s">
        <v>169</v>
      </c>
      <c r="P73" s="850"/>
      <c r="Q73" s="851" t="s">
        <v>170</v>
      </c>
      <c r="R73" s="848"/>
      <c r="S73" s="849" t="s">
        <v>176</v>
      </c>
      <c r="T73" s="852"/>
      <c r="U73" s="858" t="s">
        <v>177</v>
      </c>
      <c r="V73" s="848"/>
      <c r="W73"/>
      <c r="X73" s="46"/>
    </row>
    <row r="74" spans="1:30">
      <c r="A74" s="277" t="s">
        <v>131</v>
      </c>
      <c r="B74" s="90">
        <v>0</v>
      </c>
      <c r="C74" s="90">
        <v>189</v>
      </c>
      <c r="D74" s="198">
        <v>9870</v>
      </c>
      <c r="E74" s="340">
        <f t="shared" si="26"/>
        <v>10236</v>
      </c>
      <c r="F74" s="340">
        <f t="shared" si="23"/>
        <v>-366</v>
      </c>
      <c r="J74" s="13">
        <f>J73*J72</f>
        <v>2400</v>
      </c>
      <c r="L74" s="337" t="s">
        <v>171</v>
      </c>
      <c r="M74" s="337"/>
      <c r="N74" s="337"/>
      <c r="O74" s="859">
        <v>32509</v>
      </c>
      <c r="P74" s="860"/>
      <c r="Q74" s="861">
        <v>33756</v>
      </c>
      <c r="R74" s="859"/>
      <c r="S74" s="859">
        <v>27950</v>
      </c>
      <c r="T74" s="862"/>
      <c r="U74" s="863">
        <v>33920</v>
      </c>
      <c r="V74" s="859"/>
      <c r="W74"/>
      <c r="X74" s="46"/>
    </row>
    <row r="75" spans="1:30">
      <c r="A75" s="277" t="s">
        <v>132</v>
      </c>
      <c r="B75" s="90">
        <v>0</v>
      </c>
      <c r="C75" s="90">
        <v>58</v>
      </c>
      <c r="D75" s="198">
        <v>9735</v>
      </c>
      <c r="E75" s="340">
        <f t="shared" si="26"/>
        <v>10178</v>
      </c>
      <c r="F75" s="340">
        <f t="shared" si="23"/>
        <v>-443</v>
      </c>
      <c r="L75" s="337" t="s">
        <v>172</v>
      </c>
      <c r="M75" s="337"/>
      <c r="N75" s="337"/>
      <c r="O75" s="848">
        <v>80.3</v>
      </c>
      <c r="P75" s="850"/>
      <c r="Q75" s="851">
        <v>77.400000000000006</v>
      </c>
      <c r="R75" s="848"/>
      <c r="S75" s="855">
        <v>80</v>
      </c>
      <c r="T75" s="856"/>
      <c r="U75" s="857">
        <v>80</v>
      </c>
      <c r="V75" s="855"/>
      <c r="W75"/>
      <c r="X75" s="46"/>
    </row>
    <row r="76" spans="1:30">
      <c r="A76" s="277" t="s">
        <v>133</v>
      </c>
      <c r="B76" s="90">
        <v>0</v>
      </c>
      <c r="C76" s="90">
        <v>91</v>
      </c>
      <c r="D76" s="198">
        <v>9645</v>
      </c>
      <c r="E76" s="340">
        <f t="shared" si="26"/>
        <v>10087</v>
      </c>
      <c r="F76" s="340">
        <f t="shared" si="23"/>
        <v>-442</v>
      </c>
      <c r="L76" s="337" t="s">
        <v>173</v>
      </c>
      <c r="M76" s="337"/>
      <c r="N76" s="337"/>
      <c r="O76" s="848">
        <v>36.5</v>
      </c>
      <c r="P76" s="850"/>
      <c r="Q76" s="851">
        <v>37.9</v>
      </c>
      <c r="R76" s="848"/>
      <c r="S76" s="848">
        <v>36.5</v>
      </c>
      <c r="T76" s="852"/>
      <c r="U76" s="853">
        <v>36.5</v>
      </c>
      <c r="V76" s="848"/>
      <c r="W76"/>
      <c r="X76" s="46"/>
    </row>
    <row r="77" spans="1:30">
      <c r="A77" s="310" t="s">
        <v>282</v>
      </c>
      <c r="B77" s="90">
        <v>0</v>
      </c>
      <c r="C77" s="90">
        <v>118</v>
      </c>
      <c r="D77" s="198">
        <v>9527</v>
      </c>
      <c r="E77" s="340">
        <f t="shared" si="26"/>
        <v>9969</v>
      </c>
      <c r="F77" s="340">
        <f t="shared" si="23"/>
        <v>-442</v>
      </c>
      <c r="L77" s="337" t="s">
        <v>174</v>
      </c>
      <c r="M77" s="337"/>
      <c r="N77" s="337"/>
      <c r="O77" s="848">
        <v>6.08</v>
      </c>
      <c r="P77" s="850"/>
      <c r="Q77" s="851">
        <v>6.36</v>
      </c>
      <c r="R77" s="848"/>
      <c r="S77" s="848">
        <v>5.7</v>
      </c>
      <c r="T77" s="852"/>
      <c r="U77" s="853">
        <v>5.5</v>
      </c>
      <c r="V77" s="848"/>
      <c r="W77"/>
      <c r="X77" s="42"/>
    </row>
    <row r="78" spans="1:30">
      <c r="A78" s="316" t="s">
        <v>318</v>
      </c>
      <c r="B78" s="90">
        <v>856</v>
      </c>
      <c r="C78" s="90">
        <v>0</v>
      </c>
      <c r="D78" s="198">
        <v>10638</v>
      </c>
      <c r="E78" s="340">
        <f t="shared" si="26"/>
        <v>10825</v>
      </c>
      <c r="F78" s="340">
        <f t="shared" si="23"/>
        <v>-187</v>
      </c>
      <c r="O78" s="36"/>
      <c r="P78" s="36"/>
      <c r="Q78" s="36"/>
      <c r="R78" s="18"/>
      <c r="S78" s="18"/>
    </row>
    <row r="79" spans="1:30">
      <c r="A79" s="316" t="s">
        <v>319</v>
      </c>
      <c r="B79" s="90">
        <v>0</v>
      </c>
      <c r="C79" s="90">
        <v>88</v>
      </c>
      <c r="D79" s="198">
        <v>10728</v>
      </c>
      <c r="E79" s="340">
        <f t="shared" si="26"/>
        <v>10737</v>
      </c>
      <c r="F79" s="340">
        <f t="shared" si="23"/>
        <v>-9</v>
      </c>
      <c r="N79" s="46"/>
      <c r="O79" s="46"/>
      <c r="P79" s="46"/>
      <c r="Q79" s="65"/>
      <c r="R79" s="65"/>
    </row>
    <row r="80" spans="1:30">
      <c r="A80" s="316" t="s">
        <v>320</v>
      </c>
      <c r="B80" s="90">
        <v>0</v>
      </c>
      <c r="C80" s="90">
        <v>88</v>
      </c>
      <c r="D80" s="198">
        <v>10638</v>
      </c>
      <c r="E80" s="340">
        <f t="shared" si="26"/>
        <v>10649</v>
      </c>
      <c r="F80" s="340">
        <f t="shared" si="23"/>
        <v>-11</v>
      </c>
      <c r="M80" s="72"/>
    </row>
    <row r="81" spans="1:13">
      <c r="A81" s="316" t="s">
        <v>323</v>
      </c>
      <c r="B81" s="90">
        <v>0</v>
      </c>
      <c r="C81" s="90">
        <v>58</v>
      </c>
      <c r="D81" s="198">
        <v>10593</v>
      </c>
      <c r="E81" s="340">
        <f t="shared" si="26"/>
        <v>10591</v>
      </c>
      <c r="F81" s="340">
        <f t="shared" si="23"/>
        <v>2</v>
      </c>
      <c r="M81" s="72"/>
    </row>
    <row r="82" spans="1:13">
      <c r="A82" s="317" t="s">
        <v>324</v>
      </c>
      <c r="B82" s="90">
        <v>0</v>
      </c>
      <c r="C82" s="90">
        <v>115</v>
      </c>
      <c r="D82" s="198">
        <v>10362</v>
      </c>
      <c r="E82" s="340">
        <f t="shared" si="26"/>
        <v>10476</v>
      </c>
      <c r="F82" s="340">
        <f t="shared" si="23"/>
        <v>-114</v>
      </c>
      <c r="L82" s="284"/>
      <c r="M82" s="72"/>
    </row>
    <row r="83" spans="1:13">
      <c r="A83" s="317" t="s">
        <v>325</v>
      </c>
      <c r="B83" s="90">
        <v>0</v>
      </c>
      <c r="C83" s="90">
        <v>146</v>
      </c>
      <c r="D83" s="198">
        <v>10186</v>
      </c>
      <c r="E83" s="340">
        <f t="shared" si="26"/>
        <v>10330</v>
      </c>
      <c r="F83" s="340">
        <f t="shared" si="23"/>
        <v>-144</v>
      </c>
      <c r="L83" s="284"/>
    </row>
    <row r="84" spans="1:13">
      <c r="A84" s="325" t="s">
        <v>329</v>
      </c>
      <c r="B84" s="90">
        <v>0</v>
      </c>
      <c r="C84" s="90">
        <v>88</v>
      </c>
      <c r="D84" s="198">
        <v>10096</v>
      </c>
      <c r="E84" s="340">
        <f t="shared" si="26"/>
        <v>10242</v>
      </c>
      <c r="F84" s="340">
        <f t="shared" si="23"/>
        <v>-146</v>
      </c>
    </row>
    <row r="85" spans="1:13">
      <c r="A85" s="325" t="s">
        <v>331</v>
      </c>
      <c r="B85" s="90">
        <v>0</v>
      </c>
      <c r="C85" s="90">
        <v>58</v>
      </c>
      <c r="D85" s="198">
        <v>10051</v>
      </c>
      <c r="E85" s="340">
        <f t="shared" si="26"/>
        <v>10184</v>
      </c>
      <c r="F85" s="340">
        <f t="shared" si="23"/>
        <v>-133</v>
      </c>
      <c r="L85" s="284"/>
    </row>
    <row r="86" spans="1:13">
      <c r="A86" s="325" t="s">
        <v>332</v>
      </c>
      <c r="B86" s="90">
        <v>0</v>
      </c>
      <c r="C86" s="90">
        <v>58</v>
      </c>
      <c r="D86" s="198">
        <v>9961</v>
      </c>
      <c r="E86" s="340">
        <f t="shared" si="26"/>
        <v>10126</v>
      </c>
      <c r="F86" s="340">
        <f t="shared" si="23"/>
        <v>-165</v>
      </c>
      <c r="L86" s="284"/>
      <c r="M86" s="284"/>
    </row>
    <row r="87" spans="1:13">
      <c r="A87" s="325" t="s">
        <v>333</v>
      </c>
      <c r="B87" s="90">
        <v>0</v>
      </c>
      <c r="C87" s="90">
        <v>59</v>
      </c>
      <c r="D87" s="198">
        <v>9961</v>
      </c>
      <c r="E87" s="340">
        <f t="shared" si="26"/>
        <v>10067</v>
      </c>
      <c r="F87" s="340">
        <f t="shared" si="23"/>
        <v>-106</v>
      </c>
    </row>
    <row r="88" spans="1:13">
      <c r="A88" s="325" t="s">
        <v>334</v>
      </c>
      <c r="B88" s="90">
        <v>0</v>
      </c>
      <c r="C88" s="90">
        <v>117</v>
      </c>
      <c r="D88" s="198">
        <v>9780</v>
      </c>
      <c r="E88" s="340">
        <f t="shared" si="26"/>
        <v>9950</v>
      </c>
      <c r="F88" s="340">
        <f t="shared" si="23"/>
        <v>-170</v>
      </c>
    </row>
    <row r="89" spans="1:13">
      <c r="A89" s="325" t="s">
        <v>335</v>
      </c>
      <c r="B89" s="90">
        <v>0</v>
      </c>
      <c r="C89" s="90">
        <v>27</v>
      </c>
      <c r="D89" s="198">
        <v>9735</v>
      </c>
      <c r="E89" s="340">
        <f t="shared" si="26"/>
        <v>9923</v>
      </c>
      <c r="F89" s="340">
        <f t="shared" si="23"/>
        <v>-188</v>
      </c>
    </row>
    <row r="90" spans="1:13">
      <c r="A90" s="331" t="s">
        <v>338</v>
      </c>
      <c r="B90" s="90">
        <v>0</v>
      </c>
      <c r="C90" s="90">
        <v>145</v>
      </c>
      <c r="D90" s="198">
        <v>9600</v>
      </c>
      <c r="E90" s="340">
        <f t="shared" si="26"/>
        <v>9778</v>
      </c>
      <c r="F90" s="340">
        <f t="shared" si="23"/>
        <v>-178</v>
      </c>
    </row>
    <row r="91" spans="1:13">
      <c r="A91" s="331" t="s">
        <v>341</v>
      </c>
      <c r="B91" s="90">
        <v>0</v>
      </c>
      <c r="C91" s="90">
        <v>29</v>
      </c>
      <c r="D91" s="198">
        <v>9555</v>
      </c>
      <c r="E91" s="340">
        <f t="shared" si="26"/>
        <v>9749</v>
      </c>
      <c r="F91" s="340">
        <f t="shared" si="23"/>
        <v>-194</v>
      </c>
    </row>
    <row r="92" spans="1:13">
      <c r="A92" s="335" t="s">
        <v>342</v>
      </c>
      <c r="B92" s="90">
        <v>0</v>
      </c>
      <c r="C92" s="90">
        <v>29</v>
      </c>
      <c r="D92" s="198">
        <v>9464</v>
      </c>
      <c r="E92" s="340">
        <f t="shared" si="26"/>
        <v>9720</v>
      </c>
      <c r="F92" s="340">
        <f t="shared" si="23"/>
        <v>-256</v>
      </c>
    </row>
    <row r="93" spans="1:13">
      <c r="A93" s="335" t="s">
        <v>373</v>
      </c>
      <c r="B93" s="90">
        <v>0</v>
      </c>
      <c r="C93" s="90">
        <v>58</v>
      </c>
      <c r="D93" s="198">
        <v>9374</v>
      </c>
      <c r="E93" s="340">
        <f t="shared" si="26"/>
        <v>9662</v>
      </c>
      <c r="F93" s="340">
        <f t="shared" si="23"/>
        <v>-288</v>
      </c>
    </row>
    <row r="94" spans="1:13">
      <c r="A94" s="277"/>
      <c r="B94" s="90"/>
      <c r="C94" s="90"/>
      <c r="D94" s="90"/>
      <c r="E94" s="90"/>
      <c r="F94" s="90"/>
    </row>
    <row r="95" spans="1:13">
      <c r="A95" s="194" t="s">
        <v>31</v>
      </c>
      <c r="B95" s="340">
        <f>SUM(B58:B94)</f>
        <v>11345</v>
      </c>
      <c r="C95" s="340">
        <f>SUM(C58:C94)</f>
        <v>3003</v>
      </c>
      <c r="D95" s="197"/>
      <c r="E95" s="340"/>
      <c r="F95" s="340"/>
    </row>
    <row r="96" spans="1:13">
      <c r="L96" s="351" t="s">
        <v>376</v>
      </c>
    </row>
    <row r="97" spans="11:12">
      <c r="K97" s="100" t="s">
        <v>288</v>
      </c>
      <c r="L97" s="13">
        <v>75</v>
      </c>
    </row>
    <row r="98" spans="11:12">
      <c r="K98" s="100" t="s">
        <v>289</v>
      </c>
      <c r="L98" s="13">
        <v>0</v>
      </c>
    </row>
    <row r="99" spans="11:12">
      <c r="K99" s="100" t="s">
        <v>279</v>
      </c>
      <c r="L99" s="13">
        <v>62</v>
      </c>
    </row>
    <row r="100" spans="11:12">
      <c r="K100" s="100" t="s">
        <v>280</v>
      </c>
      <c r="L100" s="13">
        <v>-109</v>
      </c>
    </row>
    <row r="101" spans="11:12">
      <c r="K101" s="100" t="s">
        <v>281</v>
      </c>
      <c r="L101" s="13">
        <v>287</v>
      </c>
    </row>
    <row r="102" spans="11:12">
      <c r="K102" s="100" t="s">
        <v>290</v>
      </c>
      <c r="L102" s="13">
        <v>96</v>
      </c>
    </row>
    <row r="103" spans="11:12">
      <c r="K103" s="100" t="s">
        <v>291</v>
      </c>
      <c r="L103" s="13">
        <v>-58</v>
      </c>
    </row>
    <row r="104" spans="11:12">
      <c r="K104" s="100" t="s">
        <v>292</v>
      </c>
      <c r="L104" s="13">
        <v>-33</v>
      </c>
    </row>
    <row r="105" spans="11:12">
      <c r="K105" s="100" t="s">
        <v>293</v>
      </c>
      <c r="L105" s="13">
        <v>-91</v>
      </c>
    </row>
    <row r="106" spans="11:12">
      <c r="K106" s="100" t="s">
        <v>294</v>
      </c>
      <c r="L106" s="13">
        <v>-365</v>
      </c>
    </row>
    <row r="107" spans="11:12">
      <c r="K107" s="100" t="s">
        <v>295</v>
      </c>
      <c r="L107" s="13">
        <v>-121</v>
      </c>
    </row>
    <row r="108" spans="11:12">
      <c r="K108" s="100" t="s">
        <v>296</v>
      </c>
      <c r="L108" s="13">
        <v>-121</v>
      </c>
    </row>
    <row r="109" spans="11:12">
      <c r="K109" s="100" t="s">
        <v>297</v>
      </c>
      <c r="L109" s="13">
        <v>-23</v>
      </c>
    </row>
    <row r="110" spans="11:12">
      <c r="K110" s="100" t="s">
        <v>298</v>
      </c>
      <c r="L110" s="13">
        <v>101</v>
      </c>
    </row>
    <row r="111" spans="11:12">
      <c r="K111" s="100" t="s">
        <v>299</v>
      </c>
      <c r="L111" s="13">
        <v>113</v>
      </c>
    </row>
    <row r="112" spans="11:12">
      <c r="K112" s="100" t="s">
        <v>300</v>
      </c>
      <c r="L112" s="13">
        <v>15</v>
      </c>
    </row>
    <row r="113" spans="11:12">
      <c r="K113" s="100" t="s">
        <v>301</v>
      </c>
      <c r="L113" s="13">
        <v>75</v>
      </c>
    </row>
    <row r="114" spans="11:12">
      <c r="K114" s="100" t="s">
        <v>302</v>
      </c>
      <c r="L114" s="13">
        <v>396</v>
      </c>
    </row>
    <row r="115" spans="11:12">
      <c r="K115" s="100" t="s">
        <v>303</v>
      </c>
      <c r="L115" s="13">
        <v>-40</v>
      </c>
    </row>
    <row r="116" spans="11:12">
      <c r="K116" s="100" t="s">
        <v>304</v>
      </c>
      <c r="L116" s="13">
        <v>-87</v>
      </c>
    </row>
    <row r="117" spans="11:12">
      <c r="K117" s="100" t="s">
        <v>305</v>
      </c>
      <c r="L117" s="13">
        <v>254</v>
      </c>
    </row>
    <row r="118" spans="11:12">
      <c r="K118" s="100" t="s">
        <v>306</v>
      </c>
      <c r="L118" s="13">
        <v>-223</v>
      </c>
    </row>
    <row r="119" spans="11:12">
      <c r="K119" s="100" t="s">
        <v>307</v>
      </c>
      <c r="L119" s="13">
        <v>58</v>
      </c>
    </row>
    <row r="120" spans="11:12">
      <c r="K120" s="100" t="s">
        <v>308</v>
      </c>
      <c r="L120" s="13">
        <v>-251</v>
      </c>
    </row>
    <row r="121" spans="11:12">
      <c r="K121" s="100" t="s">
        <v>309</v>
      </c>
      <c r="L121" s="13">
        <v>75</v>
      </c>
    </row>
    <row r="122" spans="11:12">
      <c r="K122" s="100" t="s">
        <v>310</v>
      </c>
      <c r="L122" s="13">
        <v>168</v>
      </c>
    </row>
    <row r="123" spans="11:12">
      <c r="K123" s="100" t="s">
        <v>311</v>
      </c>
      <c r="L123" s="13">
        <v>-15</v>
      </c>
    </row>
    <row r="124" spans="11:12">
      <c r="K124" s="100" t="s">
        <v>312</v>
      </c>
      <c r="L124" s="13">
        <v>175</v>
      </c>
    </row>
    <row r="125" spans="11:12">
      <c r="K125" s="100" t="s">
        <v>313</v>
      </c>
      <c r="L125" s="13">
        <v>-96</v>
      </c>
    </row>
    <row r="126" spans="11:12">
      <c r="K126" s="100" t="s">
        <v>316</v>
      </c>
      <c r="L126" s="13">
        <v>-66</v>
      </c>
    </row>
    <row r="127" spans="11:12">
      <c r="K127" s="100" t="s">
        <v>317</v>
      </c>
    </row>
    <row r="128" spans="11:12">
      <c r="K128" s="11" t="s">
        <v>7</v>
      </c>
      <c r="L128" s="13">
        <f>SUM(L97:L127)</f>
        <v>251</v>
      </c>
    </row>
  </sheetData>
  <mergeCells count="126">
    <mergeCell ref="O76:P76"/>
    <mergeCell ref="Q76:R76"/>
    <mergeCell ref="S76:T76"/>
    <mergeCell ref="U76:V76"/>
    <mergeCell ref="O77:P77"/>
    <mergeCell ref="Q77:R77"/>
    <mergeCell ref="S77:T77"/>
    <mergeCell ref="U77:V77"/>
    <mergeCell ref="U73:V73"/>
    <mergeCell ref="O74:P74"/>
    <mergeCell ref="Q74:R74"/>
    <mergeCell ref="S74:T74"/>
    <mergeCell ref="U74:V74"/>
    <mergeCell ref="O75:P75"/>
    <mergeCell ref="Q75:R75"/>
    <mergeCell ref="S75:T75"/>
    <mergeCell ref="U75:V75"/>
    <mergeCell ref="H51:I51"/>
    <mergeCell ref="H52:I52"/>
    <mergeCell ref="H53:I53"/>
    <mergeCell ref="O73:P73"/>
    <mergeCell ref="Q73:R73"/>
    <mergeCell ref="S73:T73"/>
    <mergeCell ref="H43:I43"/>
    <mergeCell ref="H44:I44"/>
    <mergeCell ref="H45:I45"/>
    <mergeCell ref="H46:I46"/>
    <mergeCell ref="A49:A50"/>
    <mergeCell ref="B49:C49"/>
    <mergeCell ref="D49:E49"/>
    <mergeCell ref="F49:G49"/>
    <mergeCell ref="H49:I50"/>
    <mergeCell ref="A39:A40"/>
    <mergeCell ref="D39:E39"/>
    <mergeCell ref="F39:I39"/>
    <mergeCell ref="H40:I40"/>
    <mergeCell ref="H41:I41"/>
    <mergeCell ref="H42:I42"/>
    <mergeCell ref="C32:D32"/>
    <mergeCell ref="E32:F32"/>
    <mergeCell ref="C33:D33"/>
    <mergeCell ref="E33:F33"/>
    <mergeCell ref="C34:D34"/>
    <mergeCell ref="E34:F34"/>
    <mergeCell ref="B29:B31"/>
    <mergeCell ref="C29:D29"/>
    <mergeCell ref="E29:F30"/>
    <mergeCell ref="G29:G31"/>
    <mergeCell ref="H29:H31"/>
    <mergeCell ref="I29:I31"/>
    <mergeCell ref="C30:D30"/>
    <mergeCell ref="C31:D31"/>
    <mergeCell ref="E31:F31"/>
    <mergeCell ref="B26:B28"/>
    <mergeCell ref="C26:D26"/>
    <mergeCell ref="E26:F27"/>
    <mergeCell ref="G26:G28"/>
    <mergeCell ref="H26:H28"/>
    <mergeCell ref="I26:I28"/>
    <mergeCell ref="C27:D27"/>
    <mergeCell ref="C28:D28"/>
    <mergeCell ref="E28:F28"/>
    <mergeCell ref="B24:B25"/>
    <mergeCell ref="C24:D24"/>
    <mergeCell ref="E24:F25"/>
    <mergeCell ref="G24:G25"/>
    <mergeCell ref="H24:H25"/>
    <mergeCell ref="I24:I25"/>
    <mergeCell ref="C25:D25"/>
    <mergeCell ref="BA21:BA22"/>
    <mergeCell ref="A22:A23"/>
    <mergeCell ref="B22:B23"/>
    <mergeCell ref="C22:D23"/>
    <mergeCell ref="E22:F23"/>
    <mergeCell ref="G22:I22"/>
    <mergeCell ref="AT21:AT22"/>
    <mergeCell ref="AV21:AV22"/>
    <mergeCell ref="AW21:AW22"/>
    <mergeCell ref="AX21:AX22"/>
    <mergeCell ref="AY21:AY22"/>
    <mergeCell ref="AZ21:AZ22"/>
    <mergeCell ref="C17:D17"/>
    <mergeCell ref="E17:F17"/>
    <mergeCell ref="G17:I17"/>
    <mergeCell ref="AB17:AE17"/>
    <mergeCell ref="AO17:AS17"/>
    <mergeCell ref="AO21:AO22"/>
    <mergeCell ref="AP21:AP22"/>
    <mergeCell ref="AQ21:AQ22"/>
    <mergeCell ref="AR21:AR22"/>
    <mergeCell ref="AS21:AS22"/>
    <mergeCell ref="C15:D15"/>
    <mergeCell ref="E15:F15"/>
    <mergeCell ref="G15:I15"/>
    <mergeCell ref="C16:D16"/>
    <mergeCell ref="E16:F16"/>
    <mergeCell ref="G16:I16"/>
    <mergeCell ref="A13:A14"/>
    <mergeCell ref="B13:D13"/>
    <mergeCell ref="E13:I13"/>
    <mergeCell ref="C14:D14"/>
    <mergeCell ref="E14:F14"/>
    <mergeCell ref="G14:I14"/>
    <mergeCell ref="C8:D8"/>
    <mergeCell ref="E8:F8"/>
    <mergeCell ref="H8:I8"/>
    <mergeCell ref="C9:D9"/>
    <mergeCell ref="E9:F9"/>
    <mergeCell ref="H9:I9"/>
    <mergeCell ref="G5:I5"/>
    <mergeCell ref="O5:P5"/>
    <mergeCell ref="Q5:R5"/>
    <mergeCell ref="H6:I6"/>
    <mergeCell ref="C7:D7"/>
    <mergeCell ref="E7:F7"/>
    <mergeCell ref="H7:I7"/>
    <mergeCell ref="A1:I1"/>
    <mergeCell ref="AM3:AM5"/>
    <mergeCell ref="H4:I4"/>
    <mergeCell ref="AN4:AN5"/>
    <mergeCell ref="AO4:AO5"/>
    <mergeCell ref="AP4:AP5"/>
    <mergeCell ref="A5:A6"/>
    <mergeCell ref="B5:B6"/>
    <mergeCell ref="C5:D6"/>
    <mergeCell ref="E5:F6"/>
  </mergeCells>
  <phoneticPr fontId="156" type="noConversion"/>
  <pageMargins left="0.59055118110236227" right="0" top="0.19685039370078741" bottom="0.15748031496062992" header="0.31496062992125984" footer="0.31496062992125984"/>
  <pageSetup paperSize="9" scale="9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52"/>
  <sheetViews>
    <sheetView topLeftCell="A4" workbookViewId="0">
      <selection activeCell="G20" sqref="G20"/>
    </sheetView>
  </sheetViews>
  <sheetFormatPr defaultColWidth="8.69921875" defaultRowHeight="18.2"/>
  <cols>
    <col min="1" max="1" width="15.19921875" style="13" customWidth="1"/>
    <col min="2" max="2" width="10.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22" width="9.19921875" style="13" bestFit="1" customWidth="1"/>
    <col min="23" max="23" width="8.69921875" style="13"/>
    <col min="24" max="24" width="10.296875" style="13" customWidth="1"/>
    <col min="25" max="25" width="9.296875" style="13" customWidth="1"/>
    <col min="26" max="26" width="9.59765625" style="13" bestFit="1" customWidth="1"/>
    <col min="27" max="27" width="8.69921875" style="13"/>
    <col min="28" max="28" width="9.69921875" style="13" customWidth="1"/>
    <col min="29" max="32" width="8.69921875" style="13"/>
    <col min="33" max="33" width="0.69921875" style="13" customWidth="1"/>
    <col min="34" max="34" width="9.796875" style="13" customWidth="1"/>
    <col min="35" max="38" width="8.69921875" style="13"/>
    <col min="39" max="39" width="4.5" style="13" customWidth="1"/>
    <col min="40" max="41" width="8" style="13" customWidth="1"/>
    <col min="42" max="43" width="7.796875" style="13" customWidth="1"/>
    <col min="44" max="44" width="7.8984375" style="13" customWidth="1"/>
    <col min="45" max="45" width="7.19921875" style="13" customWidth="1"/>
    <col min="46" max="46" width="6.5" style="13" customWidth="1"/>
    <col min="47" max="47" width="0.5" style="13" customWidth="1"/>
    <col min="48" max="48" width="8.69921875" style="13"/>
    <col min="49" max="50" width="7.59765625" style="13" customWidth="1"/>
    <col min="51" max="51" width="8.59765625" style="13" customWidth="1"/>
    <col min="52" max="52" width="7.59765625" style="13" customWidth="1"/>
    <col min="53" max="53" width="6.796875" style="13" customWidth="1"/>
    <col min="54" max="56" width="8.69921875" style="13"/>
    <col min="57" max="57" width="9.3984375" style="13" bestFit="1" customWidth="1"/>
    <col min="58" max="16384" width="8.69921875" style="13"/>
  </cols>
  <sheetData>
    <row r="1" spans="1:44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  <c r="W1" s="142"/>
      <c r="X1" s="46"/>
      <c r="Y1" s="42"/>
    </row>
    <row r="2" spans="1:44" ht="14.4" customHeight="1">
      <c r="A2" s="421"/>
      <c r="B2" s="421"/>
      <c r="C2" s="421"/>
      <c r="D2" s="421"/>
      <c r="E2" s="421"/>
      <c r="F2" s="421"/>
      <c r="G2" s="421"/>
      <c r="H2" s="421"/>
      <c r="I2" s="421"/>
      <c r="W2" s="142"/>
      <c r="X2" s="46"/>
      <c r="Y2" s="42"/>
    </row>
    <row r="3" spans="1:44">
      <c r="J3" s="14"/>
      <c r="K3" s="14"/>
      <c r="L3" s="14"/>
      <c r="M3" s="14"/>
      <c r="W3" s="142"/>
      <c r="X3" s="46"/>
      <c r="Y3" s="42"/>
      <c r="AM3" s="757" t="s">
        <v>229</v>
      </c>
      <c r="AN3" s="244" t="s">
        <v>230</v>
      </c>
      <c r="AO3" s="244" t="s">
        <v>231</v>
      </c>
      <c r="AP3" s="244" t="s">
        <v>232</v>
      </c>
    </row>
    <row r="4" spans="1:44">
      <c r="A4" s="15" t="s">
        <v>9</v>
      </c>
      <c r="H4" s="892" t="s">
        <v>455</v>
      </c>
      <c r="I4" s="893"/>
      <c r="N4" s="16"/>
      <c r="O4" s="81"/>
      <c r="W4" s="142"/>
      <c r="X4" s="48"/>
      <c r="Y4" s="42"/>
      <c r="AM4" s="758"/>
      <c r="AN4" s="734"/>
      <c r="AO4" s="734"/>
      <c r="AP4" s="734"/>
    </row>
    <row r="5" spans="1:44" ht="17.399999999999999" customHeight="1">
      <c r="A5" s="736" t="s">
        <v>10</v>
      </c>
      <c r="B5" s="738" t="s">
        <v>11</v>
      </c>
      <c r="C5" s="736" t="s">
        <v>12</v>
      </c>
      <c r="D5" s="740"/>
      <c r="E5" s="742" t="s">
        <v>39</v>
      </c>
      <c r="F5" s="743"/>
      <c r="G5" s="890" t="s">
        <v>380</v>
      </c>
      <c r="H5" s="747"/>
      <c r="I5" s="747"/>
      <c r="J5" s="75"/>
      <c r="K5" s="75"/>
      <c r="L5" s="13">
        <v>109563</v>
      </c>
      <c r="M5" s="359">
        <v>37.25</v>
      </c>
      <c r="N5" s="360">
        <f>M5*L5</f>
        <v>4081221.75</v>
      </c>
      <c r="O5" s="420"/>
      <c r="P5" s="420"/>
      <c r="Q5" s="748"/>
      <c r="R5" s="748"/>
      <c r="S5" s="420"/>
      <c r="T5" s="420"/>
      <c r="W5" s="142"/>
      <c r="X5" s="48"/>
      <c r="Y5" s="42"/>
      <c r="Z5" s="48"/>
      <c r="AM5" s="735"/>
      <c r="AN5" s="735"/>
      <c r="AO5" s="735"/>
      <c r="AP5" s="735"/>
    </row>
    <row r="6" spans="1:44" ht="18.8" thickBot="1">
      <c r="A6" s="737"/>
      <c r="B6" s="739"/>
      <c r="C6" s="737"/>
      <c r="D6" s="741"/>
      <c r="E6" s="744"/>
      <c r="F6" s="745"/>
      <c r="G6" s="87" t="s">
        <v>13</v>
      </c>
      <c r="H6" s="891" t="s">
        <v>456</v>
      </c>
      <c r="I6" s="750"/>
      <c r="L6" s="353">
        <v>100000</v>
      </c>
      <c r="M6" s="13">
        <v>35.5</v>
      </c>
      <c r="N6" s="360">
        <f>M6*L6</f>
        <v>3550000</v>
      </c>
      <c r="O6" s="420"/>
      <c r="P6" s="82"/>
      <c r="Q6" s="420"/>
      <c r="R6" s="82"/>
      <c r="S6" s="82"/>
      <c r="T6" s="293">
        <v>6000</v>
      </c>
      <c r="U6" s="107">
        <v>3000</v>
      </c>
      <c r="V6" s="107">
        <f>SUM(T6:U6)</f>
        <v>9000</v>
      </c>
      <c r="W6" s="142"/>
      <c r="X6" s="42"/>
      <c r="Y6" s="42"/>
    </row>
    <row r="7" spans="1:44" ht="18.8" thickTop="1">
      <c r="A7" s="19" t="s">
        <v>14</v>
      </c>
      <c r="B7" s="20">
        <v>15.5</v>
      </c>
      <c r="C7" s="751">
        <v>1332.7</v>
      </c>
      <c r="D7" s="752"/>
      <c r="E7" s="753">
        <f>C7/B7</f>
        <v>85.980645161290326</v>
      </c>
      <c r="F7" s="754"/>
      <c r="G7" s="88"/>
      <c r="H7" s="755"/>
      <c r="I7" s="755"/>
      <c r="J7" s="13">
        <f>40/60</f>
        <v>0.66666666666666663</v>
      </c>
      <c r="L7" s="353">
        <f t="shared" ref="L7:N7" si="0">SUM(L5:L6)</f>
        <v>209563</v>
      </c>
      <c r="M7" s="49">
        <f>N7/L7</f>
        <v>36.414928923521806</v>
      </c>
      <c r="N7" s="361">
        <f t="shared" si="0"/>
        <v>7631221.75</v>
      </c>
      <c r="O7" s="420"/>
      <c r="P7" s="22"/>
      <c r="Q7" s="17"/>
      <c r="R7" s="17"/>
      <c r="S7" s="17"/>
      <c r="U7" s="369" t="s">
        <v>179</v>
      </c>
      <c r="V7" s="145"/>
      <c r="W7" s="143"/>
      <c r="X7" s="42"/>
      <c r="Y7" s="42"/>
    </row>
    <row r="8" spans="1:44">
      <c r="A8" s="23" t="s">
        <v>15</v>
      </c>
      <c r="B8" s="74">
        <f>463.7+15.5+15.5</f>
        <v>494.7</v>
      </c>
      <c r="C8" s="769">
        <f>38068+1327.2+1332.7</f>
        <v>40727.899999999994</v>
      </c>
      <c r="D8" s="770"/>
      <c r="E8" s="771">
        <f>C8/B8</f>
        <v>82.328481908227204</v>
      </c>
      <c r="F8" s="772"/>
      <c r="G8" s="86">
        <v>42240</v>
      </c>
      <c r="H8" s="773">
        <v>40728</v>
      </c>
      <c r="I8" s="773"/>
      <c r="L8" s="416" t="s">
        <v>418</v>
      </c>
      <c r="N8" s="361"/>
      <c r="O8" s="420"/>
      <c r="P8" s="22"/>
      <c r="Q8" s="14"/>
      <c r="T8" s="107">
        <f>SUM(T9:T12)</f>
        <v>2186.4367839999977</v>
      </c>
      <c r="U8" s="107">
        <f>SUM(U9:U12)</f>
        <v>1083.5113549999985</v>
      </c>
      <c r="V8" s="42">
        <f>SUM(T8:U8)</f>
        <v>3269.9481389999964</v>
      </c>
      <c r="W8" s="143"/>
      <c r="X8" s="48"/>
      <c r="Y8" s="42"/>
      <c r="AP8" s="13">
        <v>86200</v>
      </c>
      <c r="AQ8" s="13">
        <v>846</v>
      </c>
      <c r="AR8" s="13">
        <f>AQ8*AP8/10000</f>
        <v>7292.52</v>
      </c>
    </row>
    <row r="9" spans="1:44">
      <c r="A9" s="23" t="s">
        <v>16</v>
      </c>
      <c r="B9" s="24">
        <f>293.8+241.3+439.9+B8</f>
        <v>1469.7</v>
      </c>
      <c r="C9" s="774">
        <f>23200+18384+34581+C8</f>
        <v>116892.9</v>
      </c>
      <c r="D9" s="775"/>
      <c r="E9" s="771">
        <f>C9/B9</f>
        <v>79.535211267605632</v>
      </c>
      <c r="F9" s="772"/>
      <c r="G9" s="21"/>
      <c r="H9" s="776"/>
      <c r="I9" s="777"/>
      <c r="J9" s="368" t="s">
        <v>389</v>
      </c>
      <c r="L9" s="353"/>
      <c r="N9" s="361"/>
      <c r="O9" s="420"/>
      <c r="P9" s="362"/>
      <c r="Q9" s="123"/>
      <c r="S9" s="379"/>
      <c r="T9" s="219"/>
      <c r="U9" s="216"/>
      <c r="V9" s="395"/>
      <c r="W9" s="143"/>
      <c r="X9" s="48"/>
      <c r="Y9" s="42"/>
      <c r="Z9" s="144"/>
      <c r="AP9" s="13">
        <v>90700</v>
      </c>
      <c r="AQ9" s="13">
        <v>924</v>
      </c>
      <c r="AR9" s="13">
        <f>AQ9*AP9/10000</f>
        <v>8380.68</v>
      </c>
    </row>
    <row r="10" spans="1:44">
      <c r="A10" s="417"/>
      <c r="B10" s="25"/>
      <c r="F10" s="27"/>
      <c r="G10" s="27"/>
      <c r="H10" s="28"/>
      <c r="I10" s="28"/>
      <c r="L10" s="359"/>
      <c r="N10" s="276"/>
      <c r="O10" s="85"/>
      <c r="P10" s="362"/>
      <c r="Q10" s="14"/>
      <c r="T10" s="92">
        <v>956</v>
      </c>
      <c r="U10" s="107">
        <v>915</v>
      </c>
      <c r="V10" s="400" t="s">
        <v>383</v>
      </c>
      <c r="W10" s="143"/>
      <c r="X10" s="48"/>
      <c r="Y10" s="42"/>
      <c r="AP10" s="13">
        <f>SUM(AP8:AP9)</f>
        <v>176900</v>
      </c>
      <c r="AQ10" s="13">
        <v>88700</v>
      </c>
      <c r="AR10" s="13">
        <f>SUM(AR8:AR9)</f>
        <v>15673.2</v>
      </c>
    </row>
    <row r="11" spans="1:44" ht="18" customHeight="1">
      <c r="A11" s="413"/>
      <c r="B11" s="25"/>
      <c r="C11" s="26"/>
      <c r="D11" s="26"/>
      <c r="E11" s="26"/>
      <c r="F11" s="27"/>
      <c r="G11" s="106"/>
      <c r="H11" s="28"/>
      <c r="I11" s="28"/>
      <c r="L11" s="359"/>
      <c r="N11" s="91"/>
      <c r="O11" s="85"/>
      <c r="P11" s="22"/>
      <c r="Q11" s="14"/>
      <c r="T11" s="92">
        <v>599</v>
      </c>
      <c r="U11" s="107">
        <v>-275</v>
      </c>
      <c r="V11" s="400" t="s">
        <v>384</v>
      </c>
      <c r="W11" s="141"/>
      <c r="X11" s="48"/>
      <c r="Y11" s="42"/>
    </row>
    <row r="12" spans="1:44">
      <c r="A12" s="31" t="s">
        <v>17</v>
      </c>
      <c r="J12" s="32"/>
      <c r="K12" s="32"/>
      <c r="L12" s="363"/>
      <c r="M12" s="363"/>
      <c r="N12" s="146"/>
      <c r="O12" s="29"/>
      <c r="P12" s="102"/>
      <c r="T12" s="92">
        <f>1180.5+T27</f>
        <v>631.43678399999794</v>
      </c>
      <c r="U12" s="92">
        <f>383+168+U27</f>
        <v>443.5113549999985</v>
      </c>
      <c r="V12" s="401" t="s">
        <v>387</v>
      </c>
      <c r="W12" s="141"/>
      <c r="X12" s="42"/>
      <c r="Y12" s="42"/>
    </row>
    <row r="13" spans="1:44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  <c r="V13" s="318"/>
      <c r="W13" s="141"/>
      <c r="X13" s="42"/>
      <c r="Y13" s="42"/>
    </row>
    <row r="14" spans="1:44" ht="18.8" thickBot="1">
      <c r="A14" s="762"/>
      <c r="B14" s="423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391" t="s">
        <v>400</v>
      </c>
      <c r="L14" s="18"/>
      <c r="M14" s="18"/>
      <c r="N14" s="146"/>
      <c r="O14" s="29"/>
      <c r="P14" s="102"/>
      <c r="T14" s="92"/>
      <c r="U14" s="92"/>
      <c r="V14" s="370"/>
      <c r="W14" s="287"/>
      <c r="X14" s="42"/>
      <c r="Y14" s="42"/>
    </row>
    <row r="15" spans="1:44" ht="18.8" thickTop="1">
      <c r="A15" s="19" t="s">
        <v>14</v>
      </c>
      <c r="B15" s="37">
        <v>44460</v>
      </c>
      <c r="C15" s="771">
        <f>(B15/C7)+0.1</f>
        <v>33.460846402040971</v>
      </c>
      <c r="D15" s="772"/>
      <c r="E15" s="779">
        <v>6574</v>
      </c>
      <c r="F15" s="779"/>
      <c r="G15" s="780">
        <f>E15/C7</f>
        <v>4.9328431004727245</v>
      </c>
      <c r="H15" s="780"/>
      <c r="I15" s="780"/>
      <c r="J15" s="414"/>
      <c r="K15" s="365"/>
      <c r="L15" s="365"/>
      <c r="M15" s="430"/>
      <c r="N15" s="147"/>
      <c r="O15" s="147"/>
      <c r="P15" s="34"/>
      <c r="Q15" s="33"/>
      <c r="R15" s="33"/>
      <c r="T15" s="92"/>
      <c r="U15" s="92"/>
      <c r="V15" s="368"/>
      <c r="W15" s="51"/>
    </row>
    <row r="16" spans="1:44">
      <c r="A16" s="23" t="s">
        <v>15</v>
      </c>
      <c r="B16" s="38">
        <f>1346530+45240+44460</f>
        <v>1436230</v>
      </c>
      <c r="C16" s="771">
        <f>B16/C8</f>
        <v>35.264032763781096</v>
      </c>
      <c r="D16" s="772"/>
      <c r="E16" s="781">
        <f>203842+6637+6574</f>
        <v>217053</v>
      </c>
      <c r="F16" s="781"/>
      <c r="G16" s="782">
        <f>E16/C8</f>
        <v>5.3293442578674579</v>
      </c>
      <c r="H16" s="782"/>
      <c r="I16" s="782"/>
      <c r="K16" s="410" t="s">
        <v>412</v>
      </c>
      <c r="N16" s="33"/>
      <c r="O16" s="33"/>
      <c r="P16" s="33"/>
      <c r="Q16" s="33"/>
      <c r="T16" s="107"/>
      <c r="U16" s="92"/>
      <c r="V16" s="368"/>
    </row>
    <row r="17" spans="1:53" ht="21.3">
      <c r="A17" s="23" t="s">
        <v>16</v>
      </c>
      <c r="B17" s="39">
        <f>882900+727883+1280460+B16</f>
        <v>4327473</v>
      </c>
      <c r="C17" s="797">
        <f>B17/C9</f>
        <v>37.020837022607878</v>
      </c>
      <c r="D17" s="798"/>
      <c r="E17" s="799">
        <f>134461+110345+193771+E16</f>
        <v>655630</v>
      </c>
      <c r="F17" s="799"/>
      <c r="G17" s="800">
        <f>E17/C9</f>
        <v>5.608809431539469</v>
      </c>
      <c r="H17" s="800"/>
      <c r="I17" s="800"/>
      <c r="J17" s="368" t="s">
        <v>389</v>
      </c>
      <c r="N17" s="289"/>
      <c r="O17" s="33"/>
      <c r="R17" s="33"/>
      <c r="T17" s="92"/>
      <c r="U17" s="92"/>
      <c r="V17" s="353"/>
      <c r="AB17" s="854" t="s">
        <v>225</v>
      </c>
      <c r="AC17" s="854"/>
      <c r="AD17" s="854"/>
      <c r="AE17" s="854"/>
      <c r="AO17" s="868" t="s">
        <v>241</v>
      </c>
      <c r="AP17" s="868"/>
      <c r="AQ17" s="868"/>
      <c r="AR17" s="868"/>
      <c r="AS17" s="868"/>
    </row>
    <row r="18" spans="1:53">
      <c r="A18" s="390" t="s">
        <v>399</v>
      </c>
      <c r="J18" s="41"/>
      <c r="K18" s="41"/>
      <c r="L18" s="41"/>
      <c r="M18" s="41"/>
      <c r="N18" s="42"/>
      <c r="Q18" s="133"/>
      <c r="T18" s="92"/>
      <c r="U18" s="92"/>
      <c r="V18" s="364"/>
    </row>
    <row r="19" spans="1:53">
      <c r="A19" s="186" t="s">
        <v>145</v>
      </c>
      <c r="J19" s="43"/>
      <c r="K19" s="388"/>
      <c r="L19" s="43"/>
      <c r="M19" s="43"/>
      <c r="N19" s="125"/>
      <c r="O19" s="42"/>
      <c r="P19" s="42"/>
      <c r="Q19" s="292"/>
      <c r="T19" s="92"/>
      <c r="U19" s="92"/>
      <c r="V19" s="367"/>
    </row>
    <row r="20" spans="1:53" ht="16.75" customHeight="1">
      <c r="A20" s="40"/>
      <c r="B20" s="44"/>
      <c r="C20" s="36"/>
      <c r="D20" s="36"/>
      <c r="E20" s="36"/>
      <c r="F20" s="36"/>
      <c r="J20" s="45"/>
      <c r="K20" s="45"/>
      <c r="L20" s="45"/>
      <c r="M20" s="45"/>
      <c r="N20" s="169"/>
      <c r="T20" s="92"/>
      <c r="U20" s="92"/>
      <c r="V20" s="367"/>
      <c r="AB20" s="32" t="s">
        <v>222</v>
      </c>
      <c r="AH20" s="32" t="s">
        <v>224</v>
      </c>
      <c r="AO20" s="32" t="s">
        <v>222</v>
      </c>
      <c r="AP20" s="32"/>
      <c r="AV20" s="32" t="s">
        <v>224</v>
      </c>
      <c r="AW20" s="32"/>
    </row>
    <row r="21" spans="1:53">
      <c r="A21" s="15" t="s">
        <v>49</v>
      </c>
      <c r="J21" s="43"/>
      <c r="K21" s="388"/>
      <c r="L21" s="43"/>
      <c r="M21" s="43"/>
      <c r="X21" s="291"/>
      <c r="AB21" s="225" t="s">
        <v>153</v>
      </c>
      <c r="AC21" s="225" t="s">
        <v>217</v>
      </c>
      <c r="AD21" s="225" t="s">
        <v>218</v>
      </c>
      <c r="AE21" s="225" t="s">
        <v>219</v>
      </c>
      <c r="AF21" s="225" t="s">
        <v>31</v>
      </c>
      <c r="AH21" s="225" t="s">
        <v>153</v>
      </c>
      <c r="AI21" s="225" t="s">
        <v>217</v>
      </c>
      <c r="AJ21" s="225" t="s">
        <v>218</v>
      </c>
      <c r="AK21" s="225" t="s">
        <v>219</v>
      </c>
      <c r="AL21" s="225" t="s">
        <v>31</v>
      </c>
      <c r="AO21" s="869" t="s">
        <v>153</v>
      </c>
      <c r="AP21" s="871" t="s">
        <v>251</v>
      </c>
      <c r="AQ21" s="871" t="s">
        <v>252</v>
      </c>
      <c r="AR21" s="871" t="s">
        <v>254</v>
      </c>
      <c r="AS21" s="871" t="s">
        <v>253</v>
      </c>
      <c r="AT21" s="749" t="s">
        <v>245</v>
      </c>
      <c r="AV21" s="869" t="s">
        <v>153</v>
      </c>
      <c r="AW21" s="871" t="s">
        <v>251</v>
      </c>
      <c r="AX21" s="871" t="s">
        <v>252</v>
      </c>
      <c r="AY21" s="871" t="s">
        <v>254</v>
      </c>
      <c r="AZ21" s="871" t="s">
        <v>253</v>
      </c>
      <c r="BA21" s="749" t="s">
        <v>245</v>
      </c>
    </row>
    <row r="22" spans="1:53" ht="15.65" customHeight="1">
      <c r="A22" s="761" t="s">
        <v>0</v>
      </c>
      <c r="B22" s="738" t="s">
        <v>24</v>
      </c>
      <c r="C22" s="736" t="s">
        <v>25</v>
      </c>
      <c r="D22" s="740"/>
      <c r="E22" s="736" t="s">
        <v>26</v>
      </c>
      <c r="F22" s="740"/>
      <c r="G22" s="766" t="s">
        <v>27</v>
      </c>
      <c r="H22" s="766"/>
      <c r="I22" s="766"/>
      <c r="J22" s="382"/>
      <c r="K22" s="389"/>
      <c r="L22" s="403"/>
      <c r="M22" s="404"/>
      <c r="N22" s="397">
        <v>285</v>
      </c>
      <c r="O22" s="107">
        <f>268500*1.0036</f>
        <v>269466.60000000003</v>
      </c>
      <c r="P22" s="92">
        <v>261000</v>
      </c>
      <c r="Q22" s="293">
        <f>P22-O22</f>
        <v>-8466.6000000000349</v>
      </c>
      <c r="R22" s="92">
        <v>520</v>
      </c>
      <c r="T22" s="92">
        <f>P28+P29</f>
        <v>-549.06321600000206</v>
      </c>
      <c r="U22" s="92">
        <f>P30</f>
        <v>-107.48864500000148</v>
      </c>
      <c r="V22" s="398" t="s">
        <v>405</v>
      </c>
      <c r="X22" s="291"/>
      <c r="AB22" s="226" t="s">
        <v>190</v>
      </c>
      <c r="AC22" s="422">
        <v>0</v>
      </c>
      <c r="AD22" s="422">
        <v>0</v>
      </c>
      <c r="AE22" s="422">
        <v>0</v>
      </c>
      <c r="AF22" s="422">
        <f>SUM(AC22:AE22)</f>
        <v>0</v>
      </c>
      <c r="AH22" s="226" t="s">
        <v>190</v>
      </c>
      <c r="AI22" s="422">
        <v>0</v>
      </c>
      <c r="AJ22" s="422">
        <v>0</v>
      </c>
      <c r="AK22" s="422">
        <v>0</v>
      </c>
      <c r="AL22" s="422">
        <f>SUM(AI22:AK22)</f>
        <v>0</v>
      </c>
      <c r="AO22" s="870"/>
      <c r="AP22" s="872"/>
      <c r="AQ22" s="873"/>
      <c r="AR22" s="873"/>
      <c r="AS22" s="873"/>
      <c r="AT22" s="873"/>
      <c r="AV22" s="870"/>
      <c r="AW22" s="872"/>
      <c r="AX22" s="873"/>
      <c r="AY22" s="873"/>
      <c r="AZ22" s="873"/>
      <c r="BA22" s="873"/>
    </row>
    <row r="23" spans="1:53" ht="15.65" customHeight="1" thickBot="1">
      <c r="A23" s="778"/>
      <c r="B23" s="739"/>
      <c r="C23" s="737"/>
      <c r="D23" s="741"/>
      <c r="E23" s="737"/>
      <c r="F23" s="741"/>
      <c r="G23" s="89" t="s">
        <v>53</v>
      </c>
      <c r="H23" s="89" t="s">
        <v>54</v>
      </c>
      <c r="I23" s="89" t="s">
        <v>55</v>
      </c>
      <c r="J23" s="382"/>
      <c r="K23" s="389"/>
      <c r="L23" s="403"/>
      <c r="M23" s="404"/>
      <c r="N23" s="92"/>
      <c r="O23" s="107">
        <f>268510*1.0032</f>
        <v>269369.23200000002</v>
      </c>
      <c r="P23" s="92">
        <f>P22</f>
        <v>261000</v>
      </c>
      <c r="Q23" s="293">
        <f>P23-O23</f>
        <v>-8369.2320000000182</v>
      </c>
      <c r="R23" s="92">
        <v>130</v>
      </c>
      <c r="S23" s="48"/>
      <c r="T23" s="92"/>
      <c r="U23" s="92"/>
      <c r="V23" s="398"/>
      <c r="X23" s="291"/>
      <c r="AB23" s="226" t="s">
        <v>191</v>
      </c>
      <c r="AC23" s="422">
        <v>7.7</v>
      </c>
      <c r="AD23" s="422">
        <v>0</v>
      </c>
      <c r="AE23" s="422">
        <v>0</v>
      </c>
      <c r="AF23" s="422">
        <f t="shared" ref="AB23:AF52" si="1">SUM(AC23:AE23)</f>
        <v>7.7</v>
      </c>
      <c r="AH23" s="226" t="s">
        <v>191</v>
      </c>
      <c r="AI23" s="422">
        <v>10</v>
      </c>
      <c r="AJ23" s="422">
        <v>8</v>
      </c>
      <c r="AK23" s="422">
        <v>6</v>
      </c>
      <c r="AL23" s="422">
        <f t="shared" ref="AL23:AL33" si="2">SUM(AI23:AK23)</f>
        <v>24</v>
      </c>
      <c r="AO23" s="226" t="s">
        <v>191</v>
      </c>
      <c r="AP23" s="229">
        <v>7.7</v>
      </c>
      <c r="AQ23" s="274">
        <v>6.31</v>
      </c>
      <c r="AR23" s="422">
        <v>700</v>
      </c>
      <c r="AS23" s="422">
        <v>77</v>
      </c>
      <c r="AT23" s="274">
        <v>5.3</v>
      </c>
      <c r="AV23" s="226" t="s">
        <v>191</v>
      </c>
      <c r="AW23" s="229">
        <v>24</v>
      </c>
      <c r="AX23" s="274">
        <v>7.17</v>
      </c>
      <c r="AY23" s="422">
        <v>650</v>
      </c>
      <c r="AZ23" s="422">
        <v>79</v>
      </c>
      <c r="BA23" s="274">
        <v>5.99</v>
      </c>
    </row>
    <row r="24" spans="1:53" ht="16.75" customHeight="1" thickTop="1">
      <c r="A24" s="95" t="s">
        <v>57</v>
      </c>
      <c r="B24" s="783">
        <v>4768</v>
      </c>
      <c r="C24" s="785">
        <f>1332-460</f>
        <v>872</v>
      </c>
      <c r="D24" s="786"/>
      <c r="E24" s="787">
        <v>1487</v>
      </c>
      <c r="F24" s="788"/>
      <c r="G24" s="791">
        <v>4478</v>
      </c>
      <c r="H24" s="793">
        <f>B24+C24+C25-E24</f>
        <v>4153</v>
      </c>
      <c r="I24" s="793">
        <f>G24-H24</f>
        <v>325</v>
      </c>
      <c r="J24" s="383"/>
      <c r="K24" s="385"/>
      <c r="L24" s="385"/>
      <c r="M24" s="376"/>
      <c r="O24" s="107">
        <f>263500*1.0033</f>
        <v>264369.55000000005</v>
      </c>
      <c r="P24" s="107">
        <f>P23</f>
        <v>261000</v>
      </c>
      <c r="Q24" s="293">
        <f>P24-O24</f>
        <v>-3369.5500000000466</v>
      </c>
      <c r="R24" s="107">
        <v>319</v>
      </c>
      <c r="S24" s="48"/>
      <c r="T24" s="92"/>
      <c r="U24" s="92"/>
      <c r="X24" s="291"/>
      <c r="AB24" s="226" t="s">
        <v>192</v>
      </c>
      <c r="AC24" s="422">
        <v>10</v>
      </c>
      <c r="AD24" s="422">
        <v>3.8</v>
      </c>
      <c r="AE24" s="422">
        <v>2</v>
      </c>
      <c r="AF24" s="422">
        <f t="shared" si="1"/>
        <v>15.8</v>
      </c>
      <c r="AH24" s="226" t="s">
        <v>192</v>
      </c>
      <c r="AI24" s="422">
        <v>10</v>
      </c>
      <c r="AJ24" s="422">
        <v>8</v>
      </c>
      <c r="AK24" s="422">
        <v>6</v>
      </c>
      <c r="AL24" s="422">
        <f t="shared" si="2"/>
        <v>24</v>
      </c>
      <c r="AO24" s="226" t="s">
        <v>192</v>
      </c>
      <c r="AP24" s="229">
        <v>15.8</v>
      </c>
      <c r="AQ24" s="274">
        <v>5.93</v>
      </c>
      <c r="AR24" s="422">
        <v>700</v>
      </c>
      <c r="AS24" s="422">
        <v>78</v>
      </c>
      <c r="AT24" s="274">
        <v>5.64</v>
      </c>
      <c r="AV24" s="226" t="s">
        <v>192</v>
      </c>
      <c r="AW24" s="229">
        <v>24</v>
      </c>
      <c r="AX24" s="274">
        <v>7.15</v>
      </c>
      <c r="AY24" s="422">
        <v>700</v>
      </c>
      <c r="AZ24" s="422">
        <v>83</v>
      </c>
      <c r="BA24" s="274">
        <v>6.19</v>
      </c>
    </row>
    <row r="25" spans="1:53" ht="16.75" customHeight="1">
      <c r="A25" s="96" t="s">
        <v>58</v>
      </c>
      <c r="B25" s="784"/>
      <c r="C25" s="795"/>
      <c r="D25" s="796"/>
      <c r="E25" s="789"/>
      <c r="F25" s="790"/>
      <c r="G25" s="792"/>
      <c r="H25" s="794"/>
      <c r="I25" s="794"/>
      <c r="J25" s="383"/>
      <c r="K25" s="383"/>
      <c r="L25" s="383"/>
      <c r="M25" s="376"/>
      <c r="N25" s="405"/>
      <c r="O25" s="293"/>
      <c r="P25" s="377"/>
      <c r="Q25" s="293"/>
      <c r="R25" s="293">
        <f>SUM(R22:R24)</f>
        <v>969</v>
      </c>
      <c r="S25" s="137"/>
      <c r="T25" s="92"/>
      <c r="U25" s="92"/>
      <c r="X25" s="381" t="s">
        <v>186</v>
      </c>
      <c r="Y25" s="399">
        <v>24.2</v>
      </c>
      <c r="AB25" s="226" t="s">
        <v>193</v>
      </c>
      <c r="AC25" s="422">
        <v>10</v>
      </c>
      <c r="AD25" s="422">
        <v>3</v>
      </c>
      <c r="AE25" s="422">
        <v>2</v>
      </c>
      <c r="AF25" s="422">
        <f t="shared" si="1"/>
        <v>15</v>
      </c>
      <c r="AH25" s="226" t="s">
        <v>193</v>
      </c>
      <c r="AI25" s="422">
        <v>10</v>
      </c>
      <c r="AJ25" s="422">
        <v>8</v>
      </c>
      <c r="AK25" s="422">
        <v>2.4</v>
      </c>
      <c r="AL25" s="422">
        <f t="shared" si="2"/>
        <v>20.399999999999999</v>
      </c>
      <c r="AO25" s="226" t="s">
        <v>193</v>
      </c>
      <c r="AP25" s="229">
        <v>15</v>
      </c>
      <c r="AQ25" s="274">
        <v>7.05</v>
      </c>
      <c r="AR25" s="422">
        <v>700</v>
      </c>
      <c r="AS25" s="422">
        <v>75</v>
      </c>
      <c r="AT25" s="274">
        <v>5.79</v>
      </c>
      <c r="AV25" s="226" t="s">
        <v>193</v>
      </c>
      <c r="AW25" s="229">
        <v>20.399999999999999</v>
      </c>
      <c r="AX25" s="274">
        <v>7.14</v>
      </c>
      <c r="AY25" s="422">
        <v>700</v>
      </c>
      <c r="AZ25" s="422">
        <v>79</v>
      </c>
      <c r="BA25" s="274">
        <v>6.22</v>
      </c>
    </row>
    <row r="26" spans="1:53" ht="16.75" customHeight="1">
      <c r="A26" s="97" t="s">
        <v>59</v>
      </c>
      <c r="B26" s="811">
        <v>4574</v>
      </c>
      <c r="C26" s="813">
        <v>461</v>
      </c>
      <c r="D26" s="814"/>
      <c r="E26" s="815">
        <v>405</v>
      </c>
      <c r="F26" s="816"/>
      <c r="G26" s="801">
        <v>4478</v>
      </c>
      <c r="H26" s="803">
        <f>B26+C26+C27-E26-E28</f>
        <v>4423</v>
      </c>
      <c r="I26" s="803">
        <f>G26-H26</f>
        <v>55</v>
      </c>
      <c r="J26" s="384"/>
      <c r="K26" s="384"/>
      <c r="L26" s="384"/>
      <c r="M26" s="50"/>
      <c r="N26" s="60"/>
      <c r="Q26" s="378"/>
      <c r="R26" s="129"/>
      <c r="S26" s="129"/>
      <c r="T26" s="92"/>
      <c r="U26" s="92"/>
      <c r="X26" s="294"/>
      <c r="Y26" s="51"/>
      <c r="AB26" s="226" t="s">
        <v>194</v>
      </c>
      <c r="AC26" s="422">
        <v>10</v>
      </c>
      <c r="AD26" s="422">
        <v>3.7</v>
      </c>
      <c r="AE26" s="422">
        <v>2</v>
      </c>
      <c r="AF26" s="422">
        <f t="shared" si="1"/>
        <v>15.7</v>
      </c>
      <c r="AH26" s="226" t="s">
        <v>194</v>
      </c>
      <c r="AI26" s="422">
        <v>10</v>
      </c>
      <c r="AJ26" s="422">
        <v>7.5</v>
      </c>
      <c r="AK26" s="422">
        <v>6</v>
      </c>
      <c r="AL26" s="422">
        <f t="shared" si="2"/>
        <v>23.5</v>
      </c>
      <c r="AO26" s="226" t="s">
        <v>194</v>
      </c>
      <c r="AP26" s="229">
        <v>15.7</v>
      </c>
      <c r="AQ26" s="274">
        <v>6.56</v>
      </c>
      <c r="AR26" s="422">
        <v>700</v>
      </c>
      <c r="AS26" s="422">
        <v>77</v>
      </c>
      <c r="AT26" s="274">
        <v>5.58</v>
      </c>
      <c r="AV26" s="226" t="s">
        <v>194</v>
      </c>
      <c r="AW26" s="229">
        <v>23.5</v>
      </c>
      <c r="AX26" s="274">
        <v>7.1</v>
      </c>
      <c r="AY26" s="422">
        <v>700</v>
      </c>
      <c r="AZ26" s="422">
        <v>79</v>
      </c>
      <c r="BA26" s="274">
        <v>6.02</v>
      </c>
    </row>
    <row r="27" spans="1:53" ht="16.75" customHeight="1">
      <c r="A27" s="174" t="s">
        <v>60</v>
      </c>
      <c r="B27" s="812"/>
      <c r="C27" s="819"/>
      <c r="D27" s="820"/>
      <c r="E27" s="817"/>
      <c r="F27" s="818"/>
      <c r="G27" s="802"/>
      <c r="H27" s="804"/>
      <c r="I27" s="804"/>
      <c r="J27" s="384"/>
      <c r="K27" s="406"/>
      <c r="L27" s="384"/>
      <c r="M27" s="50"/>
      <c r="Q27" s="92"/>
      <c r="R27" s="130"/>
      <c r="S27" s="35"/>
      <c r="T27" s="92">
        <f>SUM(T13:T26)</f>
        <v>-549.06321600000206</v>
      </c>
      <c r="U27" s="92">
        <f>SUM(U13:U26)</f>
        <v>-107.48864500000148</v>
      </c>
      <c r="V27" s="92">
        <f>SUM(T27:U27)</f>
        <v>-656.55186100000356</v>
      </c>
      <c r="X27" s="291"/>
      <c r="AB27" s="227" t="s">
        <v>88</v>
      </c>
      <c r="AC27" s="422">
        <v>24</v>
      </c>
      <c r="AD27" s="422">
        <v>0</v>
      </c>
      <c r="AE27" s="422">
        <v>0</v>
      </c>
      <c r="AF27" s="422">
        <f t="shared" si="1"/>
        <v>24</v>
      </c>
      <c r="AH27" s="229" t="s">
        <v>88</v>
      </c>
      <c r="AI27" s="422">
        <v>10</v>
      </c>
      <c r="AJ27" s="422">
        <v>8</v>
      </c>
      <c r="AK27" s="422">
        <v>6</v>
      </c>
      <c r="AL27" s="422">
        <f t="shared" si="2"/>
        <v>24</v>
      </c>
      <c r="AO27" s="227" t="s">
        <v>88</v>
      </c>
      <c r="AP27" s="229">
        <v>24</v>
      </c>
      <c r="AQ27" s="274">
        <v>6.4</v>
      </c>
      <c r="AR27" s="422">
        <v>450</v>
      </c>
      <c r="AS27" s="422">
        <v>77</v>
      </c>
      <c r="AT27" s="274">
        <v>5.9</v>
      </c>
      <c r="AV27" s="229" t="s">
        <v>88</v>
      </c>
      <c r="AW27" s="229">
        <v>24</v>
      </c>
      <c r="AX27" s="274">
        <v>7.03</v>
      </c>
      <c r="AY27" s="422">
        <v>600</v>
      </c>
      <c r="AZ27" s="422">
        <v>78</v>
      </c>
      <c r="BA27" s="274">
        <v>6</v>
      </c>
    </row>
    <row r="28" spans="1:53" ht="16.75" customHeight="1">
      <c r="A28" s="175" t="s">
        <v>43</v>
      </c>
      <c r="B28" s="812"/>
      <c r="C28" s="807"/>
      <c r="D28" s="808"/>
      <c r="E28" s="809">
        <v>207</v>
      </c>
      <c r="F28" s="810"/>
      <c r="G28" s="802"/>
      <c r="H28" s="804"/>
      <c r="I28" s="804"/>
      <c r="J28" s="14"/>
      <c r="K28" s="14"/>
      <c r="L28" s="14"/>
      <c r="M28" s="14"/>
      <c r="O28" s="188">
        <f>P22*R22/10000</f>
        <v>13572</v>
      </c>
      <c r="P28" s="358">
        <f>Q22*R22/10000</f>
        <v>-440.26320000000186</v>
      </c>
      <c r="Q28" s="92"/>
      <c r="R28" s="132"/>
      <c r="S28" s="294"/>
      <c r="T28" s="92"/>
      <c r="U28" s="92"/>
      <c r="V28" s="387"/>
      <c r="AB28" s="226" t="s">
        <v>195</v>
      </c>
      <c r="AC28" s="422">
        <v>0</v>
      </c>
      <c r="AD28" s="422">
        <v>0</v>
      </c>
      <c r="AE28" s="422">
        <v>0</v>
      </c>
      <c r="AF28" s="422">
        <f t="shared" si="1"/>
        <v>0</v>
      </c>
      <c r="AH28" s="227" t="s">
        <v>89</v>
      </c>
      <c r="AI28" s="422">
        <v>24</v>
      </c>
      <c r="AJ28" s="422">
        <v>0</v>
      </c>
      <c r="AK28" s="422">
        <v>0</v>
      </c>
      <c r="AL28" s="422">
        <f t="shared" si="2"/>
        <v>24</v>
      </c>
      <c r="AO28" s="226" t="s">
        <v>202</v>
      </c>
      <c r="AP28" s="229">
        <v>6.8</v>
      </c>
      <c r="AQ28" s="274">
        <v>4.8</v>
      </c>
      <c r="AR28" s="422">
        <v>250</v>
      </c>
      <c r="AS28" s="422">
        <v>83</v>
      </c>
      <c r="AT28" s="274">
        <v>12.2</v>
      </c>
      <c r="AV28" s="227" t="s">
        <v>89</v>
      </c>
      <c r="AW28" s="229">
        <v>24</v>
      </c>
      <c r="AX28" s="274">
        <v>7.02</v>
      </c>
      <c r="AY28" s="422">
        <v>700</v>
      </c>
      <c r="AZ28" s="422">
        <v>77</v>
      </c>
      <c r="BA28" s="274">
        <v>6.44</v>
      </c>
    </row>
    <row r="29" spans="1:53" ht="16.75" customHeight="1">
      <c r="A29" s="172" t="s">
        <v>141</v>
      </c>
      <c r="B29" s="811">
        <v>10186</v>
      </c>
      <c r="C29" s="829"/>
      <c r="D29" s="830"/>
      <c r="E29" s="815">
        <v>146</v>
      </c>
      <c r="F29" s="816"/>
      <c r="G29" s="801">
        <v>9735</v>
      </c>
      <c r="H29" s="803">
        <f>B29+C29+C30-E29-E31</f>
        <v>10040</v>
      </c>
      <c r="I29" s="803">
        <f>G29-H29</f>
        <v>-305</v>
      </c>
      <c r="J29" s="14"/>
      <c r="K29" s="327"/>
      <c r="M29" s="14"/>
      <c r="O29" s="188">
        <f>P23*R23/10000</f>
        <v>3393</v>
      </c>
      <c r="P29" s="358">
        <f>Q23*R23/10000</f>
        <v>-108.80001600000024</v>
      </c>
      <c r="Q29" s="92"/>
      <c r="R29" s="35"/>
      <c r="S29" s="284"/>
      <c r="T29" s="92"/>
      <c r="U29" s="92"/>
      <c r="V29" s="92"/>
      <c r="W29" s="381"/>
      <c r="AB29" s="226" t="s">
        <v>196</v>
      </c>
      <c r="AC29" s="422">
        <v>0</v>
      </c>
      <c r="AD29" s="422">
        <v>0</v>
      </c>
      <c r="AE29" s="422">
        <v>0</v>
      </c>
      <c r="AF29" s="422">
        <f t="shared" si="1"/>
        <v>0</v>
      </c>
      <c r="AH29" s="229" t="s">
        <v>90</v>
      </c>
      <c r="AI29" s="422">
        <v>10</v>
      </c>
      <c r="AJ29" s="422">
        <v>8</v>
      </c>
      <c r="AK29" s="422">
        <v>6</v>
      </c>
      <c r="AL29" s="422">
        <f t="shared" si="2"/>
        <v>24</v>
      </c>
      <c r="AO29" s="226" t="s">
        <v>203</v>
      </c>
      <c r="AP29" s="229">
        <v>14.8</v>
      </c>
      <c r="AQ29" s="274">
        <v>5.09</v>
      </c>
      <c r="AR29" s="422">
        <v>70</v>
      </c>
      <c r="AS29" s="422">
        <v>90</v>
      </c>
      <c r="AT29" s="274">
        <v>5.39</v>
      </c>
      <c r="AV29" s="229" t="s">
        <v>90</v>
      </c>
      <c r="AW29" s="229">
        <v>24</v>
      </c>
      <c r="AX29" s="274">
        <v>6.94</v>
      </c>
      <c r="AY29" s="422">
        <v>700</v>
      </c>
      <c r="AZ29" s="422">
        <v>77</v>
      </c>
      <c r="BA29" s="274">
        <v>5.98</v>
      </c>
    </row>
    <row r="30" spans="1:53" ht="16.75" customHeight="1">
      <c r="A30" s="173" t="s">
        <v>142</v>
      </c>
      <c r="B30" s="812"/>
      <c r="C30" s="805"/>
      <c r="D30" s="806"/>
      <c r="E30" s="831"/>
      <c r="F30" s="832"/>
      <c r="G30" s="802"/>
      <c r="H30" s="804"/>
      <c r="I30" s="804"/>
      <c r="J30" s="14"/>
      <c r="K30" s="392"/>
      <c r="L30" s="14"/>
      <c r="M30" s="14"/>
      <c r="O30" s="188">
        <f>P24*R24/10000</f>
        <v>8325.9</v>
      </c>
      <c r="P30" s="358">
        <f>Q24*R24/10000</f>
        <v>-107.48864500000148</v>
      </c>
      <c r="Q30" s="92"/>
      <c r="R30" s="35"/>
      <c r="T30" s="219"/>
      <c r="U30" s="386"/>
      <c r="V30" s="219"/>
      <c r="AB30" s="226" t="s">
        <v>197</v>
      </c>
      <c r="AC30" s="422">
        <v>0</v>
      </c>
      <c r="AD30" s="422">
        <v>0</v>
      </c>
      <c r="AE30" s="422">
        <v>0</v>
      </c>
      <c r="AF30" s="422">
        <f t="shared" si="1"/>
        <v>0</v>
      </c>
      <c r="AH30" s="229" t="s">
        <v>92</v>
      </c>
      <c r="AI30" s="422">
        <v>8.9</v>
      </c>
      <c r="AJ30" s="422">
        <v>1</v>
      </c>
      <c r="AK30" s="422">
        <v>3.7</v>
      </c>
      <c r="AL30" s="422">
        <f t="shared" si="2"/>
        <v>13.600000000000001</v>
      </c>
      <c r="AO30" s="226" t="s">
        <v>204</v>
      </c>
      <c r="AP30" s="229">
        <v>16.7</v>
      </c>
      <c r="AQ30" s="274">
        <v>5.33</v>
      </c>
      <c r="AR30" s="422">
        <v>80</v>
      </c>
      <c r="AS30" s="422">
        <v>89</v>
      </c>
      <c r="AT30" s="274">
        <v>5.62</v>
      </c>
      <c r="AV30" s="229" t="s">
        <v>92</v>
      </c>
      <c r="AW30" s="229">
        <v>13.600000000000001</v>
      </c>
      <c r="AX30" s="274">
        <v>7.01</v>
      </c>
      <c r="AY30" s="422">
        <v>700</v>
      </c>
      <c r="AZ30" s="422">
        <v>77</v>
      </c>
      <c r="BA30" s="274">
        <v>6.43</v>
      </c>
    </row>
    <row r="31" spans="1:53" ht="16.75" customHeight="1">
      <c r="A31" s="176" t="s">
        <v>143</v>
      </c>
      <c r="B31" s="784"/>
      <c r="C31" s="807"/>
      <c r="D31" s="808"/>
      <c r="E31" s="809"/>
      <c r="F31" s="810"/>
      <c r="G31" s="792"/>
      <c r="H31" s="794"/>
      <c r="I31" s="804"/>
      <c r="J31" s="242"/>
      <c r="K31" s="17"/>
      <c r="L31" s="17"/>
      <c r="M31" s="242"/>
      <c r="O31" s="92"/>
      <c r="P31" s="211"/>
      <c r="Q31" s="92"/>
      <c r="R31" s="366"/>
      <c r="T31" s="219"/>
      <c r="V31" s="297"/>
      <c r="AB31" s="226" t="s">
        <v>198</v>
      </c>
      <c r="AC31" s="422">
        <v>0</v>
      </c>
      <c r="AD31" s="422">
        <v>0</v>
      </c>
      <c r="AE31" s="422">
        <v>0</v>
      </c>
      <c r="AF31" s="422">
        <f t="shared" si="1"/>
        <v>0</v>
      </c>
      <c r="AH31" s="229" t="s">
        <v>93</v>
      </c>
      <c r="AI31" s="422">
        <v>10</v>
      </c>
      <c r="AJ31" s="422">
        <v>8</v>
      </c>
      <c r="AK31" s="422">
        <v>6</v>
      </c>
      <c r="AL31" s="422">
        <f t="shared" si="2"/>
        <v>24</v>
      </c>
      <c r="AO31" s="226" t="s">
        <v>205</v>
      </c>
      <c r="AP31" s="229">
        <v>16.3</v>
      </c>
      <c r="AQ31" s="274">
        <v>5.8</v>
      </c>
      <c r="AR31" s="422">
        <v>70</v>
      </c>
      <c r="AS31" s="422">
        <v>81</v>
      </c>
      <c r="AT31" s="274">
        <v>5.84</v>
      </c>
      <c r="AV31" s="229" t="s">
        <v>93</v>
      </c>
      <c r="AW31" s="229">
        <v>24</v>
      </c>
      <c r="AX31" s="274">
        <v>6.85</v>
      </c>
      <c r="AY31" s="422">
        <v>700</v>
      </c>
      <c r="AZ31" s="422">
        <v>77</v>
      </c>
      <c r="BA31" s="274">
        <v>6.02</v>
      </c>
    </row>
    <row r="32" spans="1:53" ht="16.75" customHeight="1" thickBot="1">
      <c r="A32" s="53" t="s">
        <v>28</v>
      </c>
      <c r="B32" s="78">
        <f>SUM(B24:B31)</f>
        <v>19528</v>
      </c>
      <c r="C32" s="821">
        <f>SUM(C24:D31)</f>
        <v>1333</v>
      </c>
      <c r="D32" s="822"/>
      <c r="E32" s="821">
        <f>SUM(E24:F31)</f>
        <v>2245</v>
      </c>
      <c r="F32" s="822"/>
      <c r="G32" s="424">
        <f>G24+G26+G29</f>
        <v>18691</v>
      </c>
      <c r="H32" s="424">
        <f>H24+H26+H29</f>
        <v>18616</v>
      </c>
      <c r="I32" s="424">
        <f>I24+I26+I29</f>
        <v>75</v>
      </c>
      <c r="J32" s="327">
        <f>E32-E28</f>
        <v>2038</v>
      </c>
      <c r="K32" s="14"/>
      <c r="L32" s="14"/>
      <c r="M32" s="14"/>
      <c r="N32" s="140"/>
      <c r="O32" s="261">
        <f>SUM(O28:O31)</f>
        <v>25290.9</v>
      </c>
      <c r="P32" s="261">
        <f>SUM(P28:P31)</f>
        <v>-656.55186100000356</v>
      </c>
      <c r="T32" s="219"/>
      <c r="U32" s="219"/>
      <c r="AB32" s="226" t="s">
        <v>199</v>
      </c>
      <c r="AC32" s="422">
        <v>0</v>
      </c>
      <c r="AD32" s="422">
        <v>0</v>
      </c>
      <c r="AE32" s="422">
        <v>0</v>
      </c>
      <c r="AF32" s="422">
        <f t="shared" si="1"/>
        <v>0</v>
      </c>
      <c r="AH32" s="229" t="s">
        <v>94</v>
      </c>
      <c r="AI32" s="422">
        <v>10</v>
      </c>
      <c r="AJ32" s="422">
        <v>1.5</v>
      </c>
      <c r="AK32" s="422">
        <v>0</v>
      </c>
      <c r="AL32" s="422">
        <f t="shared" si="2"/>
        <v>11.5</v>
      </c>
      <c r="AO32" s="226" t="s">
        <v>206</v>
      </c>
      <c r="AP32" s="229">
        <v>10.8</v>
      </c>
      <c r="AQ32" s="274">
        <v>5.39</v>
      </c>
      <c r="AR32" s="422">
        <v>280</v>
      </c>
      <c r="AS32" s="422">
        <v>82</v>
      </c>
      <c r="AT32" s="274">
        <v>5.34</v>
      </c>
      <c r="AV32" s="229" t="s">
        <v>94</v>
      </c>
      <c r="AW32" s="229">
        <v>11.5</v>
      </c>
      <c r="AX32" s="274">
        <v>6.93</v>
      </c>
      <c r="AY32" s="422">
        <v>700</v>
      </c>
      <c r="AZ32" s="422">
        <v>76</v>
      </c>
      <c r="BA32" s="274">
        <v>6.17</v>
      </c>
    </row>
    <row r="33" spans="1:53" ht="16.75" customHeight="1" thickBot="1">
      <c r="A33" s="177" t="s">
        <v>44</v>
      </c>
      <c r="B33" s="178">
        <v>843</v>
      </c>
      <c r="C33" s="823">
        <f>E28+E34+E31</f>
        <v>415</v>
      </c>
      <c r="D33" s="824"/>
      <c r="E33" s="823">
        <f>425+237</f>
        <v>662</v>
      </c>
      <c r="F33" s="824"/>
      <c r="G33" s="183">
        <f>415+174</f>
        <v>589</v>
      </c>
      <c r="H33" s="183">
        <f>B33+C33-E33</f>
        <v>596</v>
      </c>
      <c r="I33" s="183">
        <f>G33-H33</f>
        <v>-7</v>
      </c>
      <c r="J33" s="94"/>
      <c r="K33" s="94"/>
      <c r="L33" s="94"/>
      <c r="M33" s="94"/>
      <c r="P33" s="107"/>
      <c r="Q33" s="22"/>
      <c r="R33" s="22"/>
      <c r="S33" s="22"/>
      <c r="X33" s="222" t="s">
        <v>187</v>
      </c>
      <c r="AB33" s="226" t="s">
        <v>200</v>
      </c>
      <c r="AC33" s="422">
        <v>0</v>
      </c>
      <c r="AD33" s="422">
        <v>0</v>
      </c>
      <c r="AE33" s="422">
        <v>0</v>
      </c>
      <c r="AF33" s="422">
        <f t="shared" si="1"/>
        <v>0</v>
      </c>
      <c r="AH33" s="229" t="s">
        <v>95</v>
      </c>
      <c r="AI33" s="422">
        <v>10</v>
      </c>
      <c r="AJ33" s="422">
        <v>5.6</v>
      </c>
      <c r="AK33" s="422">
        <v>4</v>
      </c>
      <c r="AL33" s="422">
        <f t="shared" si="2"/>
        <v>19.600000000000001</v>
      </c>
      <c r="AO33" s="227" t="s">
        <v>103</v>
      </c>
      <c r="AP33" s="229">
        <v>24</v>
      </c>
      <c r="AQ33" s="274">
        <v>6.67</v>
      </c>
      <c r="AR33" s="422">
        <v>100</v>
      </c>
      <c r="AS33" s="422">
        <v>80</v>
      </c>
      <c r="AT33" s="274">
        <v>5.75</v>
      </c>
      <c r="AV33" s="229" t="s">
        <v>95</v>
      </c>
      <c r="AW33" s="229">
        <v>19.600000000000001</v>
      </c>
      <c r="AX33" s="274">
        <v>6.96</v>
      </c>
      <c r="AY33" s="422">
        <v>700</v>
      </c>
      <c r="AZ33" s="422">
        <v>76</v>
      </c>
      <c r="BA33" s="274">
        <v>6.1</v>
      </c>
    </row>
    <row r="34" spans="1:53" ht="16.75" customHeight="1">
      <c r="A34" s="179" t="s">
        <v>29</v>
      </c>
      <c r="B34" s="180">
        <v>2987</v>
      </c>
      <c r="C34" s="825"/>
      <c r="D34" s="826"/>
      <c r="E34" s="827">
        <v>208</v>
      </c>
      <c r="F34" s="828"/>
      <c r="G34" s="181">
        <v>2872</v>
      </c>
      <c r="H34" s="182">
        <f>B34+C34-E34</f>
        <v>2779</v>
      </c>
      <c r="I34" s="182">
        <f>G34-H34</f>
        <v>93</v>
      </c>
      <c r="J34" s="52"/>
      <c r="K34" s="52"/>
      <c r="L34" s="71" t="s">
        <v>41</v>
      </c>
      <c r="M34" s="7"/>
      <c r="N34" s="93"/>
      <c r="O34" s="93"/>
      <c r="P34" s="93"/>
      <c r="Q34" s="324" t="s">
        <v>330</v>
      </c>
      <c r="X34" s="227" t="s">
        <v>96</v>
      </c>
      <c r="Y34" s="422">
        <v>0</v>
      </c>
      <c r="Z34" s="422">
        <v>0</v>
      </c>
      <c r="AA34" s="422">
        <v>0</v>
      </c>
      <c r="AB34" s="422">
        <f>SUM(Y34:AA34)</f>
        <v>0</v>
      </c>
      <c r="AD34" s="229" t="s">
        <v>96</v>
      </c>
      <c r="AE34" s="422">
        <v>10</v>
      </c>
      <c r="AF34" s="422">
        <v>8</v>
      </c>
      <c r="AG34" s="422">
        <v>6</v>
      </c>
      <c r="AH34" s="422">
        <f>SUM(AE34:AG34)</f>
        <v>24</v>
      </c>
      <c r="AK34" s="226" t="s">
        <v>207</v>
      </c>
      <c r="AL34" s="229">
        <v>10.3</v>
      </c>
      <c r="AM34" s="274">
        <v>6.43</v>
      </c>
      <c r="AN34" s="422">
        <v>350</v>
      </c>
      <c r="AO34" s="422">
        <v>79</v>
      </c>
      <c r="AP34" s="274">
        <v>5.8</v>
      </c>
      <c r="AR34" s="229" t="s">
        <v>96</v>
      </c>
      <c r="AS34" s="229">
        <v>24</v>
      </c>
      <c r="AT34" s="274">
        <v>7.08</v>
      </c>
      <c r="AU34" s="422">
        <v>700</v>
      </c>
      <c r="AV34" s="422">
        <v>76</v>
      </c>
      <c r="AW34" s="274">
        <v>6.08</v>
      </c>
    </row>
    <row r="35" spans="1:53">
      <c r="A35" s="30" t="s">
        <v>45</v>
      </c>
      <c r="C35" s="313" t="s">
        <v>285</v>
      </c>
      <c r="D35" s="46">
        <v>9591</v>
      </c>
      <c r="E35" s="79" t="s">
        <v>47</v>
      </c>
      <c r="F35" s="80" t="s">
        <v>46</v>
      </c>
      <c r="G35" s="55">
        <f>13251+D35</f>
        <v>22842</v>
      </c>
      <c r="H35" s="79" t="s">
        <v>47</v>
      </c>
      <c r="I35" s="79"/>
      <c r="J35" s="220"/>
      <c r="K35" s="220"/>
      <c r="L35" s="10"/>
      <c r="M35" s="10" t="s">
        <v>148</v>
      </c>
      <c r="N35" s="10" t="s">
        <v>32</v>
      </c>
      <c r="O35" s="10" t="s">
        <v>61</v>
      </c>
      <c r="P35" s="155" t="s">
        <v>67</v>
      </c>
      <c r="Q35" s="10" t="s">
        <v>315</v>
      </c>
      <c r="R35" s="54" t="s">
        <v>30</v>
      </c>
      <c r="S35" s="54" t="s">
        <v>33</v>
      </c>
      <c r="T35" s="112"/>
      <c r="U35" s="68"/>
      <c r="V35" s="68"/>
      <c r="X35" s="226" t="s">
        <v>201</v>
      </c>
      <c r="Y35" s="422">
        <v>0</v>
      </c>
      <c r="Z35" s="422">
        <v>0</v>
      </c>
      <c r="AA35" s="422">
        <v>0</v>
      </c>
      <c r="AB35" s="422">
        <f t="shared" si="1"/>
        <v>0</v>
      </c>
      <c r="AD35" s="227" t="s">
        <v>97</v>
      </c>
      <c r="AE35" s="422">
        <v>23</v>
      </c>
      <c r="AF35" s="422">
        <v>0</v>
      </c>
      <c r="AG35" s="422">
        <v>0</v>
      </c>
      <c r="AH35" s="422">
        <f t="shared" ref="AH35:AH45" si="3">SUM(AE35:AG35)</f>
        <v>23</v>
      </c>
      <c r="AK35" s="226" t="s">
        <v>208</v>
      </c>
      <c r="AL35" s="229">
        <v>10.5</v>
      </c>
      <c r="AM35" s="274">
        <v>6.45</v>
      </c>
      <c r="AN35" s="422">
        <v>200</v>
      </c>
      <c r="AO35" s="422">
        <v>77</v>
      </c>
      <c r="AP35" s="274">
        <v>5.74</v>
      </c>
      <c r="AR35" s="227" t="s">
        <v>97</v>
      </c>
      <c r="AS35" s="229">
        <v>23</v>
      </c>
      <c r="AT35" s="274">
        <v>7.09</v>
      </c>
      <c r="AU35" s="422">
        <v>700</v>
      </c>
      <c r="AV35" s="422">
        <v>77</v>
      </c>
      <c r="AW35" s="274">
        <v>6.25</v>
      </c>
    </row>
    <row r="36" spans="1:53">
      <c r="A36" s="30" t="s">
        <v>48</v>
      </c>
      <c r="C36" s="313" t="s">
        <v>285</v>
      </c>
      <c r="D36" s="46">
        <f>847+201+216+213+222+213+183+214+119+206+215+194+214+213+214+210+211+202+450+208</f>
        <v>4965</v>
      </c>
      <c r="E36" s="79" t="s">
        <v>47</v>
      </c>
      <c r="F36" s="80" t="s">
        <v>46</v>
      </c>
      <c r="G36" s="55">
        <f>6950+D36</f>
        <v>11915</v>
      </c>
      <c r="H36" s="79" t="s">
        <v>47</v>
      </c>
      <c r="I36" s="79"/>
      <c r="J36" s="355"/>
      <c r="K36" s="188"/>
      <c r="L36" s="100" t="s">
        <v>381</v>
      </c>
      <c r="M36" s="11"/>
      <c r="N36" s="67">
        <v>1186</v>
      </c>
      <c r="O36" s="76">
        <v>52</v>
      </c>
      <c r="P36" s="76">
        <f t="shared" ref="P36:P65" si="4">N36-O36</f>
        <v>1134</v>
      </c>
      <c r="Q36" s="10">
        <f>P36*(1-S36)*1.07</f>
        <v>1189.1124</v>
      </c>
      <c r="R36" s="54">
        <f t="shared" ref="R36:R65" si="5">P36*S36*1.2</f>
        <v>27.215999999999998</v>
      </c>
      <c r="S36" s="103">
        <v>0.02</v>
      </c>
      <c r="T36" s="36">
        <v>0.02</v>
      </c>
      <c r="U36" s="46" t="e">
        <f t="shared" ref="U36:U66" si="6">Q36/$V$67</f>
        <v>#DIV/0!</v>
      </c>
      <c r="X36" s="226" t="s">
        <v>202</v>
      </c>
      <c r="Y36" s="422">
        <v>5.8</v>
      </c>
      <c r="Z36" s="422">
        <v>0</v>
      </c>
      <c r="AA36" s="422">
        <v>1</v>
      </c>
      <c r="AB36" s="422">
        <f t="shared" si="1"/>
        <v>6.8</v>
      </c>
      <c r="AD36" s="229" t="s">
        <v>98</v>
      </c>
      <c r="AE36" s="422">
        <v>0</v>
      </c>
      <c r="AF36" s="422">
        <v>0</v>
      </c>
      <c r="AG36" s="422">
        <v>0</v>
      </c>
      <c r="AH36" s="422">
        <f t="shared" si="3"/>
        <v>0</v>
      </c>
      <c r="AK36" s="226" t="s">
        <v>209</v>
      </c>
      <c r="AL36" s="229">
        <v>9.1</v>
      </c>
      <c r="AM36" s="274">
        <v>6.62</v>
      </c>
      <c r="AN36" s="422">
        <v>700</v>
      </c>
      <c r="AO36" s="422">
        <v>74</v>
      </c>
      <c r="AP36" s="274">
        <v>5.92</v>
      </c>
      <c r="AR36" s="229" t="s">
        <v>101</v>
      </c>
      <c r="AS36" s="229">
        <v>23.5</v>
      </c>
      <c r="AT36" s="274">
        <v>6.09</v>
      </c>
      <c r="AU36" s="422">
        <v>400</v>
      </c>
      <c r="AV36" s="422">
        <v>85</v>
      </c>
      <c r="AW36" s="274">
        <v>5.65</v>
      </c>
    </row>
    <row r="37" spans="1:53" ht="15.65" customHeight="1">
      <c r="A37" s="30"/>
      <c r="B37" s="15"/>
      <c r="C37" s="99"/>
      <c r="D37" s="46"/>
      <c r="E37" s="79"/>
      <c r="F37" s="80"/>
      <c r="G37" s="98"/>
      <c r="H37" s="79"/>
      <c r="I37" s="79"/>
      <c r="J37" s="188"/>
      <c r="K37" s="188"/>
      <c r="L37" s="100" t="s">
        <v>343</v>
      </c>
      <c r="M37" s="11"/>
      <c r="N37" s="67">
        <v>1191</v>
      </c>
      <c r="O37" s="76">
        <v>51</v>
      </c>
      <c r="P37" s="76">
        <f t="shared" si="4"/>
        <v>1140</v>
      </c>
      <c r="Q37" s="10">
        <f t="shared" ref="Q37:Q45" si="7">P37*(1-S37)*1.07</f>
        <v>1219.8000000000002</v>
      </c>
      <c r="R37" s="54">
        <f t="shared" si="5"/>
        <v>0</v>
      </c>
      <c r="S37" s="103"/>
      <c r="T37" s="36">
        <f t="shared" ref="T37:T43" si="8">R37*0.6</f>
        <v>0</v>
      </c>
      <c r="U37" s="46" t="e">
        <f t="shared" si="6"/>
        <v>#DIV/0!</v>
      </c>
      <c r="X37" s="226" t="s">
        <v>203</v>
      </c>
      <c r="Y37" s="422">
        <v>10</v>
      </c>
      <c r="Z37" s="422">
        <v>2.8</v>
      </c>
      <c r="AA37" s="422">
        <v>2</v>
      </c>
      <c r="AB37" s="422">
        <f t="shared" si="1"/>
        <v>14.8</v>
      </c>
      <c r="AD37" s="229" t="s">
        <v>99</v>
      </c>
      <c r="AE37" s="422">
        <v>0</v>
      </c>
      <c r="AF37" s="422">
        <v>0</v>
      </c>
      <c r="AG37" s="422">
        <v>0</v>
      </c>
      <c r="AH37" s="422">
        <f t="shared" si="3"/>
        <v>0</v>
      </c>
      <c r="AK37" s="226" t="s">
        <v>210</v>
      </c>
      <c r="AL37" s="229">
        <v>10.1</v>
      </c>
      <c r="AM37" s="274">
        <v>6.84</v>
      </c>
      <c r="AN37" s="422">
        <v>650</v>
      </c>
      <c r="AO37" s="422">
        <v>72</v>
      </c>
      <c r="AP37" s="274">
        <v>5.84</v>
      </c>
      <c r="AR37" s="229" t="s">
        <v>102</v>
      </c>
      <c r="AS37" s="229">
        <v>20.3</v>
      </c>
      <c r="AT37" s="274">
        <v>5.86</v>
      </c>
      <c r="AU37" s="422">
        <v>400</v>
      </c>
      <c r="AV37" s="422">
        <v>83</v>
      </c>
      <c r="AW37" s="274">
        <v>5.91</v>
      </c>
    </row>
    <row r="38" spans="1:53">
      <c r="A38" s="31" t="s">
        <v>50</v>
      </c>
      <c r="J38" s="34"/>
      <c r="K38" s="34"/>
      <c r="L38" s="100" t="s">
        <v>344</v>
      </c>
      <c r="M38" s="11"/>
      <c r="N38" s="67">
        <v>1195</v>
      </c>
      <c r="O38" s="76">
        <v>52</v>
      </c>
      <c r="P38" s="76">
        <f t="shared" si="4"/>
        <v>1143</v>
      </c>
      <c r="Q38" s="10">
        <f t="shared" si="7"/>
        <v>1223.01</v>
      </c>
      <c r="R38" s="54">
        <f t="shared" si="5"/>
        <v>0</v>
      </c>
      <c r="S38" s="103"/>
      <c r="T38" s="36">
        <f t="shared" si="8"/>
        <v>0</v>
      </c>
      <c r="U38" s="46" t="e">
        <f t="shared" si="6"/>
        <v>#DIV/0!</v>
      </c>
      <c r="X38" s="226" t="s">
        <v>204</v>
      </c>
      <c r="Y38" s="422">
        <v>10</v>
      </c>
      <c r="Z38" s="422">
        <v>4.7</v>
      </c>
      <c r="AA38" s="422">
        <v>2</v>
      </c>
      <c r="AB38" s="422">
        <f t="shared" si="1"/>
        <v>16.7</v>
      </c>
      <c r="AD38" s="229" t="s">
        <v>100</v>
      </c>
      <c r="AE38" s="422">
        <v>0</v>
      </c>
      <c r="AF38" s="422">
        <v>0</v>
      </c>
      <c r="AG38" s="422">
        <v>0</v>
      </c>
      <c r="AH38" s="422">
        <f t="shared" si="3"/>
        <v>0</v>
      </c>
      <c r="AK38" s="226" t="s">
        <v>211</v>
      </c>
      <c r="AL38" s="229">
        <v>10.1</v>
      </c>
      <c r="AM38" s="274">
        <v>7.33</v>
      </c>
      <c r="AN38" s="422">
        <v>700</v>
      </c>
      <c r="AO38" s="422">
        <v>73</v>
      </c>
      <c r="AP38" s="274">
        <v>6.29</v>
      </c>
      <c r="AR38" s="229" t="s">
        <v>103</v>
      </c>
      <c r="AS38" s="229">
        <v>24</v>
      </c>
      <c r="AT38" s="274">
        <v>5.0999999999999996</v>
      </c>
      <c r="AU38" s="422">
        <v>350</v>
      </c>
      <c r="AV38" s="422">
        <v>82</v>
      </c>
      <c r="AW38" s="274">
        <v>5.66</v>
      </c>
    </row>
    <row r="39" spans="1:53" ht="15.05" customHeight="1">
      <c r="A39" s="842" t="s">
        <v>1</v>
      </c>
      <c r="B39" s="205" t="s">
        <v>168</v>
      </c>
      <c r="C39" s="842" t="s">
        <v>36</v>
      </c>
      <c r="D39" s="842"/>
      <c r="E39" s="842" t="s">
        <v>37</v>
      </c>
      <c r="F39" s="842"/>
      <c r="G39" s="842"/>
      <c r="H39" s="842"/>
      <c r="I39" s="887" t="s">
        <v>392</v>
      </c>
      <c r="J39" s="409"/>
      <c r="K39" s="238"/>
      <c r="L39" s="100" t="s">
        <v>345</v>
      </c>
      <c r="M39" s="11"/>
      <c r="N39" s="67">
        <v>1251</v>
      </c>
      <c r="O39" s="76">
        <v>58</v>
      </c>
      <c r="P39" s="76">
        <f t="shared" si="4"/>
        <v>1193</v>
      </c>
      <c r="Q39" s="10">
        <f t="shared" si="7"/>
        <v>1276.51</v>
      </c>
      <c r="R39" s="54">
        <f t="shared" si="5"/>
        <v>0</v>
      </c>
      <c r="S39" s="103"/>
      <c r="T39" s="36">
        <f t="shared" si="8"/>
        <v>0</v>
      </c>
      <c r="U39" s="46" t="e">
        <f t="shared" si="6"/>
        <v>#DIV/0!</v>
      </c>
      <c r="X39" s="226" t="s">
        <v>205</v>
      </c>
      <c r="Y39" s="422">
        <v>10</v>
      </c>
      <c r="Z39" s="422">
        <v>4.3</v>
      </c>
      <c r="AA39" s="422">
        <v>2</v>
      </c>
      <c r="AB39" s="422">
        <f t="shared" si="1"/>
        <v>16.3</v>
      </c>
      <c r="AD39" s="229" t="s">
        <v>101</v>
      </c>
      <c r="AE39" s="422">
        <v>9.5</v>
      </c>
      <c r="AF39" s="422">
        <v>8</v>
      </c>
      <c r="AG39" s="422">
        <v>6</v>
      </c>
      <c r="AH39" s="422">
        <f t="shared" si="3"/>
        <v>23.5</v>
      </c>
      <c r="AK39" s="226" t="s">
        <v>212</v>
      </c>
      <c r="AL39" s="229">
        <v>10.3</v>
      </c>
      <c r="AM39" s="274">
        <v>7.48</v>
      </c>
      <c r="AN39" s="422">
        <v>700</v>
      </c>
      <c r="AO39" s="422">
        <v>73</v>
      </c>
      <c r="AP39" s="274">
        <v>5.74</v>
      </c>
      <c r="AR39" s="227" t="s">
        <v>104</v>
      </c>
      <c r="AS39" s="229">
        <v>24</v>
      </c>
      <c r="AT39" s="274">
        <v>5.0999999999999996</v>
      </c>
      <c r="AU39" s="422">
        <v>300</v>
      </c>
      <c r="AV39" s="422">
        <v>84</v>
      </c>
      <c r="AW39" s="274">
        <v>5.72</v>
      </c>
    </row>
    <row r="40" spans="1:53" ht="15.05" customHeight="1">
      <c r="A40" s="842"/>
      <c r="B40" s="204" t="s">
        <v>35</v>
      </c>
      <c r="C40" s="889" t="s">
        <v>386</v>
      </c>
      <c r="D40" s="889"/>
      <c r="E40" s="427" t="s">
        <v>34</v>
      </c>
      <c r="F40" s="427" t="s">
        <v>38</v>
      </c>
      <c r="G40" s="842" t="s">
        <v>7</v>
      </c>
      <c r="H40" s="842"/>
      <c r="I40" s="888"/>
      <c r="J40" s="56"/>
      <c r="K40" s="56"/>
      <c r="L40" s="100" t="s">
        <v>346</v>
      </c>
      <c r="M40" s="11"/>
      <c r="N40" s="67">
        <v>1254</v>
      </c>
      <c r="O40" s="76">
        <v>61.2</v>
      </c>
      <c r="P40" s="76">
        <f t="shared" si="4"/>
        <v>1192.8</v>
      </c>
      <c r="Q40" s="10">
        <f t="shared" si="7"/>
        <v>1276.296</v>
      </c>
      <c r="R40" s="54">
        <f t="shared" si="5"/>
        <v>0</v>
      </c>
      <c r="S40" s="103"/>
      <c r="T40" s="36">
        <f t="shared" si="8"/>
        <v>0</v>
      </c>
      <c r="U40" s="46" t="e">
        <f t="shared" si="6"/>
        <v>#DIV/0!</v>
      </c>
      <c r="V40" s="36"/>
      <c r="X40" s="226" t="s">
        <v>206</v>
      </c>
      <c r="Y40" s="422">
        <v>10</v>
      </c>
      <c r="Z40" s="422">
        <v>0.8</v>
      </c>
      <c r="AA40" s="422">
        <v>0</v>
      </c>
      <c r="AB40" s="422">
        <f t="shared" si="1"/>
        <v>10.8</v>
      </c>
      <c r="AD40" s="229" t="s">
        <v>102</v>
      </c>
      <c r="AE40" s="422">
        <v>10</v>
      </c>
      <c r="AF40" s="422">
        <v>6.3</v>
      </c>
      <c r="AG40" s="422">
        <v>4</v>
      </c>
      <c r="AH40" s="422">
        <f t="shared" si="3"/>
        <v>20.3</v>
      </c>
      <c r="AK40" s="227" t="s">
        <v>110</v>
      </c>
      <c r="AL40" s="229">
        <v>24</v>
      </c>
      <c r="AM40" s="274">
        <v>6.48</v>
      </c>
      <c r="AN40" s="422">
        <v>250</v>
      </c>
      <c r="AO40" s="422">
        <v>76</v>
      </c>
      <c r="AP40" s="274">
        <v>5.66</v>
      </c>
      <c r="AR40" s="226" t="s">
        <v>208</v>
      </c>
      <c r="AS40" s="229">
        <v>20.3</v>
      </c>
      <c r="AT40" s="274">
        <v>6.48</v>
      </c>
      <c r="AU40" s="422">
        <v>700</v>
      </c>
      <c r="AV40" s="422">
        <v>77</v>
      </c>
      <c r="AW40" s="274">
        <v>6.13</v>
      </c>
    </row>
    <row r="41" spans="1:53" ht="16.75" customHeight="1" thickBot="1">
      <c r="A41" s="372" t="s">
        <v>178</v>
      </c>
      <c r="B41" s="424">
        <v>27030</v>
      </c>
      <c r="C41" s="803">
        <f>839+726+779+746+808+857+167+760+886+807+214+104</f>
        <v>7693</v>
      </c>
      <c r="D41" s="803"/>
      <c r="E41" s="424">
        <v>19337</v>
      </c>
      <c r="F41" s="424">
        <v>0</v>
      </c>
      <c r="G41" s="881">
        <f>SUM(E41:F41)</f>
        <v>19337</v>
      </c>
      <c r="H41" s="882"/>
      <c r="I41" s="373"/>
      <c r="J41" s="57">
        <f>B41-C41-G41</f>
        <v>0</v>
      </c>
      <c r="K41" s="57"/>
      <c r="L41" s="100" t="s">
        <v>347</v>
      </c>
      <c r="M41" s="11"/>
      <c r="N41" s="67">
        <v>1248</v>
      </c>
      <c r="O41" s="76">
        <v>62</v>
      </c>
      <c r="P41" s="76">
        <f t="shared" si="4"/>
        <v>1186</v>
      </c>
      <c r="Q41" s="10">
        <f t="shared" si="7"/>
        <v>1269.02</v>
      </c>
      <c r="R41" s="54">
        <f t="shared" si="5"/>
        <v>0</v>
      </c>
      <c r="S41" s="103"/>
      <c r="T41" s="36">
        <f t="shared" si="8"/>
        <v>0</v>
      </c>
      <c r="U41" s="46" t="e">
        <f t="shared" si="6"/>
        <v>#DIV/0!</v>
      </c>
      <c r="V41" s="36"/>
      <c r="X41" s="227" t="s">
        <v>103</v>
      </c>
      <c r="Y41" s="422">
        <v>24</v>
      </c>
      <c r="Z41" s="422">
        <v>0</v>
      </c>
      <c r="AA41" s="422">
        <v>0</v>
      </c>
      <c r="AB41" s="422">
        <f t="shared" si="1"/>
        <v>24</v>
      </c>
      <c r="AD41" s="229" t="s">
        <v>103</v>
      </c>
      <c r="AE41" s="422">
        <v>10</v>
      </c>
      <c r="AF41" s="422">
        <v>8</v>
      </c>
      <c r="AG41" s="422">
        <v>6</v>
      </c>
      <c r="AH41" s="422">
        <f t="shared" si="3"/>
        <v>24</v>
      </c>
      <c r="AK41" s="226" t="s">
        <v>213</v>
      </c>
      <c r="AL41" s="229">
        <v>10.5</v>
      </c>
      <c r="AM41" s="274">
        <v>6.3</v>
      </c>
      <c r="AN41" s="422">
        <v>400</v>
      </c>
      <c r="AO41" s="422">
        <v>76</v>
      </c>
      <c r="AP41" s="274">
        <v>5.77</v>
      </c>
      <c r="AR41" s="226" t="s">
        <v>216</v>
      </c>
      <c r="AS41" s="229">
        <v>13.3</v>
      </c>
      <c r="AT41" s="274">
        <v>8.25</v>
      </c>
      <c r="AU41" s="422">
        <v>700</v>
      </c>
      <c r="AV41" s="422">
        <v>70</v>
      </c>
      <c r="AW41" s="274">
        <v>7.45</v>
      </c>
    </row>
    <row r="42" spans="1:53" ht="16.75" customHeight="1" thickTop="1">
      <c r="A42" s="375" t="s">
        <v>322</v>
      </c>
      <c r="B42" s="432">
        <v>25300</v>
      </c>
      <c r="C42" s="883">
        <f>748+766+1896+762+766+489+770+773+762+1882+1146+1182+1132+1121+661+1188+984+1287+1284+623</f>
        <v>20222</v>
      </c>
      <c r="D42" s="884"/>
      <c r="E42" s="432">
        <v>5078</v>
      </c>
      <c r="F42" s="432">
        <f t="shared" ref="F42:F44" si="9">B42-C42-E42</f>
        <v>0</v>
      </c>
      <c r="G42" s="883">
        <f t="shared" ref="G42:G43" si="10">SUM(E42:F42)</f>
        <v>5078</v>
      </c>
      <c r="H42" s="884"/>
      <c r="I42" s="374"/>
      <c r="J42" s="57">
        <f t="shared" ref="J42:J45" si="11">B42-C42-G42</f>
        <v>0</v>
      </c>
      <c r="K42" s="57"/>
      <c r="L42" s="100" t="s">
        <v>348</v>
      </c>
      <c r="M42" s="11"/>
      <c r="N42" s="67">
        <v>1971</v>
      </c>
      <c r="O42" s="76">
        <v>85</v>
      </c>
      <c r="P42" s="76">
        <f t="shared" si="4"/>
        <v>1886</v>
      </c>
      <c r="Q42" s="10">
        <f t="shared" si="7"/>
        <v>2018.0200000000002</v>
      </c>
      <c r="R42" s="54">
        <f t="shared" si="5"/>
        <v>0</v>
      </c>
      <c r="S42" s="103"/>
      <c r="T42" s="36">
        <f t="shared" si="8"/>
        <v>0</v>
      </c>
      <c r="U42" s="46" t="e">
        <f t="shared" si="6"/>
        <v>#DIV/0!</v>
      </c>
      <c r="V42" s="36"/>
      <c r="X42" s="226" t="s">
        <v>207</v>
      </c>
      <c r="Y42" s="422">
        <v>10</v>
      </c>
      <c r="Z42" s="422">
        <v>0.3</v>
      </c>
      <c r="AA42" s="422">
        <v>0</v>
      </c>
      <c r="AB42" s="422">
        <f t="shared" si="1"/>
        <v>10.3</v>
      </c>
      <c r="AD42" s="227" t="s">
        <v>104</v>
      </c>
      <c r="AE42" s="422">
        <v>24</v>
      </c>
      <c r="AF42" s="422">
        <v>0</v>
      </c>
      <c r="AG42" s="422">
        <v>0</v>
      </c>
      <c r="AH42" s="422">
        <f t="shared" si="3"/>
        <v>24</v>
      </c>
      <c r="AK42" s="226" t="s">
        <v>214</v>
      </c>
      <c r="AL42" s="229">
        <v>10.5</v>
      </c>
      <c r="AM42" s="274">
        <v>6.53</v>
      </c>
      <c r="AN42" s="422">
        <v>400</v>
      </c>
      <c r="AO42" s="422">
        <v>76</v>
      </c>
      <c r="AP42" s="274">
        <v>5.85</v>
      </c>
      <c r="AR42" s="270" t="s">
        <v>250</v>
      </c>
      <c r="AS42" s="269">
        <f>SUM(AW23:AW41)</f>
        <v>281.45000000000005</v>
      </c>
      <c r="AT42" s="271">
        <f>AVERAGE(AX23:AX41)</f>
        <v>7.0272727272727273</v>
      </c>
      <c r="AU42" s="268">
        <f>AVERAGE(AY23:AY41)</f>
        <v>686.36363636363637</v>
      </c>
      <c r="AV42" s="268">
        <f>AVERAGE(AZ23:AZ41)</f>
        <v>78</v>
      </c>
      <c r="AW42" s="269">
        <v>6.06</v>
      </c>
    </row>
    <row r="43" spans="1:53" ht="16.75" customHeight="1">
      <c r="A43" s="407" t="s">
        <v>339</v>
      </c>
      <c r="B43" s="425">
        <v>31250</v>
      </c>
      <c r="C43" s="804">
        <f>1196+1191+1934+1189+1220+1223+1277+1276+1269+2018+291+459+1965+1220+1247+1237+1263+1266+1272+1004</f>
        <v>25017</v>
      </c>
      <c r="D43" s="804"/>
      <c r="E43" s="425">
        <f>17166-8510-2500-2510-27</f>
        <v>3619</v>
      </c>
      <c r="F43" s="425">
        <f t="shared" si="9"/>
        <v>2614</v>
      </c>
      <c r="G43" s="885">
        <f t="shared" si="10"/>
        <v>6233</v>
      </c>
      <c r="H43" s="886"/>
      <c r="I43" s="374"/>
      <c r="J43" s="57">
        <f t="shared" si="11"/>
        <v>0</v>
      </c>
      <c r="K43" s="57"/>
      <c r="L43" s="100" t="s">
        <v>349</v>
      </c>
      <c r="M43" s="11"/>
      <c r="N43" s="67">
        <v>1248</v>
      </c>
      <c r="O43" s="76">
        <v>56</v>
      </c>
      <c r="P43" s="76">
        <f t="shared" si="4"/>
        <v>1192</v>
      </c>
      <c r="Q43" s="10">
        <f t="shared" si="7"/>
        <v>1275.44</v>
      </c>
      <c r="R43" s="54">
        <f t="shared" si="5"/>
        <v>0</v>
      </c>
      <c r="S43" s="103"/>
      <c r="T43" s="36">
        <f t="shared" si="8"/>
        <v>0</v>
      </c>
      <c r="U43" s="46" t="e">
        <f t="shared" si="6"/>
        <v>#DIV/0!</v>
      </c>
      <c r="V43" s="36"/>
      <c r="X43" s="226" t="s">
        <v>208</v>
      </c>
      <c r="Y43" s="422">
        <v>10</v>
      </c>
      <c r="Z43" s="422">
        <v>0.5</v>
      </c>
      <c r="AA43" s="422">
        <v>0</v>
      </c>
      <c r="AB43" s="422">
        <f t="shared" si="1"/>
        <v>10.5</v>
      </c>
      <c r="AD43" s="226" t="s">
        <v>208</v>
      </c>
      <c r="AE43" s="422">
        <v>6.3</v>
      </c>
      <c r="AF43" s="422">
        <v>8</v>
      </c>
      <c r="AG43" s="422">
        <v>6</v>
      </c>
      <c r="AH43" s="422">
        <f t="shared" si="3"/>
        <v>20.3</v>
      </c>
      <c r="AK43" s="226" t="s">
        <v>215</v>
      </c>
      <c r="AL43" s="229">
        <v>10.5</v>
      </c>
      <c r="AM43" s="274">
        <v>8.6</v>
      </c>
      <c r="AN43" s="422">
        <v>700</v>
      </c>
      <c r="AO43" s="422">
        <v>72</v>
      </c>
      <c r="AP43" s="274">
        <v>5.49</v>
      </c>
    </row>
    <row r="44" spans="1:53" ht="16.75" customHeight="1" thickBot="1">
      <c r="A44" s="408" t="s">
        <v>410</v>
      </c>
      <c r="B44" s="433">
        <v>25410</v>
      </c>
      <c r="C44" s="878">
        <f>1000+1305+1361+1329+1368+1350+1308+2026+1319+1339</f>
        <v>13705</v>
      </c>
      <c r="D44" s="878"/>
      <c r="E44" s="433">
        <v>5901</v>
      </c>
      <c r="F44" s="433">
        <f t="shared" si="9"/>
        <v>5804</v>
      </c>
      <c r="G44" s="879">
        <f t="shared" ref="G44" si="12">SUM(E44:F44)</f>
        <v>11705</v>
      </c>
      <c r="H44" s="880"/>
      <c r="I44" s="415" t="s">
        <v>416</v>
      </c>
      <c r="J44" s="57">
        <f t="shared" si="11"/>
        <v>0</v>
      </c>
      <c r="K44" s="57"/>
      <c r="L44" s="100" t="s">
        <v>350</v>
      </c>
      <c r="M44" s="11"/>
      <c r="N44" s="67">
        <v>1268</v>
      </c>
      <c r="O44" s="76">
        <v>65</v>
      </c>
      <c r="P44" s="76">
        <f t="shared" si="4"/>
        <v>1203</v>
      </c>
      <c r="Q44" s="10">
        <f t="shared" si="7"/>
        <v>1287.21</v>
      </c>
      <c r="R44" s="54">
        <f t="shared" si="5"/>
        <v>0</v>
      </c>
      <c r="S44" s="103"/>
      <c r="T44" s="36">
        <f>R44*0.6</f>
        <v>0</v>
      </c>
      <c r="U44" s="46" t="e">
        <f t="shared" si="6"/>
        <v>#DIV/0!</v>
      </c>
      <c r="V44" s="36"/>
      <c r="X44" s="226" t="s">
        <v>209</v>
      </c>
      <c r="Y44" s="422">
        <v>9.1</v>
      </c>
      <c r="Z44" s="422">
        <v>0</v>
      </c>
      <c r="AA44" s="422">
        <v>0</v>
      </c>
      <c r="AB44" s="422">
        <f t="shared" ref="AB44" si="13">SUM(Y44:AA44)</f>
        <v>9.1</v>
      </c>
      <c r="AD44" s="226" t="s">
        <v>209</v>
      </c>
      <c r="AE44" s="422">
        <v>0</v>
      </c>
      <c r="AF44" s="422">
        <v>0</v>
      </c>
      <c r="AG44" s="422">
        <v>0</v>
      </c>
      <c r="AH44" s="422">
        <f t="shared" si="3"/>
        <v>0</v>
      </c>
      <c r="AK44" s="266" t="s">
        <v>216</v>
      </c>
      <c r="AL44" s="267">
        <v>10.6</v>
      </c>
      <c r="AM44" s="275">
        <v>6.74</v>
      </c>
      <c r="AN44" s="419">
        <v>260</v>
      </c>
      <c r="AO44" s="419">
        <v>77</v>
      </c>
      <c r="AP44" s="275">
        <v>6.1</v>
      </c>
    </row>
    <row r="45" spans="1:53" ht="18.8" thickTop="1">
      <c r="A45" s="148" t="s">
        <v>31</v>
      </c>
      <c r="B45" s="428">
        <f>SUM(B41:B44)</f>
        <v>108990</v>
      </c>
      <c r="C45" s="845">
        <f>SUM(C41:D44)</f>
        <v>66637</v>
      </c>
      <c r="D45" s="845"/>
      <c r="E45" s="428">
        <f>SUM(E41:E44)</f>
        <v>33935</v>
      </c>
      <c r="F45" s="428">
        <f>SUM(F41:F44)</f>
        <v>8418</v>
      </c>
      <c r="G45" s="845">
        <f>SUM(G41:H44)</f>
        <v>42353</v>
      </c>
      <c r="H45" s="845"/>
      <c r="I45" s="371"/>
      <c r="J45" s="57">
        <f t="shared" si="11"/>
        <v>0</v>
      </c>
      <c r="K45" s="57"/>
      <c r="L45" s="100" t="s">
        <v>351</v>
      </c>
      <c r="M45" s="11"/>
      <c r="N45" s="67">
        <v>1254</v>
      </c>
      <c r="O45" s="76">
        <v>54</v>
      </c>
      <c r="P45" s="76">
        <f t="shared" si="4"/>
        <v>1200</v>
      </c>
      <c r="Q45" s="10">
        <f t="shared" si="7"/>
        <v>1284</v>
      </c>
      <c r="R45" s="54">
        <f t="shared" si="5"/>
        <v>0</v>
      </c>
      <c r="S45" s="103"/>
      <c r="T45" s="36">
        <f t="shared" ref="T45:T55" si="14">R45*0.6</f>
        <v>0</v>
      </c>
      <c r="U45" s="46" t="e">
        <f t="shared" si="6"/>
        <v>#DIV/0!</v>
      </c>
      <c r="V45" s="36"/>
      <c r="W45" s="36"/>
      <c r="X45" s="226" t="s">
        <v>210</v>
      </c>
      <c r="Y45" s="422">
        <v>10</v>
      </c>
      <c r="Z45" s="422">
        <v>0.1</v>
      </c>
      <c r="AA45" s="422">
        <v>0</v>
      </c>
      <c r="AB45" s="422">
        <f t="shared" si="1"/>
        <v>10.1</v>
      </c>
      <c r="AD45" s="226" t="s">
        <v>210</v>
      </c>
      <c r="AE45" s="422">
        <v>0</v>
      </c>
      <c r="AF45" s="422">
        <v>0</v>
      </c>
      <c r="AG45" s="422">
        <v>0</v>
      </c>
      <c r="AH45" s="422">
        <f t="shared" si="3"/>
        <v>0</v>
      </c>
      <c r="AK45" s="270" t="s">
        <v>250</v>
      </c>
      <c r="AL45" s="269">
        <v>294.10000000000002</v>
      </c>
      <c r="AM45" s="271">
        <f>AVERAGE(AQ23:AQ44)</f>
        <v>5.9390909090909085</v>
      </c>
      <c r="AN45" s="268">
        <f>AVERAGE(AR23:AR44)</f>
        <v>372.72727272727275</v>
      </c>
      <c r="AO45" s="268">
        <f>AVERAGE(AS23:AS44)</f>
        <v>67.142499999999998</v>
      </c>
      <c r="AP45" s="269">
        <v>5.75</v>
      </c>
    </row>
    <row r="46" spans="1:53" ht="17.399999999999999" customHeight="1">
      <c r="D46" s="221"/>
      <c r="J46" s="56"/>
      <c r="K46" s="57"/>
      <c r="L46" s="100" t="s">
        <v>352</v>
      </c>
      <c r="M46" s="11"/>
      <c r="N46" s="67">
        <v>1283.4000000000001</v>
      </c>
      <c r="O46" s="76">
        <v>54</v>
      </c>
      <c r="P46" s="76">
        <f t="shared" si="4"/>
        <v>1229.4000000000001</v>
      </c>
      <c r="Q46" s="10">
        <f>P46*(1-S46)*1.063</f>
        <v>1306.8522</v>
      </c>
      <c r="R46" s="54">
        <f t="shared" si="5"/>
        <v>0</v>
      </c>
      <c r="S46" s="103"/>
      <c r="T46" s="36">
        <f t="shared" si="14"/>
        <v>0</v>
      </c>
      <c r="U46" s="46" t="e">
        <f t="shared" si="6"/>
        <v>#DIV/0!</v>
      </c>
      <c r="X46" s="226" t="s">
        <v>211</v>
      </c>
      <c r="Y46" s="422">
        <v>10</v>
      </c>
      <c r="Z46" s="422">
        <v>0.1</v>
      </c>
      <c r="AA46" s="422">
        <v>0</v>
      </c>
      <c r="AB46" s="422">
        <f>SUM(Y46:AA46)</f>
        <v>10.1</v>
      </c>
      <c r="AD46" s="226" t="s">
        <v>211</v>
      </c>
      <c r="AE46" s="422">
        <v>0</v>
      </c>
      <c r="AF46" s="422">
        <v>0</v>
      </c>
      <c r="AG46" s="422">
        <v>0</v>
      </c>
      <c r="AH46" s="422">
        <f>SUM(AE46:AG46)</f>
        <v>0</v>
      </c>
    </row>
    <row r="47" spans="1:53" ht="14.4" customHeight="1">
      <c r="A47" s="15" t="s">
        <v>78</v>
      </c>
      <c r="F47" s="42"/>
      <c r="G47" s="42"/>
      <c r="J47" s="104"/>
      <c r="K47" s="56"/>
      <c r="L47" s="100" t="s">
        <v>353</v>
      </c>
      <c r="M47" s="11"/>
      <c r="N47" s="67">
        <v>1251</v>
      </c>
      <c r="O47" s="76">
        <v>56</v>
      </c>
      <c r="P47" s="76">
        <f t="shared" si="4"/>
        <v>1195</v>
      </c>
      <c r="Q47" s="10">
        <f t="shared" ref="Q47:Q56" si="15">P47*(1-S47)*1.063</f>
        <v>1270.2849999999999</v>
      </c>
      <c r="R47" s="54">
        <f t="shared" si="5"/>
        <v>0</v>
      </c>
      <c r="S47" s="103"/>
      <c r="T47" s="36">
        <f t="shared" si="14"/>
        <v>0</v>
      </c>
      <c r="U47" s="46" t="e">
        <f t="shared" si="6"/>
        <v>#DIV/0!</v>
      </c>
      <c r="X47" s="226" t="s">
        <v>212</v>
      </c>
      <c r="Y47" s="422">
        <v>10</v>
      </c>
      <c r="Z47" s="422">
        <v>0.3</v>
      </c>
      <c r="AA47" s="422">
        <v>0</v>
      </c>
      <c r="AB47" s="422">
        <f t="shared" si="1"/>
        <v>10.3</v>
      </c>
      <c r="AD47" s="226" t="s">
        <v>212</v>
      </c>
      <c r="AE47" s="422">
        <v>0</v>
      </c>
      <c r="AF47" s="422">
        <v>0</v>
      </c>
      <c r="AG47" s="422">
        <v>0</v>
      </c>
      <c r="AH47" s="422">
        <f t="shared" ref="AH47:AH52" si="16">SUM(AE47:AG47)</f>
        <v>0</v>
      </c>
    </row>
    <row r="48" spans="1:53" ht="16.3" customHeight="1">
      <c r="A48" s="833" t="s">
        <v>1</v>
      </c>
      <c r="B48" s="835" t="s">
        <v>37</v>
      </c>
      <c r="C48" s="836"/>
      <c r="D48" s="837" t="s">
        <v>35</v>
      </c>
      <c r="E48" s="838"/>
      <c r="F48" s="837" t="s">
        <v>36</v>
      </c>
      <c r="G48" s="838"/>
      <c r="H48" s="839" t="s">
        <v>6</v>
      </c>
      <c r="I48" s="836"/>
      <c r="J48" s="104"/>
      <c r="K48" s="104"/>
      <c r="L48" s="100" t="s">
        <v>354</v>
      </c>
      <c r="M48" s="11"/>
      <c r="N48" s="67">
        <v>1250</v>
      </c>
      <c r="O48" s="76">
        <v>60</v>
      </c>
      <c r="P48" s="76">
        <f t="shared" si="4"/>
        <v>1190</v>
      </c>
      <c r="Q48" s="10">
        <f t="shared" si="15"/>
        <v>1264.97</v>
      </c>
      <c r="R48" s="54">
        <f t="shared" si="5"/>
        <v>0</v>
      </c>
      <c r="S48" s="103"/>
      <c r="T48" s="36">
        <f t="shared" si="14"/>
        <v>0</v>
      </c>
      <c r="U48" s="46" t="e">
        <f t="shared" si="6"/>
        <v>#DIV/0!</v>
      </c>
      <c r="X48" s="227" t="s">
        <v>110</v>
      </c>
      <c r="Y48" s="422">
        <v>24</v>
      </c>
      <c r="Z48" s="422">
        <v>0</v>
      </c>
      <c r="AA48" s="422">
        <v>0</v>
      </c>
      <c r="AB48" s="422">
        <f t="shared" si="1"/>
        <v>24</v>
      </c>
      <c r="AD48" s="229" t="s">
        <v>110</v>
      </c>
      <c r="AE48" s="422">
        <v>0</v>
      </c>
      <c r="AF48" s="422">
        <v>0</v>
      </c>
      <c r="AG48" s="422">
        <v>0</v>
      </c>
      <c r="AH48" s="422">
        <f t="shared" si="16"/>
        <v>0</v>
      </c>
    </row>
    <row r="49" spans="1:47" ht="16.3" customHeight="1">
      <c r="A49" s="834"/>
      <c r="B49" s="426" t="s">
        <v>3</v>
      </c>
      <c r="C49" s="152" t="s">
        <v>82</v>
      </c>
      <c r="D49" s="426" t="s">
        <v>80</v>
      </c>
      <c r="E49" s="152" t="s">
        <v>81</v>
      </c>
      <c r="F49" s="152" t="s">
        <v>80</v>
      </c>
      <c r="G49" s="151" t="s">
        <v>81</v>
      </c>
      <c r="H49" s="840"/>
      <c r="I49" s="841"/>
      <c r="J49" s="104"/>
      <c r="K49" s="104"/>
      <c r="L49" s="100" t="s">
        <v>355</v>
      </c>
      <c r="M49" s="11"/>
      <c r="N49" s="67">
        <v>1945</v>
      </c>
      <c r="O49" s="76">
        <v>96</v>
      </c>
      <c r="P49" s="76">
        <f t="shared" si="4"/>
        <v>1849</v>
      </c>
      <c r="Q49" s="10">
        <f t="shared" si="15"/>
        <v>1965.4869999999999</v>
      </c>
      <c r="R49" s="54">
        <f t="shared" si="5"/>
        <v>0</v>
      </c>
      <c r="S49" s="103"/>
      <c r="T49" s="36">
        <f t="shared" si="14"/>
        <v>0</v>
      </c>
      <c r="U49" s="46" t="e">
        <f t="shared" si="6"/>
        <v>#DIV/0!</v>
      </c>
      <c r="X49" s="226" t="s">
        <v>213</v>
      </c>
      <c r="Y49" s="422">
        <v>10</v>
      </c>
      <c r="Z49" s="422">
        <v>0.5</v>
      </c>
      <c r="AA49" s="422">
        <v>0</v>
      </c>
      <c r="AB49" s="422">
        <f t="shared" si="1"/>
        <v>10.5</v>
      </c>
      <c r="AD49" s="227" t="s">
        <v>111</v>
      </c>
      <c r="AE49" s="422">
        <v>0</v>
      </c>
      <c r="AF49" s="422">
        <v>0</v>
      </c>
      <c r="AG49" s="422">
        <v>0</v>
      </c>
      <c r="AH49" s="422">
        <f t="shared" si="16"/>
        <v>0</v>
      </c>
    </row>
    <row r="50" spans="1:47" ht="16.3" customHeight="1">
      <c r="A50" s="160" t="s">
        <v>85</v>
      </c>
      <c r="B50" s="149">
        <v>63</v>
      </c>
      <c r="C50" s="154">
        <v>1</v>
      </c>
      <c r="D50" s="184">
        <v>57</v>
      </c>
      <c r="E50" s="153">
        <v>993</v>
      </c>
      <c r="F50" s="153">
        <v>32</v>
      </c>
      <c r="G50" s="185">
        <v>905</v>
      </c>
      <c r="H50" s="846">
        <f>B50+D50-F50</f>
        <v>88</v>
      </c>
      <c r="I50" s="847"/>
      <c r="J50" s="240">
        <f>C50+E50-G50</f>
        <v>89</v>
      </c>
      <c r="K50" s="104"/>
      <c r="L50" s="100" t="s">
        <v>356</v>
      </c>
      <c r="M50" s="11"/>
      <c r="N50" s="67">
        <v>1201</v>
      </c>
      <c r="O50" s="76">
        <v>53</v>
      </c>
      <c r="P50" s="76">
        <f t="shared" si="4"/>
        <v>1148</v>
      </c>
      <c r="Q50" s="10">
        <f t="shared" si="15"/>
        <v>1220.3239999999998</v>
      </c>
      <c r="R50" s="54">
        <f t="shared" si="5"/>
        <v>0</v>
      </c>
      <c r="S50" s="103"/>
      <c r="T50" s="36">
        <f t="shared" si="14"/>
        <v>0</v>
      </c>
      <c r="U50" s="46" t="e">
        <f t="shared" si="6"/>
        <v>#DIV/0!</v>
      </c>
      <c r="X50" s="226" t="s">
        <v>214</v>
      </c>
      <c r="Y50" s="422">
        <v>10</v>
      </c>
      <c r="Z50" s="422">
        <v>0.5</v>
      </c>
      <c r="AA50" s="422">
        <v>0</v>
      </c>
      <c r="AB50" s="422">
        <f t="shared" si="1"/>
        <v>10.5</v>
      </c>
      <c r="AD50" s="226" t="s">
        <v>214</v>
      </c>
      <c r="AE50" s="422">
        <v>0</v>
      </c>
      <c r="AF50" s="422">
        <v>0</v>
      </c>
      <c r="AG50" s="422">
        <v>0</v>
      </c>
      <c r="AH50" s="422">
        <f t="shared" si="16"/>
        <v>0</v>
      </c>
    </row>
    <row r="51" spans="1:47" ht="16.3" customHeight="1">
      <c r="A51" s="149" t="s">
        <v>79</v>
      </c>
      <c r="B51" s="149">
        <v>25</v>
      </c>
      <c r="C51" s="422">
        <v>39</v>
      </c>
      <c r="D51" s="184">
        <v>58</v>
      </c>
      <c r="E51" s="153">
        <v>947</v>
      </c>
      <c r="F51" s="153">
        <v>34</v>
      </c>
      <c r="G51" s="185">
        <v>947</v>
      </c>
      <c r="H51" s="846">
        <f>B51+D51-F51</f>
        <v>49</v>
      </c>
      <c r="I51" s="847"/>
      <c r="J51" s="241">
        <f>C51+E51-G51</f>
        <v>39</v>
      </c>
      <c r="K51" s="240"/>
      <c r="L51" s="100" t="s">
        <v>357</v>
      </c>
      <c r="M51" s="11"/>
      <c r="N51" s="67">
        <v>1225</v>
      </c>
      <c r="O51" s="76">
        <v>52</v>
      </c>
      <c r="P51" s="76">
        <f t="shared" si="4"/>
        <v>1173</v>
      </c>
      <c r="Q51" s="10">
        <f>P51*(1-S51)*1.063</f>
        <v>1246.8989999999999</v>
      </c>
      <c r="R51" s="54">
        <f t="shared" si="5"/>
        <v>0</v>
      </c>
      <c r="S51" s="103"/>
      <c r="T51" s="36">
        <f t="shared" si="14"/>
        <v>0</v>
      </c>
      <c r="U51" s="46" t="e">
        <f t="shared" si="6"/>
        <v>#DIV/0!</v>
      </c>
      <c r="X51" s="226" t="s">
        <v>215</v>
      </c>
      <c r="Y51" s="422">
        <v>10</v>
      </c>
      <c r="Z51" s="422">
        <v>0.5</v>
      </c>
      <c r="AA51" s="422">
        <v>0</v>
      </c>
      <c r="AB51" s="422">
        <f t="shared" si="1"/>
        <v>10.5</v>
      </c>
      <c r="AD51" s="226" t="s">
        <v>215</v>
      </c>
      <c r="AE51" s="422">
        <v>0</v>
      </c>
      <c r="AF51" s="422">
        <v>0</v>
      </c>
      <c r="AG51" s="422">
        <v>0</v>
      </c>
      <c r="AH51" s="422">
        <f t="shared" si="16"/>
        <v>0</v>
      </c>
    </row>
    <row r="52" spans="1:47" ht="16.3" customHeight="1">
      <c r="A52" s="149" t="s">
        <v>77</v>
      </c>
      <c r="B52" s="149">
        <f>SUM(B50:B51)</f>
        <v>88</v>
      </c>
      <c r="C52" s="149">
        <f>SUM(C50:C51)</f>
        <v>40</v>
      </c>
      <c r="D52" s="149">
        <f t="shared" ref="D52:G52" si="17">SUM(D50:D51)</f>
        <v>115</v>
      </c>
      <c r="E52" s="149">
        <f t="shared" si="17"/>
        <v>1940</v>
      </c>
      <c r="F52" s="149">
        <f t="shared" si="17"/>
        <v>66</v>
      </c>
      <c r="G52" s="149">
        <f t="shared" si="17"/>
        <v>1852</v>
      </c>
      <c r="H52" s="846">
        <f t="shared" ref="H52" si="18">B52+D52-F52</f>
        <v>137</v>
      </c>
      <c r="I52" s="847"/>
      <c r="J52" s="127">
        <f>SUM(J50:J51)</f>
        <v>128</v>
      </c>
      <c r="K52" s="241"/>
      <c r="L52" s="100" t="s">
        <v>358</v>
      </c>
      <c r="M52" s="67"/>
      <c r="N52" s="67">
        <v>1202</v>
      </c>
      <c r="O52" s="76">
        <v>38</v>
      </c>
      <c r="P52" s="76">
        <f t="shared" si="4"/>
        <v>1164</v>
      </c>
      <c r="Q52" s="10">
        <f t="shared" si="15"/>
        <v>1237.3319999999999</v>
      </c>
      <c r="R52" s="54">
        <f t="shared" si="5"/>
        <v>0</v>
      </c>
      <c r="S52" s="103"/>
      <c r="T52" s="36">
        <f t="shared" si="14"/>
        <v>0</v>
      </c>
      <c r="U52" s="46" t="e">
        <f t="shared" si="6"/>
        <v>#DIV/0!</v>
      </c>
      <c r="X52" s="226" t="s">
        <v>216</v>
      </c>
      <c r="Y52" s="422">
        <v>10</v>
      </c>
      <c r="Z52" s="422">
        <v>0.6</v>
      </c>
      <c r="AA52" s="422">
        <v>0</v>
      </c>
      <c r="AB52" s="422">
        <f t="shared" si="1"/>
        <v>10.6</v>
      </c>
      <c r="AD52" s="226" t="s">
        <v>216</v>
      </c>
      <c r="AE52" s="422">
        <v>8</v>
      </c>
      <c r="AF52" s="422">
        <v>1.3</v>
      </c>
      <c r="AG52" s="422">
        <v>4</v>
      </c>
      <c r="AH52" s="422">
        <f t="shared" si="16"/>
        <v>13.3</v>
      </c>
      <c r="AR52" s="13">
        <v>34900</v>
      </c>
      <c r="AS52" s="13">
        <v>200</v>
      </c>
      <c r="AT52" s="13">
        <f>AS52*AR52</f>
        <v>6980000</v>
      </c>
    </row>
    <row r="53" spans="1:47" ht="16.75" customHeight="1">
      <c r="K53" s="127"/>
      <c r="L53" s="100" t="s">
        <v>359</v>
      </c>
      <c r="M53" s="11"/>
      <c r="N53" s="67">
        <v>1238</v>
      </c>
      <c r="O53" s="76">
        <v>50</v>
      </c>
      <c r="P53" s="76">
        <f t="shared" si="4"/>
        <v>1188</v>
      </c>
      <c r="Q53" s="10">
        <f t="shared" si="15"/>
        <v>1262.8439999999998</v>
      </c>
      <c r="R53" s="54">
        <f t="shared" si="5"/>
        <v>0</v>
      </c>
      <c r="S53" s="103"/>
      <c r="T53" s="36">
        <f t="shared" si="14"/>
        <v>0</v>
      </c>
      <c r="U53" s="46" t="e">
        <f t="shared" si="6"/>
        <v>#DIV/0!</v>
      </c>
      <c r="X53" s="226" t="s">
        <v>31</v>
      </c>
      <c r="Y53" s="422">
        <f>SUM(AC22:AC52)</f>
        <v>61.7</v>
      </c>
      <c r="Z53" s="422">
        <f>SUM(AD22:AD52)</f>
        <v>10.5</v>
      </c>
      <c r="AA53" s="422">
        <f>SUM(AE22:AE52)</f>
        <v>106.8</v>
      </c>
      <c r="AB53" s="154">
        <f>SUM(AF22:AF52)</f>
        <v>117.8</v>
      </c>
      <c r="AD53" s="226" t="s">
        <v>31</v>
      </c>
      <c r="AE53" s="422">
        <f>SUM(AI22:AI52)</f>
        <v>122.9</v>
      </c>
      <c r="AF53" s="422">
        <f>SUM(AJ22:AJ52)</f>
        <v>63.6</v>
      </c>
      <c r="AG53" s="422">
        <f>SUM(AK22:AK52)</f>
        <v>46.1</v>
      </c>
      <c r="AH53" s="154">
        <f>SUM(AL22:AL52)</f>
        <v>653.20000000000005</v>
      </c>
      <c r="AR53" s="13">
        <v>34950</v>
      </c>
      <c r="AS53" s="13">
        <v>800</v>
      </c>
      <c r="AT53" s="13">
        <f t="shared" ref="AT53:AT58" si="19">AS53*AR53</f>
        <v>27960000</v>
      </c>
    </row>
    <row r="54" spans="1:47" ht="19.899999999999999" customHeight="1">
      <c r="A54" s="15" t="s">
        <v>321</v>
      </c>
      <c r="B54" s="115"/>
      <c r="F54" s="115"/>
      <c r="H54" s="150"/>
      <c r="J54" s="396" t="s">
        <v>404</v>
      </c>
      <c r="L54" s="100" t="s">
        <v>360</v>
      </c>
      <c r="M54" s="11"/>
      <c r="N54" s="67">
        <v>1241.5</v>
      </c>
      <c r="O54" s="76">
        <v>51</v>
      </c>
      <c r="P54" s="76">
        <f t="shared" si="4"/>
        <v>1190.5</v>
      </c>
      <c r="Q54" s="10">
        <f t="shared" si="15"/>
        <v>1265.5014999999999</v>
      </c>
      <c r="R54" s="54">
        <f t="shared" si="5"/>
        <v>0</v>
      </c>
      <c r="S54" s="103"/>
      <c r="T54" s="36">
        <f t="shared" si="14"/>
        <v>0</v>
      </c>
      <c r="U54" s="46" t="e">
        <f t="shared" si="6"/>
        <v>#DIV/0!</v>
      </c>
      <c r="X54" s="226" t="s">
        <v>220</v>
      </c>
      <c r="Y54" s="422">
        <v>63.1</v>
      </c>
      <c r="Z54" s="422">
        <v>109.2</v>
      </c>
      <c r="AA54" s="422">
        <v>166.7</v>
      </c>
      <c r="AB54" s="230">
        <f>AB56/AB53</f>
        <v>193.91706281833618</v>
      </c>
      <c r="AC54" s="51"/>
      <c r="AD54" s="226" t="s">
        <v>220</v>
      </c>
      <c r="AE54" s="422">
        <v>63.1</v>
      </c>
      <c r="AF54" s="422">
        <v>109.2</v>
      </c>
      <c r="AG54" s="422">
        <v>166.7</v>
      </c>
      <c r="AH54" s="230">
        <f>AH56/AH53</f>
        <v>34.269718309859151</v>
      </c>
      <c r="AR54" s="13">
        <v>34600</v>
      </c>
      <c r="AS54" s="13">
        <v>16</v>
      </c>
      <c r="AT54" s="13">
        <f t="shared" si="19"/>
        <v>553600</v>
      </c>
    </row>
    <row r="55" spans="1:47" ht="19.899999999999999" customHeight="1">
      <c r="A55" s="194" t="s">
        <v>153</v>
      </c>
      <c r="B55" s="194" t="s">
        <v>154</v>
      </c>
      <c r="C55" s="194" t="s">
        <v>155</v>
      </c>
      <c r="D55" s="194" t="s">
        <v>156</v>
      </c>
      <c r="E55" s="194" t="s">
        <v>54</v>
      </c>
      <c r="F55" s="194" t="s">
        <v>161</v>
      </c>
      <c r="G55" s="116"/>
      <c r="H55" s="394" t="s">
        <v>403</v>
      </c>
      <c r="J55" s="59"/>
      <c r="K55" s="127"/>
      <c r="L55" s="100" t="s">
        <v>361</v>
      </c>
      <c r="M55" s="11"/>
      <c r="N55" s="67">
        <v>1239</v>
      </c>
      <c r="O55" s="76">
        <v>42</v>
      </c>
      <c r="P55" s="76">
        <f t="shared" si="4"/>
        <v>1197</v>
      </c>
      <c r="Q55" s="10">
        <f t="shared" si="15"/>
        <v>1272.4109999999998</v>
      </c>
      <c r="R55" s="54">
        <f t="shared" si="5"/>
        <v>0</v>
      </c>
      <c r="S55" s="103"/>
      <c r="T55" s="36">
        <f t="shared" si="14"/>
        <v>0</v>
      </c>
      <c r="U55" s="46" t="e">
        <f t="shared" si="6"/>
        <v>#DIV/0!</v>
      </c>
      <c r="X55" s="225" t="s">
        <v>221</v>
      </c>
      <c r="Y55" s="228">
        <f>Y53/$AB$53</f>
        <v>0.52376910016977929</v>
      </c>
      <c r="Z55" s="228">
        <f t="shared" ref="Z55:AA55" si="20">Z53/$AB$53</f>
        <v>8.9134125636672334E-2</v>
      </c>
      <c r="AA55" s="228">
        <f t="shared" si="20"/>
        <v>0.90662139219015281</v>
      </c>
      <c r="AB55" s="228">
        <f>SUM(Y55:AA55)</f>
        <v>1.5195246179966044</v>
      </c>
      <c r="AC55" s="51"/>
      <c r="AD55" s="225" t="s">
        <v>221</v>
      </c>
      <c r="AE55" s="228">
        <f>AE53/$AH$53</f>
        <v>0.18815064298836498</v>
      </c>
      <c r="AF55" s="228">
        <f t="shared" ref="AF55:AG55" si="21">AF53/$AH$53</f>
        <v>9.7366809552969988E-2</v>
      </c>
      <c r="AG55" s="228">
        <f t="shared" si="21"/>
        <v>7.057562767911818E-2</v>
      </c>
      <c r="AH55" s="228">
        <f>SUM(AE55:AG55)</f>
        <v>0.35609308022045316</v>
      </c>
      <c r="AR55" s="13">
        <v>34750</v>
      </c>
      <c r="AS55" s="13">
        <v>340</v>
      </c>
      <c r="AT55" s="13">
        <f t="shared" si="19"/>
        <v>11815000</v>
      </c>
    </row>
    <row r="56" spans="1:47" ht="19.899999999999999" customHeight="1">
      <c r="A56" s="195" t="s">
        <v>160</v>
      </c>
      <c r="B56" s="196">
        <v>0</v>
      </c>
      <c r="C56" s="196">
        <v>0</v>
      </c>
      <c r="D56" s="196">
        <v>1320</v>
      </c>
      <c r="E56" s="428">
        <v>1320</v>
      </c>
      <c r="F56" s="428">
        <f>D56-E56</f>
        <v>0</v>
      </c>
      <c r="G56" s="51"/>
      <c r="H56" s="51"/>
      <c r="J56" s="59"/>
      <c r="K56" s="59"/>
      <c r="L56" s="100" t="s">
        <v>362</v>
      </c>
      <c r="M56" s="11"/>
      <c r="N56" s="67">
        <v>1963</v>
      </c>
      <c r="O56" s="76">
        <v>78</v>
      </c>
      <c r="P56" s="76">
        <f t="shared" si="4"/>
        <v>1885</v>
      </c>
      <c r="Q56" s="10">
        <f t="shared" si="15"/>
        <v>2003.7549999999999</v>
      </c>
      <c r="R56" s="54">
        <f t="shared" si="5"/>
        <v>0</v>
      </c>
      <c r="S56" s="103"/>
      <c r="T56" s="36">
        <f t="shared" ref="T56:T66" si="22">R56*0.75</f>
        <v>0</v>
      </c>
      <c r="U56" s="46" t="e">
        <f t="shared" si="6"/>
        <v>#DIV/0!</v>
      </c>
      <c r="X56" s="231" t="s">
        <v>223</v>
      </c>
      <c r="Y56" s="54">
        <f>Y53*Y54</f>
        <v>3893.2700000000004</v>
      </c>
      <c r="Z56" s="54">
        <f>Z53*Z54</f>
        <v>1146.6000000000001</v>
      </c>
      <c r="AA56" s="54">
        <f>AA53*AA54</f>
        <v>17803.559999999998</v>
      </c>
      <c r="AB56" s="61">
        <f>SUM(Y56:AA56)</f>
        <v>22843.43</v>
      </c>
      <c r="AC56" s="51"/>
      <c r="AD56" s="231" t="s">
        <v>223</v>
      </c>
      <c r="AE56" s="54">
        <f>AE53*AE54</f>
        <v>7754.9900000000007</v>
      </c>
      <c r="AF56" s="54">
        <f>AF53*AF54</f>
        <v>6945.12</v>
      </c>
      <c r="AG56" s="54">
        <f>AG53*AG54</f>
        <v>7684.87</v>
      </c>
      <c r="AH56" s="61">
        <f>SUM(AE56:AG56)</f>
        <v>22384.98</v>
      </c>
      <c r="AR56" s="13">
        <v>34800</v>
      </c>
      <c r="AS56" s="13">
        <v>186</v>
      </c>
      <c r="AT56" s="13">
        <f t="shared" si="19"/>
        <v>6472800</v>
      </c>
    </row>
    <row r="57" spans="1:47" ht="19.899999999999999" customHeight="1">
      <c r="A57" s="195" t="s">
        <v>157</v>
      </c>
      <c r="B57" s="90">
        <v>1300</v>
      </c>
      <c r="C57" s="90"/>
      <c r="D57" s="90">
        <v>2164</v>
      </c>
      <c r="E57" s="428">
        <f>D56+B57</f>
        <v>2620</v>
      </c>
      <c r="F57" s="428">
        <f t="shared" ref="F57:F114" si="23">D57-E57</f>
        <v>-456</v>
      </c>
      <c r="G57" s="51"/>
      <c r="H57" s="117"/>
      <c r="K57" s="59"/>
      <c r="L57" s="100" t="s">
        <v>363</v>
      </c>
      <c r="M57" s="11"/>
      <c r="N57" s="67">
        <v>1284</v>
      </c>
      <c r="O57" s="76">
        <v>56</v>
      </c>
      <c r="P57" s="76">
        <f t="shared" si="4"/>
        <v>1228</v>
      </c>
      <c r="Q57" s="10">
        <f>P57*(1-S57)*1.06</f>
        <v>1301.68</v>
      </c>
      <c r="R57" s="54">
        <f t="shared" si="5"/>
        <v>0</v>
      </c>
      <c r="S57" s="103"/>
      <c r="T57" s="36">
        <f t="shared" si="22"/>
        <v>0</v>
      </c>
      <c r="U57" s="46" t="e">
        <f t="shared" si="6"/>
        <v>#DIV/0!</v>
      </c>
      <c r="X57" s="46"/>
      <c r="AH57" s="232">
        <f>AB54-AH54</f>
        <v>159.64734450847703</v>
      </c>
      <c r="AR57" s="13">
        <v>35000</v>
      </c>
      <c r="AS57" s="13">
        <v>850</v>
      </c>
      <c r="AT57" s="13">
        <f t="shared" si="19"/>
        <v>29750000</v>
      </c>
    </row>
    <row r="58" spans="1:47" ht="19.899999999999999" customHeight="1">
      <c r="A58" s="195" t="s">
        <v>73</v>
      </c>
      <c r="B58" s="90">
        <v>1800</v>
      </c>
      <c r="C58" s="90"/>
      <c r="D58" s="90">
        <v>4094</v>
      </c>
      <c r="E58" s="428">
        <f>E57+B58</f>
        <v>4420</v>
      </c>
      <c r="F58" s="428">
        <f t="shared" si="23"/>
        <v>-326</v>
      </c>
      <c r="G58" s="51"/>
      <c r="H58" s="117"/>
      <c r="L58" s="100" t="s">
        <v>364</v>
      </c>
      <c r="M58" s="11"/>
      <c r="N58" s="67">
        <v>1364</v>
      </c>
      <c r="O58" s="76">
        <v>80</v>
      </c>
      <c r="P58" s="76">
        <f t="shared" si="4"/>
        <v>1284</v>
      </c>
      <c r="Q58" s="10">
        <f t="shared" ref="Q58:Q62" si="24">P58*(1-S58)*1.06</f>
        <v>1361.04</v>
      </c>
      <c r="R58" s="54">
        <f t="shared" si="5"/>
        <v>0</v>
      </c>
      <c r="S58" s="103"/>
      <c r="T58" s="36">
        <f t="shared" si="22"/>
        <v>0</v>
      </c>
      <c r="U58" s="46" t="e">
        <f t="shared" si="6"/>
        <v>#DIV/0!</v>
      </c>
      <c r="X58" s="233" t="s">
        <v>226</v>
      </c>
      <c r="Y58" s="233" t="s">
        <v>220</v>
      </c>
      <c r="Z58" s="233" t="s">
        <v>227</v>
      </c>
      <c r="AA58" s="22"/>
      <c r="AB58" s="51"/>
      <c r="AC58" s="51"/>
      <c r="AD58" s="233" t="s">
        <v>226</v>
      </c>
      <c r="AE58" s="233" t="s">
        <v>220</v>
      </c>
      <c r="AF58" s="233" t="s">
        <v>227</v>
      </c>
      <c r="AG58" s="224" t="s">
        <v>161</v>
      </c>
      <c r="AH58" s="51"/>
      <c r="AR58" s="13">
        <v>35050</v>
      </c>
      <c r="AS58" s="13">
        <v>150</v>
      </c>
      <c r="AT58" s="13">
        <f t="shared" si="19"/>
        <v>5257500</v>
      </c>
    </row>
    <row r="59" spans="1:47" ht="19.899999999999999" customHeight="1">
      <c r="A59" s="195" t="s">
        <v>158</v>
      </c>
      <c r="B59" s="90">
        <v>1200</v>
      </c>
      <c r="C59" s="90"/>
      <c r="D59" s="90">
        <v>5448</v>
      </c>
      <c r="E59" s="428">
        <f>E58+B59</f>
        <v>5620</v>
      </c>
      <c r="F59" s="428">
        <f t="shared" si="23"/>
        <v>-172</v>
      </c>
      <c r="G59" s="118"/>
      <c r="H59" s="117"/>
      <c r="L59" s="100" t="s">
        <v>365</v>
      </c>
      <c r="M59" s="11"/>
      <c r="N59" s="67">
        <v>1298</v>
      </c>
      <c r="O59" s="76">
        <v>44</v>
      </c>
      <c r="P59" s="76">
        <f t="shared" si="4"/>
        <v>1254</v>
      </c>
      <c r="Q59" s="10">
        <f t="shared" si="24"/>
        <v>1329.24</v>
      </c>
      <c r="R59" s="54">
        <f t="shared" si="5"/>
        <v>0</v>
      </c>
      <c r="S59" s="103"/>
      <c r="T59" s="36">
        <f t="shared" si="22"/>
        <v>0</v>
      </c>
      <c r="U59" s="46" t="e">
        <f t="shared" si="6"/>
        <v>#DIV/0!</v>
      </c>
      <c r="X59" s="234">
        <f>C17</f>
        <v>37.020837022607878</v>
      </c>
      <c r="Y59" s="234">
        <f>AB54</f>
        <v>193.91706281833618</v>
      </c>
      <c r="Z59" s="107">
        <f>Y59*X59</f>
        <v>7178.9719785004372</v>
      </c>
      <c r="AA59" s="92"/>
      <c r="AB59" s="92"/>
      <c r="AC59" s="92"/>
      <c r="AD59" s="234">
        <v>36.5</v>
      </c>
      <c r="AE59" s="234">
        <f>AH54</f>
        <v>34.269718309859151</v>
      </c>
      <c r="AF59" s="107">
        <f>AE59*AD59</f>
        <v>1250.844718309859</v>
      </c>
      <c r="AG59" s="235">
        <f>Z59-AF59</f>
        <v>5928.1272601905785</v>
      </c>
      <c r="AH59" s="51"/>
      <c r="AS59" s="13">
        <f>SUM(AS52:AS58)</f>
        <v>2542</v>
      </c>
      <c r="AT59" s="13">
        <f>SUM(AT52:AT58)</f>
        <v>88788900</v>
      </c>
      <c r="AU59" s="13">
        <f>AT59/AS59</f>
        <v>34928.756884343034</v>
      </c>
    </row>
    <row r="60" spans="1:47" ht="19.899999999999999" customHeight="1">
      <c r="A60" s="195" t="s">
        <v>159</v>
      </c>
      <c r="B60" s="90">
        <v>614</v>
      </c>
      <c r="C60" s="90">
        <v>88</v>
      </c>
      <c r="D60" s="90">
        <v>5673</v>
      </c>
      <c r="E60" s="428">
        <f>E59+B60-C60</f>
        <v>6146</v>
      </c>
      <c r="F60" s="428">
        <f t="shared" si="23"/>
        <v>-473</v>
      </c>
      <c r="G60" s="119"/>
      <c r="H60" s="118"/>
      <c r="I60" s="115"/>
      <c r="L60" s="100" t="s">
        <v>366</v>
      </c>
      <c r="M60" s="11"/>
      <c r="N60" s="67">
        <v>1344</v>
      </c>
      <c r="O60" s="76">
        <v>53</v>
      </c>
      <c r="P60" s="76">
        <f t="shared" si="4"/>
        <v>1291</v>
      </c>
      <c r="Q60" s="10">
        <f t="shared" si="24"/>
        <v>1368.46</v>
      </c>
      <c r="R60" s="54">
        <f t="shared" si="5"/>
        <v>0</v>
      </c>
      <c r="S60" s="103"/>
      <c r="T60" s="36">
        <f t="shared" si="22"/>
        <v>0</v>
      </c>
      <c r="U60" s="46" t="e">
        <f t="shared" si="6"/>
        <v>#DIV/0!</v>
      </c>
      <c r="X60" s="46"/>
      <c r="Y60" s="46"/>
      <c r="Z60" s="46"/>
    </row>
    <row r="61" spans="1:47">
      <c r="A61" s="195" t="s">
        <v>162</v>
      </c>
      <c r="B61" s="90">
        <v>1248</v>
      </c>
      <c r="C61" s="90"/>
      <c r="D61" s="90">
        <v>7027</v>
      </c>
      <c r="E61" s="428">
        <f>E60+B61-C61</f>
        <v>7394</v>
      </c>
      <c r="F61" s="428">
        <f t="shared" si="23"/>
        <v>-367</v>
      </c>
      <c r="G61" s="119"/>
      <c r="H61" s="118"/>
      <c r="L61" s="100" t="s">
        <v>367</v>
      </c>
      <c r="M61" s="11"/>
      <c r="N61" s="67">
        <v>1328</v>
      </c>
      <c r="O61" s="76">
        <v>54</v>
      </c>
      <c r="P61" s="76">
        <f t="shared" si="4"/>
        <v>1274</v>
      </c>
      <c r="Q61" s="10">
        <f t="shared" si="24"/>
        <v>1350.44</v>
      </c>
      <c r="R61" s="54">
        <f t="shared" si="5"/>
        <v>0</v>
      </c>
      <c r="S61" s="103"/>
      <c r="T61" s="36">
        <f t="shared" si="22"/>
        <v>0</v>
      </c>
      <c r="U61" s="46" t="e">
        <f t="shared" si="6"/>
        <v>#DIV/0!</v>
      </c>
      <c r="X61" s="9"/>
      <c r="Y61" s="9"/>
      <c r="Z61" s="9"/>
      <c r="AA61" s="35"/>
    </row>
    <row r="62" spans="1:47">
      <c r="A62" s="195" t="s">
        <v>163</v>
      </c>
      <c r="B62" s="428">
        <v>943</v>
      </c>
      <c r="C62" s="428">
        <v>58</v>
      </c>
      <c r="D62" s="428">
        <v>8155</v>
      </c>
      <c r="E62" s="428">
        <f>E61+B62-C62</f>
        <v>8279</v>
      </c>
      <c r="F62" s="428">
        <f t="shared" si="23"/>
        <v>-124</v>
      </c>
      <c r="L62" s="100" t="s">
        <v>368</v>
      </c>
      <c r="M62" s="11"/>
      <c r="N62" s="67">
        <v>1297</v>
      </c>
      <c r="O62" s="76">
        <v>63</v>
      </c>
      <c r="P62" s="76">
        <f t="shared" si="4"/>
        <v>1234</v>
      </c>
      <c r="Q62" s="10">
        <f t="shared" si="24"/>
        <v>1308.04</v>
      </c>
      <c r="R62" s="54">
        <f t="shared" si="5"/>
        <v>0</v>
      </c>
      <c r="S62" s="103"/>
      <c r="T62" s="36">
        <f t="shared" si="22"/>
        <v>0</v>
      </c>
      <c r="U62" s="46" t="e">
        <f t="shared" si="6"/>
        <v>#DIV/0!</v>
      </c>
      <c r="V62" s="18"/>
    </row>
    <row r="63" spans="1:47">
      <c r="A63" s="195" t="s">
        <v>164</v>
      </c>
      <c r="B63" s="428">
        <v>0</v>
      </c>
      <c r="C63" s="197"/>
      <c r="D63" s="198">
        <v>8155</v>
      </c>
      <c r="E63" s="428">
        <f t="shared" ref="E63:E114" si="25">E62+B63-C63</f>
        <v>8279</v>
      </c>
      <c r="F63" s="428">
        <f t="shared" si="23"/>
        <v>-124</v>
      </c>
      <c r="L63" s="100" t="s">
        <v>369</v>
      </c>
      <c r="M63" s="11"/>
      <c r="N63" s="67">
        <v>2043</v>
      </c>
      <c r="O63" s="76">
        <v>126</v>
      </c>
      <c r="P63" s="76">
        <f t="shared" si="4"/>
        <v>1917</v>
      </c>
      <c r="Q63" s="10">
        <f>P63*(1-S63)*1.057</f>
        <v>2026.2689999999998</v>
      </c>
      <c r="R63" s="54">
        <f t="shared" si="5"/>
        <v>0</v>
      </c>
      <c r="S63" s="103"/>
      <c r="T63" s="36">
        <f t="shared" si="22"/>
        <v>0</v>
      </c>
      <c r="U63" s="46" t="e">
        <f t="shared" si="6"/>
        <v>#DIV/0!</v>
      </c>
      <c r="V63" s="14"/>
      <c r="W63" s="46"/>
      <c r="X63" s="46"/>
    </row>
    <row r="64" spans="1:47">
      <c r="A64" s="195" t="s">
        <v>165</v>
      </c>
      <c r="B64" s="428">
        <v>1111</v>
      </c>
      <c r="C64" s="197"/>
      <c r="D64" s="198">
        <v>9058</v>
      </c>
      <c r="E64" s="428">
        <f t="shared" si="25"/>
        <v>9390</v>
      </c>
      <c r="F64" s="428">
        <f t="shared" si="23"/>
        <v>-332</v>
      </c>
      <c r="L64" s="100" t="s">
        <v>370</v>
      </c>
      <c r="M64" s="11"/>
      <c r="N64" s="76">
        <v>1327</v>
      </c>
      <c r="O64" s="76">
        <v>79</v>
      </c>
      <c r="P64" s="76">
        <f t="shared" si="4"/>
        <v>1248</v>
      </c>
      <c r="Q64" s="10">
        <f t="shared" ref="Q64:Q65" si="26">P64*(1-S64)*1.057</f>
        <v>1319.136</v>
      </c>
      <c r="R64" s="54">
        <f t="shared" si="5"/>
        <v>0</v>
      </c>
      <c r="S64" s="103"/>
      <c r="T64" s="36">
        <f t="shared" si="22"/>
        <v>0</v>
      </c>
      <c r="U64" s="46" t="e">
        <f t="shared" si="6"/>
        <v>#DIV/0!</v>
      </c>
      <c r="W64" s="46"/>
      <c r="X64" s="46"/>
    </row>
    <row r="65" spans="1:30">
      <c r="A65" s="277" t="s">
        <v>258</v>
      </c>
      <c r="B65" s="90">
        <v>0</v>
      </c>
      <c r="C65" s="90">
        <v>147</v>
      </c>
      <c r="D65" s="198">
        <v>8832</v>
      </c>
      <c r="E65" s="428">
        <f t="shared" si="25"/>
        <v>9243</v>
      </c>
      <c r="F65" s="428">
        <f t="shared" si="23"/>
        <v>-411</v>
      </c>
      <c r="L65" s="100" t="s">
        <v>371</v>
      </c>
      <c r="M65" s="11"/>
      <c r="N65" s="67">
        <v>1332.7</v>
      </c>
      <c r="O65" s="76">
        <v>66</v>
      </c>
      <c r="P65" s="76">
        <f t="shared" si="4"/>
        <v>1266.7</v>
      </c>
      <c r="Q65" s="10">
        <f t="shared" si="26"/>
        <v>1338.9019000000001</v>
      </c>
      <c r="R65" s="54">
        <f t="shared" si="5"/>
        <v>0</v>
      </c>
      <c r="S65" s="103"/>
      <c r="T65" s="36">
        <f t="shared" si="22"/>
        <v>0</v>
      </c>
      <c r="U65" s="46" t="e">
        <f t="shared" si="6"/>
        <v>#DIV/0!</v>
      </c>
      <c r="W65" s="46"/>
      <c r="X65" s="46"/>
      <c r="Y65" s="46"/>
    </row>
    <row r="66" spans="1:30">
      <c r="A66" s="277" t="s">
        <v>124</v>
      </c>
      <c r="B66" s="90">
        <v>0</v>
      </c>
      <c r="C66" s="90">
        <v>138</v>
      </c>
      <c r="D66" s="198">
        <v>8742</v>
      </c>
      <c r="E66" s="428">
        <f t="shared" si="25"/>
        <v>9105</v>
      </c>
      <c r="F66" s="428">
        <f t="shared" si="23"/>
        <v>-363</v>
      </c>
      <c r="L66" s="100"/>
      <c r="M66" s="11"/>
      <c r="N66" s="67"/>
      <c r="O66" s="76"/>
      <c r="P66" s="76"/>
      <c r="Q66" s="10"/>
      <c r="R66" s="54"/>
      <c r="S66" s="103"/>
      <c r="T66" s="36">
        <f t="shared" si="22"/>
        <v>0</v>
      </c>
      <c r="U66" s="46" t="e">
        <f t="shared" si="6"/>
        <v>#DIV/0!</v>
      </c>
      <c r="X66" s="46"/>
    </row>
    <row r="67" spans="1:30">
      <c r="A67" s="277" t="s">
        <v>125</v>
      </c>
      <c r="B67" s="90">
        <v>0</v>
      </c>
      <c r="C67" s="90">
        <v>555</v>
      </c>
      <c r="D67" s="198">
        <v>8291</v>
      </c>
      <c r="E67" s="428">
        <f t="shared" si="25"/>
        <v>8550</v>
      </c>
      <c r="F67" s="428">
        <f t="shared" si="23"/>
        <v>-259</v>
      </c>
      <c r="L67" s="11" t="s">
        <v>7</v>
      </c>
      <c r="M67" s="120">
        <f t="shared" ref="M67:R67" si="27">SUM(M36:M66)</f>
        <v>0</v>
      </c>
      <c r="N67" s="120">
        <f t="shared" si="27"/>
        <v>40722.6</v>
      </c>
      <c r="O67" s="61">
        <f t="shared" si="27"/>
        <v>1847.2</v>
      </c>
      <c r="P67" s="61">
        <f t="shared" si="27"/>
        <v>38875.399999999994</v>
      </c>
      <c r="Q67" s="120">
        <f t="shared" si="27"/>
        <v>41338.286000000007</v>
      </c>
      <c r="R67" s="61">
        <f t="shared" si="27"/>
        <v>27.215999999999998</v>
      </c>
      <c r="S67" s="62"/>
      <c r="T67" s="113">
        <f>SUM(T38:T66)</f>
        <v>0</v>
      </c>
      <c r="U67" s="46" t="e">
        <f>SUM(U36:U66)</f>
        <v>#DIV/0!</v>
      </c>
      <c r="V67" s="136" t="e">
        <f>Q67/M67</f>
        <v>#DIV/0!</v>
      </c>
      <c r="W67" s="36"/>
      <c r="Z67" s="48"/>
      <c r="AA67" s="15"/>
      <c r="AC67" s="35"/>
      <c r="AD67" s="35"/>
    </row>
    <row r="68" spans="1:30">
      <c r="A68" s="277" t="s">
        <v>126</v>
      </c>
      <c r="B68" s="90">
        <v>0</v>
      </c>
      <c r="C68" s="90">
        <v>113</v>
      </c>
      <c r="D68" s="198">
        <v>8155</v>
      </c>
      <c r="E68" s="428">
        <f t="shared" si="25"/>
        <v>8437</v>
      </c>
      <c r="F68" s="428">
        <f t="shared" si="23"/>
        <v>-282</v>
      </c>
      <c r="L68" s="101" t="s">
        <v>56</v>
      </c>
      <c r="M68" s="9"/>
      <c r="Q68" s="36"/>
      <c r="S68" s="63"/>
      <c r="T68" s="70"/>
      <c r="U68" s="69"/>
      <c r="V68" s="46"/>
    </row>
    <row r="69" spans="1:30">
      <c r="A69" s="277" t="s">
        <v>127</v>
      </c>
      <c r="B69" s="90">
        <v>0</v>
      </c>
      <c r="C69" s="90">
        <v>197</v>
      </c>
      <c r="D69" s="198">
        <v>7930</v>
      </c>
      <c r="E69" s="428">
        <f t="shared" si="25"/>
        <v>8240</v>
      </c>
      <c r="F69" s="428">
        <f t="shared" si="23"/>
        <v>-310</v>
      </c>
      <c r="Q69" s="49"/>
      <c r="R69" s="64"/>
    </row>
    <row r="70" spans="1:30">
      <c r="A70" s="277" t="s">
        <v>128</v>
      </c>
      <c r="B70" s="90">
        <v>225</v>
      </c>
      <c r="C70" s="90">
        <v>0</v>
      </c>
      <c r="D70" s="198">
        <v>7930</v>
      </c>
      <c r="E70" s="428">
        <f t="shared" si="25"/>
        <v>8465</v>
      </c>
      <c r="F70" s="428">
        <f t="shared" si="23"/>
        <v>-535</v>
      </c>
      <c r="M70" s="114"/>
      <c r="Q70" s="111"/>
    </row>
    <row r="71" spans="1:30">
      <c r="A71" s="277" t="s">
        <v>129</v>
      </c>
      <c r="B71" s="90">
        <v>1803</v>
      </c>
      <c r="C71" s="90">
        <v>0</v>
      </c>
      <c r="D71" s="198">
        <v>9509</v>
      </c>
      <c r="E71" s="428">
        <f t="shared" si="25"/>
        <v>10268</v>
      </c>
      <c r="F71" s="428">
        <f t="shared" si="23"/>
        <v>-759</v>
      </c>
      <c r="J71" s="13">
        <v>32</v>
      </c>
      <c r="Q71" s="110"/>
      <c r="R71" s="109"/>
      <c r="W71" s="46"/>
    </row>
    <row r="72" spans="1:30">
      <c r="A72" s="277" t="s">
        <v>130</v>
      </c>
      <c r="B72" s="90">
        <v>245</v>
      </c>
      <c r="C72" s="90">
        <v>88</v>
      </c>
      <c r="D72" s="198">
        <v>10006</v>
      </c>
      <c r="E72" s="428">
        <f t="shared" si="25"/>
        <v>10425</v>
      </c>
      <c r="F72" s="428">
        <f t="shared" si="23"/>
        <v>-419</v>
      </c>
      <c r="J72" s="13">
        <v>75</v>
      </c>
      <c r="L72" s="201" t="s">
        <v>175</v>
      </c>
      <c r="M72"/>
      <c r="N72"/>
      <c r="O72"/>
      <c r="P72"/>
      <c r="Q72"/>
      <c r="R72"/>
      <c r="S72"/>
      <c r="T72"/>
      <c r="U72"/>
      <c r="V72"/>
      <c r="W72"/>
    </row>
    <row r="73" spans="1:30">
      <c r="A73" s="277" t="s">
        <v>131</v>
      </c>
      <c r="B73" s="90">
        <v>0</v>
      </c>
      <c r="C73" s="90">
        <v>189</v>
      </c>
      <c r="D73" s="198">
        <v>9870</v>
      </c>
      <c r="E73" s="428">
        <f t="shared" si="25"/>
        <v>10236</v>
      </c>
      <c r="F73" s="428">
        <f t="shared" si="23"/>
        <v>-366</v>
      </c>
      <c r="J73" s="13">
        <f>J72*J71</f>
        <v>2400</v>
      </c>
      <c r="L73" s="429" t="s">
        <v>1</v>
      </c>
      <c r="M73" s="429"/>
      <c r="N73" s="429"/>
      <c r="O73" s="849" t="s">
        <v>169</v>
      </c>
      <c r="P73" s="850"/>
      <c r="Q73" s="851" t="s">
        <v>170</v>
      </c>
      <c r="R73" s="848"/>
      <c r="S73" s="849" t="s">
        <v>176</v>
      </c>
      <c r="T73" s="852"/>
      <c r="U73" s="858" t="s">
        <v>177</v>
      </c>
      <c r="V73" s="848"/>
      <c r="W73"/>
      <c r="X73" s="46"/>
    </row>
    <row r="74" spans="1:30">
      <c r="A74" s="277" t="s">
        <v>132</v>
      </c>
      <c r="B74" s="90">
        <v>0</v>
      </c>
      <c r="C74" s="90">
        <v>58</v>
      </c>
      <c r="D74" s="198">
        <v>9735</v>
      </c>
      <c r="E74" s="428">
        <f t="shared" si="25"/>
        <v>10178</v>
      </c>
      <c r="F74" s="428">
        <f t="shared" si="23"/>
        <v>-443</v>
      </c>
      <c r="L74" s="429" t="s">
        <v>171</v>
      </c>
      <c r="M74" s="429"/>
      <c r="N74" s="429"/>
      <c r="O74" s="859">
        <v>32509</v>
      </c>
      <c r="P74" s="860"/>
      <c r="Q74" s="861">
        <v>33756</v>
      </c>
      <c r="R74" s="859"/>
      <c r="S74" s="859">
        <v>27950</v>
      </c>
      <c r="T74" s="862"/>
      <c r="U74" s="863">
        <v>33920</v>
      </c>
      <c r="V74" s="859"/>
      <c r="W74"/>
      <c r="X74" s="46"/>
    </row>
    <row r="75" spans="1:30">
      <c r="A75" s="277" t="s">
        <v>133</v>
      </c>
      <c r="B75" s="90">
        <v>0</v>
      </c>
      <c r="C75" s="90">
        <v>91</v>
      </c>
      <c r="D75" s="198">
        <v>9645</v>
      </c>
      <c r="E75" s="428">
        <f t="shared" si="25"/>
        <v>10087</v>
      </c>
      <c r="F75" s="428">
        <f t="shared" si="23"/>
        <v>-442</v>
      </c>
      <c r="L75" s="429" t="s">
        <v>172</v>
      </c>
      <c r="M75" s="429"/>
      <c r="N75" s="429"/>
      <c r="O75" s="848">
        <v>80.3</v>
      </c>
      <c r="P75" s="850"/>
      <c r="Q75" s="851">
        <v>77.400000000000006</v>
      </c>
      <c r="R75" s="848"/>
      <c r="S75" s="855">
        <v>80</v>
      </c>
      <c r="T75" s="856"/>
      <c r="U75" s="857">
        <v>80</v>
      </c>
      <c r="V75" s="855"/>
      <c r="W75"/>
      <c r="X75" s="46"/>
    </row>
    <row r="76" spans="1:30">
      <c r="A76" s="310" t="s">
        <v>282</v>
      </c>
      <c r="B76" s="90">
        <v>0</v>
      </c>
      <c r="C76" s="90">
        <v>118</v>
      </c>
      <c r="D76" s="198">
        <v>9527</v>
      </c>
      <c r="E76" s="428">
        <f t="shared" si="25"/>
        <v>9969</v>
      </c>
      <c r="F76" s="428">
        <f t="shared" si="23"/>
        <v>-442</v>
      </c>
      <c r="L76" s="429" t="s">
        <v>173</v>
      </c>
      <c r="M76" s="429"/>
      <c r="N76" s="429"/>
      <c r="O76" s="848">
        <v>36.5</v>
      </c>
      <c r="P76" s="850"/>
      <c r="Q76" s="851">
        <v>37.9</v>
      </c>
      <c r="R76" s="848"/>
      <c r="S76" s="848">
        <v>36.5</v>
      </c>
      <c r="T76" s="852"/>
      <c r="U76" s="853">
        <v>36.5</v>
      </c>
      <c r="V76" s="848"/>
      <c r="W76"/>
      <c r="X76" s="46"/>
    </row>
    <row r="77" spans="1:30">
      <c r="A77" s="316" t="s">
        <v>318</v>
      </c>
      <c r="B77" s="90">
        <v>856</v>
      </c>
      <c r="C77" s="90">
        <v>0</v>
      </c>
      <c r="D77" s="198">
        <v>10638</v>
      </c>
      <c r="E77" s="428">
        <f t="shared" si="25"/>
        <v>10825</v>
      </c>
      <c r="F77" s="428">
        <f t="shared" si="23"/>
        <v>-187</v>
      </c>
      <c r="L77" s="429" t="s">
        <v>174</v>
      </c>
      <c r="M77" s="429"/>
      <c r="N77" s="429"/>
      <c r="O77" s="848">
        <v>6.08</v>
      </c>
      <c r="P77" s="850"/>
      <c r="Q77" s="851">
        <v>6.36</v>
      </c>
      <c r="R77" s="848"/>
      <c r="S77" s="848">
        <v>5.7</v>
      </c>
      <c r="T77" s="852"/>
      <c r="U77" s="853">
        <v>5.5</v>
      </c>
      <c r="V77" s="848"/>
      <c r="W77"/>
      <c r="X77" s="42"/>
    </row>
    <row r="78" spans="1:30">
      <c r="A78" s="316" t="s">
        <v>319</v>
      </c>
      <c r="B78" s="90">
        <v>0</v>
      </c>
      <c r="C78" s="90">
        <v>88</v>
      </c>
      <c r="D78" s="198">
        <v>10728</v>
      </c>
      <c r="E78" s="428">
        <f t="shared" si="25"/>
        <v>10737</v>
      </c>
      <c r="F78" s="428">
        <f t="shared" si="23"/>
        <v>-9</v>
      </c>
      <c r="O78" s="36"/>
      <c r="P78" s="36"/>
      <c r="Q78" s="36"/>
      <c r="R78" s="18"/>
      <c r="S78" s="18"/>
    </row>
    <row r="79" spans="1:30">
      <c r="A79" s="316" t="s">
        <v>320</v>
      </c>
      <c r="B79" s="90">
        <v>0</v>
      </c>
      <c r="C79" s="90">
        <v>88</v>
      </c>
      <c r="D79" s="198">
        <v>10638</v>
      </c>
      <c r="E79" s="428">
        <f t="shared" si="25"/>
        <v>10649</v>
      </c>
      <c r="F79" s="428">
        <f t="shared" si="23"/>
        <v>-11</v>
      </c>
      <c r="N79" s="46"/>
      <c r="O79" s="46"/>
      <c r="P79" s="46"/>
      <c r="Q79" s="65"/>
      <c r="R79" s="65"/>
    </row>
    <row r="80" spans="1:30">
      <c r="A80" s="316" t="s">
        <v>323</v>
      </c>
      <c r="B80" s="90">
        <v>0</v>
      </c>
      <c r="C80" s="90">
        <v>58</v>
      </c>
      <c r="D80" s="198">
        <v>10593</v>
      </c>
      <c r="E80" s="428">
        <f t="shared" si="25"/>
        <v>10591</v>
      </c>
      <c r="F80" s="428">
        <f t="shared" si="23"/>
        <v>2</v>
      </c>
      <c r="M80" s="72"/>
    </row>
    <row r="81" spans="1:13">
      <c r="A81" s="317" t="s">
        <v>324</v>
      </c>
      <c r="B81" s="90">
        <v>0</v>
      </c>
      <c r="C81" s="90">
        <v>115</v>
      </c>
      <c r="D81" s="198">
        <v>10362</v>
      </c>
      <c r="E81" s="428">
        <f t="shared" si="25"/>
        <v>10476</v>
      </c>
      <c r="F81" s="428">
        <f t="shared" si="23"/>
        <v>-114</v>
      </c>
      <c r="M81" s="72"/>
    </row>
    <row r="82" spans="1:13">
      <c r="A82" s="317" t="s">
        <v>325</v>
      </c>
      <c r="B82" s="90">
        <v>0</v>
      </c>
      <c r="C82" s="90">
        <v>146</v>
      </c>
      <c r="D82" s="198">
        <v>10186</v>
      </c>
      <c r="E82" s="428">
        <f t="shared" si="25"/>
        <v>10330</v>
      </c>
      <c r="F82" s="428">
        <f t="shared" si="23"/>
        <v>-144</v>
      </c>
      <c r="L82" s="284"/>
      <c r="M82" s="72"/>
    </row>
    <row r="83" spans="1:13">
      <c r="A83" s="325" t="s">
        <v>329</v>
      </c>
      <c r="B83" s="90">
        <v>0</v>
      </c>
      <c r="C83" s="90">
        <v>88</v>
      </c>
      <c r="D83" s="198">
        <v>10096</v>
      </c>
      <c r="E83" s="428">
        <f t="shared" si="25"/>
        <v>10242</v>
      </c>
      <c r="F83" s="428">
        <f t="shared" si="23"/>
        <v>-146</v>
      </c>
      <c r="L83" s="284"/>
    </row>
    <row r="84" spans="1:13">
      <c r="A84" s="325" t="s">
        <v>331</v>
      </c>
      <c r="B84" s="90">
        <v>0</v>
      </c>
      <c r="C84" s="90">
        <v>58</v>
      </c>
      <c r="D84" s="198">
        <v>10051</v>
      </c>
      <c r="E84" s="428">
        <f t="shared" si="25"/>
        <v>10184</v>
      </c>
      <c r="F84" s="428">
        <f t="shared" si="23"/>
        <v>-133</v>
      </c>
    </row>
    <row r="85" spans="1:13">
      <c r="A85" s="325" t="s">
        <v>332</v>
      </c>
      <c r="B85" s="90">
        <v>0</v>
      </c>
      <c r="C85" s="90">
        <v>58</v>
      </c>
      <c r="D85" s="198">
        <v>9961</v>
      </c>
      <c r="E85" s="428">
        <f t="shared" si="25"/>
        <v>10126</v>
      </c>
      <c r="F85" s="428">
        <f t="shared" si="23"/>
        <v>-165</v>
      </c>
      <c r="L85" s="284"/>
    </row>
    <row r="86" spans="1:13">
      <c r="A86" s="325" t="s">
        <v>333</v>
      </c>
      <c r="B86" s="90">
        <v>0</v>
      </c>
      <c r="C86" s="90">
        <v>59</v>
      </c>
      <c r="D86" s="198">
        <v>9961</v>
      </c>
      <c r="E86" s="428">
        <f t="shared" si="25"/>
        <v>10067</v>
      </c>
      <c r="F86" s="428">
        <f t="shared" si="23"/>
        <v>-106</v>
      </c>
      <c r="L86" s="284"/>
      <c r="M86" s="284"/>
    </row>
    <row r="87" spans="1:13">
      <c r="A87" s="325" t="s">
        <v>334</v>
      </c>
      <c r="B87" s="90">
        <v>0</v>
      </c>
      <c r="C87" s="90">
        <v>117</v>
      </c>
      <c r="D87" s="198">
        <v>9780</v>
      </c>
      <c r="E87" s="428">
        <f t="shared" si="25"/>
        <v>9950</v>
      </c>
      <c r="F87" s="428">
        <f t="shared" si="23"/>
        <v>-170</v>
      </c>
    </row>
    <row r="88" spans="1:13">
      <c r="A88" s="325" t="s">
        <v>335</v>
      </c>
      <c r="B88" s="90">
        <v>0</v>
      </c>
      <c r="C88" s="90">
        <v>27</v>
      </c>
      <c r="D88" s="198">
        <v>9735</v>
      </c>
      <c r="E88" s="428">
        <f t="shared" si="25"/>
        <v>9923</v>
      </c>
      <c r="F88" s="428">
        <f t="shared" si="23"/>
        <v>-188</v>
      </c>
    </row>
    <row r="89" spans="1:13">
      <c r="A89" s="331" t="s">
        <v>338</v>
      </c>
      <c r="B89" s="90">
        <v>0</v>
      </c>
      <c r="C89" s="90">
        <v>145</v>
      </c>
      <c r="D89" s="198">
        <v>9600</v>
      </c>
      <c r="E89" s="428">
        <f t="shared" si="25"/>
        <v>9778</v>
      </c>
      <c r="F89" s="428">
        <f t="shared" si="23"/>
        <v>-178</v>
      </c>
    </row>
    <row r="90" spans="1:13">
      <c r="A90" s="331" t="s">
        <v>341</v>
      </c>
      <c r="B90" s="90">
        <v>0</v>
      </c>
      <c r="C90" s="90">
        <v>29</v>
      </c>
      <c r="D90" s="198">
        <v>9555</v>
      </c>
      <c r="E90" s="428">
        <f t="shared" si="25"/>
        <v>9749</v>
      </c>
      <c r="F90" s="428">
        <f t="shared" si="23"/>
        <v>-194</v>
      </c>
    </row>
    <row r="91" spans="1:13">
      <c r="A91" s="335" t="s">
        <v>342</v>
      </c>
      <c r="B91" s="90">
        <v>0</v>
      </c>
      <c r="C91" s="90">
        <v>29</v>
      </c>
      <c r="D91" s="198">
        <v>9464</v>
      </c>
      <c r="E91" s="428">
        <f t="shared" si="25"/>
        <v>9720</v>
      </c>
      <c r="F91" s="428">
        <f t="shared" si="23"/>
        <v>-256</v>
      </c>
    </row>
    <row r="92" spans="1:13">
      <c r="A92" s="335" t="s">
        <v>373</v>
      </c>
      <c r="B92" s="90">
        <v>0</v>
      </c>
      <c r="C92" s="90">
        <v>58</v>
      </c>
      <c r="D92" s="198">
        <v>9374</v>
      </c>
      <c r="E92" s="428">
        <f t="shared" si="25"/>
        <v>9662</v>
      </c>
      <c r="F92" s="428">
        <f t="shared" si="23"/>
        <v>-288</v>
      </c>
    </row>
    <row r="93" spans="1:13">
      <c r="A93" s="431" t="s">
        <v>385</v>
      </c>
      <c r="B93" s="90">
        <v>0</v>
      </c>
      <c r="C93" s="90">
        <v>147</v>
      </c>
      <c r="D93" s="198">
        <v>9284</v>
      </c>
      <c r="E93" s="428">
        <f t="shared" si="25"/>
        <v>9515</v>
      </c>
      <c r="F93" s="428">
        <f t="shared" si="23"/>
        <v>-231</v>
      </c>
    </row>
    <row r="94" spans="1:13">
      <c r="A94" s="431" t="s">
        <v>388</v>
      </c>
      <c r="B94" s="90">
        <v>0</v>
      </c>
      <c r="C94" s="90">
        <v>205</v>
      </c>
      <c r="D94" s="198">
        <v>9058</v>
      </c>
      <c r="E94" s="428">
        <f t="shared" si="25"/>
        <v>9310</v>
      </c>
      <c r="F94" s="428">
        <f t="shared" si="23"/>
        <v>-252</v>
      </c>
    </row>
    <row r="95" spans="1:13">
      <c r="A95" s="431" t="s">
        <v>390</v>
      </c>
      <c r="B95" s="90">
        <v>0</v>
      </c>
      <c r="C95" s="90">
        <v>87</v>
      </c>
      <c r="D95" s="198">
        <v>8832</v>
      </c>
      <c r="E95" s="428">
        <f t="shared" si="25"/>
        <v>9223</v>
      </c>
      <c r="F95" s="428">
        <f t="shared" si="23"/>
        <v>-391</v>
      </c>
    </row>
    <row r="96" spans="1:13">
      <c r="A96" s="431" t="s">
        <v>391</v>
      </c>
      <c r="B96" s="90">
        <v>0</v>
      </c>
      <c r="C96" s="90">
        <v>146</v>
      </c>
      <c r="D96" s="198">
        <v>8600</v>
      </c>
      <c r="E96" s="428">
        <f t="shared" si="25"/>
        <v>9077</v>
      </c>
      <c r="F96" s="428">
        <f t="shared" si="23"/>
        <v>-477</v>
      </c>
    </row>
    <row r="97" spans="1:6">
      <c r="A97" s="431" t="s">
        <v>393</v>
      </c>
      <c r="B97" s="90">
        <v>0</v>
      </c>
      <c r="C97" s="90">
        <v>29</v>
      </c>
      <c r="D97" s="198">
        <v>8516</v>
      </c>
      <c r="E97" s="428">
        <f t="shared" si="25"/>
        <v>9048</v>
      </c>
      <c r="F97" s="428">
        <f t="shared" si="23"/>
        <v>-532</v>
      </c>
    </row>
    <row r="98" spans="1:6">
      <c r="A98" s="380" t="s">
        <v>395</v>
      </c>
      <c r="B98" s="90">
        <v>534</v>
      </c>
      <c r="C98" s="90">
        <v>0</v>
      </c>
      <c r="D98" s="198">
        <v>8832</v>
      </c>
      <c r="E98" s="428">
        <f t="shared" si="25"/>
        <v>9582</v>
      </c>
      <c r="F98" s="428">
        <f t="shared" si="23"/>
        <v>-750</v>
      </c>
    </row>
    <row r="99" spans="1:6">
      <c r="A99" s="380" t="s">
        <v>398</v>
      </c>
      <c r="B99" s="90">
        <v>1138</v>
      </c>
      <c r="C99" s="90">
        <v>0</v>
      </c>
      <c r="D99" s="198">
        <v>10186</v>
      </c>
      <c r="E99" s="428">
        <f t="shared" si="25"/>
        <v>10720</v>
      </c>
      <c r="F99" s="428">
        <f t="shared" si="23"/>
        <v>-534</v>
      </c>
    </row>
    <row r="100" spans="1:6">
      <c r="A100" s="393" t="s">
        <v>401</v>
      </c>
      <c r="B100" s="90">
        <v>0</v>
      </c>
      <c r="C100" s="90">
        <v>117</v>
      </c>
      <c r="D100" s="198">
        <v>9961</v>
      </c>
      <c r="E100" s="428">
        <f t="shared" si="25"/>
        <v>10603</v>
      </c>
      <c r="F100" s="428">
        <f t="shared" si="23"/>
        <v>-642</v>
      </c>
    </row>
    <row r="101" spans="1:6">
      <c r="A101" s="393" t="s">
        <v>402</v>
      </c>
      <c r="B101" s="90">
        <v>0</v>
      </c>
      <c r="C101" s="90">
        <v>88</v>
      </c>
      <c r="D101" s="198">
        <v>9870</v>
      </c>
      <c r="E101" s="428">
        <f t="shared" si="25"/>
        <v>10515</v>
      </c>
      <c r="F101" s="428">
        <f t="shared" si="23"/>
        <v>-645</v>
      </c>
    </row>
    <row r="102" spans="1:6">
      <c r="A102" s="402" t="s">
        <v>406</v>
      </c>
      <c r="B102" s="90">
        <v>0</v>
      </c>
      <c r="C102" s="90">
        <v>89</v>
      </c>
      <c r="D102" s="198">
        <v>9735</v>
      </c>
      <c r="E102" s="428">
        <f t="shared" si="25"/>
        <v>10426</v>
      </c>
      <c r="F102" s="428">
        <f t="shared" si="23"/>
        <v>-691</v>
      </c>
    </row>
    <row r="103" spans="1:6">
      <c r="A103" s="402" t="s">
        <v>407</v>
      </c>
      <c r="B103" s="90">
        <v>0</v>
      </c>
      <c r="C103" s="90">
        <v>117</v>
      </c>
      <c r="D103" s="198">
        <v>9600</v>
      </c>
      <c r="E103" s="428">
        <f t="shared" si="25"/>
        <v>10309</v>
      </c>
      <c r="F103" s="428">
        <f t="shared" si="23"/>
        <v>-709</v>
      </c>
    </row>
    <row r="104" spans="1:6">
      <c r="A104" s="402" t="s">
        <v>408</v>
      </c>
      <c r="B104" s="90">
        <v>0</v>
      </c>
      <c r="C104" s="90">
        <v>317</v>
      </c>
      <c r="D104" s="198">
        <v>9284</v>
      </c>
      <c r="E104" s="428">
        <f t="shared" si="25"/>
        <v>9992</v>
      </c>
      <c r="F104" s="428">
        <f t="shared" si="23"/>
        <v>-708</v>
      </c>
    </row>
    <row r="105" spans="1:6">
      <c r="A105" s="402" t="s">
        <v>409</v>
      </c>
      <c r="B105" s="90">
        <v>0</v>
      </c>
      <c r="C105" s="90">
        <v>116</v>
      </c>
      <c r="D105" s="198">
        <v>9148</v>
      </c>
      <c r="E105" s="428">
        <f t="shared" si="25"/>
        <v>9876</v>
      </c>
      <c r="F105" s="428">
        <f t="shared" si="23"/>
        <v>-728</v>
      </c>
    </row>
    <row r="106" spans="1:6">
      <c r="A106" s="402" t="s">
        <v>411</v>
      </c>
      <c r="B106" s="90">
        <v>263</v>
      </c>
      <c r="C106" s="90">
        <v>0</v>
      </c>
      <c r="D106" s="198">
        <v>9400</v>
      </c>
      <c r="E106" s="428">
        <f t="shared" si="25"/>
        <v>10139</v>
      </c>
      <c r="F106" s="428">
        <f t="shared" si="23"/>
        <v>-739</v>
      </c>
    </row>
    <row r="107" spans="1:6">
      <c r="A107" s="412" t="s">
        <v>413</v>
      </c>
      <c r="B107" s="90">
        <v>1000</v>
      </c>
      <c r="C107" s="90">
        <v>145</v>
      </c>
      <c r="D107" s="198">
        <v>10412</v>
      </c>
      <c r="E107" s="428">
        <f t="shared" si="25"/>
        <v>10994</v>
      </c>
      <c r="F107" s="428">
        <f t="shared" si="23"/>
        <v>-582</v>
      </c>
    </row>
    <row r="108" spans="1:6">
      <c r="A108" s="412" t="s">
        <v>414</v>
      </c>
      <c r="B108" s="90">
        <v>0</v>
      </c>
      <c r="C108" s="90">
        <v>177</v>
      </c>
      <c r="D108" s="198">
        <v>10176</v>
      </c>
      <c r="E108" s="428">
        <f t="shared" si="25"/>
        <v>10817</v>
      </c>
      <c r="F108" s="428">
        <f t="shared" si="23"/>
        <v>-641</v>
      </c>
    </row>
    <row r="109" spans="1:6">
      <c r="A109" s="412" t="s">
        <v>415</v>
      </c>
      <c r="B109" s="90">
        <v>0</v>
      </c>
      <c r="C109" s="90">
        <v>87</v>
      </c>
      <c r="D109" s="198">
        <v>9961</v>
      </c>
      <c r="E109" s="428">
        <f t="shared" si="25"/>
        <v>10730</v>
      </c>
      <c r="F109" s="428">
        <f t="shared" si="23"/>
        <v>-769</v>
      </c>
    </row>
    <row r="110" spans="1:6">
      <c r="A110" s="412" t="s">
        <v>417</v>
      </c>
      <c r="B110" s="90">
        <v>0</v>
      </c>
      <c r="C110" s="90">
        <v>359</v>
      </c>
      <c r="D110" s="198">
        <v>9600</v>
      </c>
      <c r="E110" s="428">
        <f t="shared" si="25"/>
        <v>10371</v>
      </c>
      <c r="F110" s="428">
        <f t="shared" si="23"/>
        <v>-771</v>
      </c>
    </row>
    <row r="111" spans="1:6">
      <c r="A111" s="412" t="s">
        <v>419</v>
      </c>
      <c r="B111" s="90">
        <v>0</v>
      </c>
      <c r="C111" s="90">
        <v>87</v>
      </c>
      <c r="D111" s="198">
        <v>9509</v>
      </c>
      <c r="E111" s="428">
        <f t="shared" si="25"/>
        <v>10284</v>
      </c>
      <c r="F111" s="428">
        <f t="shared" si="23"/>
        <v>-775</v>
      </c>
    </row>
    <row r="112" spans="1:6">
      <c r="A112" s="412" t="s">
        <v>420</v>
      </c>
      <c r="B112" s="90">
        <v>0</v>
      </c>
      <c r="C112" s="90">
        <v>59</v>
      </c>
      <c r="D112" s="198">
        <v>9464</v>
      </c>
      <c r="E112" s="428">
        <f t="shared" si="25"/>
        <v>10225</v>
      </c>
      <c r="F112" s="428">
        <f t="shared" si="23"/>
        <v>-761</v>
      </c>
    </row>
    <row r="113" spans="1:15">
      <c r="A113" s="412" t="s">
        <v>451</v>
      </c>
      <c r="B113" s="90">
        <v>511</v>
      </c>
      <c r="C113" s="90">
        <v>0</v>
      </c>
      <c r="D113" s="198">
        <v>9961</v>
      </c>
      <c r="E113" s="428">
        <f t="shared" si="25"/>
        <v>10736</v>
      </c>
      <c r="F113" s="428">
        <f t="shared" si="23"/>
        <v>-775</v>
      </c>
    </row>
    <row r="114" spans="1:15">
      <c r="A114" s="412" t="s">
        <v>452</v>
      </c>
      <c r="B114" s="90">
        <v>300</v>
      </c>
      <c r="C114" s="90">
        <v>117</v>
      </c>
      <c r="D114" s="198">
        <v>10186</v>
      </c>
      <c r="E114" s="428">
        <f t="shared" si="25"/>
        <v>10919</v>
      </c>
      <c r="F114" s="428">
        <f t="shared" si="23"/>
        <v>-733</v>
      </c>
    </row>
    <row r="115" spans="1:15">
      <c r="A115" s="412" t="s">
        <v>457</v>
      </c>
      <c r="B115" s="90">
        <v>0</v>
      </c>
      <c r="C115" s="90">
        <v>146</v>
      </c>
      <c r="D115" s="198">
        <v>9735</v>
      </c>
      <c r="E115" s="428">
        <f t="shared" ref="E115" si="28">E114+B115-C115</f>
        <v>10773</v>
      </c>
      <c r="F115" s="428">
        <f t="shared" ref="F115" si="29">D115-E115</f>
        <v>-1038</v>
      </c>
    </row>
    <row r="116" spans="1:15">
      <c r="A116" s="412"/>
      <c r="B116" s="90"/>
      <c r="C116" s="90"/>
      <c r="D116" s="198"/>
      <c r="E116" s="428"/>
      <c r="F116" s="428"/>
    </row>
    <row r="117" spans="1:15">
      <c r="A117" s="277"/>
      <c r="B117" s="90"/>
      <c r="C117" s="90"/>
      <c r="D117" s="90"/>
      <c r="E117" s="90"/>
      <c r="F117" s="90"/>
    </row>
    <row r="118" spans="1:15">
      <c r="A118" s="194" t="s">
        <v>31</v>
      </c>
      <c r="B118" s="428">
        <f>SUM(B57:B117)</f>
        <v>15091</v>
      </c>
      <c r="C118" s="428">
        <f>SUM(C57:C117)</f>
        <v>5638</v>
      </c>
      <c r="D118" s="197"/>
      <c r="E118" s="428"/>
      <c r="F118" s="428"/>
    </row>
    <row r="120" spans="1:15">
      <c r="L120" s="351" t="s">
        <v>376</v>
      </c>
      <c r="M120" s="379" t="s">
        <v>394</v>
      </c>
    </row>
    <row r="121" spans="1:15">
      <c r="K121" s="100" t="s">
        <v>381</v>
      </c>
      <c r="L121" s="13">
        <v>-146</v>
      </c>
      <c r="M121" s="13">
        <v>-172</v>
      </c>
    </row>
    <row r="122" spans="1:15">
      <c r="K122" s="100" t="s">
        <v>343</v>
      </c>
      <c r="L122" s="13">
        <v>113</v>
      </c>
      <c r="M122" s="13">
        <v>277</v>
      </c>
    </row>
    <row r="123" spans="1:15">
      <c r="K123" s="100" t="s">
        <v>344</v>
      </c>
      <c r="L123" s="13">
        <v>-59</v>
      </c>
      <c r="M123" s="13">
        <v>237</v>
      </c>
    </row>
    <row r="124" spans="1:15">
      <c r="K124" s="100" t="s">
        <v>345</v>
      </c>
      <c r="L124" s="13">
        <v>-135</v>
      </c>
      <c r="M124" s="13">
        <v>14</v>
      </c>
    </row>
    <row r="125" spans="1:15">
      <c r="K125" s="100" t="s">
        <v>346</v>
      </c>
      <c r="L125" s="13">
        <v>175</v>
      </c>
      <c r="M125" s="13">
        <v>95</v>
      </c>
    </row>
    <row r="126" spans="1:15">
      <c r="K126" s="100" t="s">
        <v>347</v>
      </c>
      <c r="L126" s="13">
        <v>-38</v>
      </c>
      <c r="M126" s="13">
        <v>-179</v>
      </c>
    </row>
    <row r="127" spans="1:15">
      <c r="K127" s="100" t="s">
        <v>348</v>
      </c>
      <c r="L127" s="13">
        <v>-232</v>
      </c>
      <c r="M127" s="13">
        <f>SUM(M121:M126)</f>
        <v>272</v>
      </c>
      <c r="N127" s="13">
        <v>4285</v>
      </c>
      <c r="O127" s="13">
        <f>N127-M127</f>
        <v>4013</v>
      </c>
    </row>
    <row r="128" spans="1:15">
      <c r="K128" s="100" t="s">
        <v>349</v>
      </c>
      <c r="L128" s="13">
        <v>304</v>
      </c>
      <c r="M128" s="13">
        <v>177</v>
      </c>
    </row>
    <row r="129" spans="11:15">
      <c r="K129" s="100" t="s">
        <v>350</v>
      </c>
      <c r="L129" s="13">
        <v>32</v>
      </c>
      <c r="M129" s="13">
        <v>-51</v>
      </c>
    </row>
    <row r="130" spans="11:15">
      <c r="K130" s="100" t="s">
        <v>351</v>
      </c>
      <c r="L130" s="13">
        <v>275</v>
      </c>
      <c r="M130" s="13">
        <v>368</v>
      </c>
    </row>
    <row r="131" spans="11:15">
      <c r="K131" s="100" t="s">
        <v>352</v>
      </c>
      <c r="L131" s="13">
        <v>8</v>
      </c>
      <c r="M131" s="13">
        <v>-14</v>
      </c>
    </row>
    <row r="132" spans="11:15">
      <c r="K132" s="100" t="s">
        <v>353</v>
      </c>
      <c r="L132" s="13">
        <v>35</v>
      </c>
      <c r="M132" s="13">
        <v>77</v>
      </c>
    </row>
    <row r="133" spans="11:15">
      <c r="K133" s="100" t="s">
        <v>354</v>
      </c>
      <c r="L133" s="13">
        <v>-24</v>
      </c>
      <c r="M133" s="13">
        <v>-201</v>
      </c>
    </row>
    <row r="134" spans="11:15">
      <c r="K134" s="100" t="s">
        <v>355</v>
      </c>
      <c r="L134" s="13">
        <v>-633</v>
      </c>
      <c r="M134" s="13">
        <v>-96</v>
      </c>
      <c r="N134" s="13">
        <f>SUM(L121:L134)</f>
        <v>-325</v>
      </c>
      <c r="O134" s="13">
        <f>SUM(M121:M134)</f>
        <v>804</v>
      </c>
    </row>
    <row r="135" spans="11:15">
      <c r="K135" s="100" t="s">
        <v>356</v>
      </c>
    </row>
    <row r="136" spans="11:15">
      <c r="K136" s="100" t="s">
        <v>357</v>
      </c>
    </row>
    <row r="137" spans="11:15">
      <c r="K137" s="100" t="s">
        <v>358</v>
      </c>
    </row>
    <row r="138" spans="11:15">
      <c r="K138" s="100" t="s">
        <v>359</v>
      </c>
    </row>
    <row r="139" spans="11:15">
      <c r="K139" s="100" t="s">
        <v>360</v>
      </c>
    </row>
    <row r="140" spans="11:15">
      <c r="K140" s="100" t="s">
        <v>361</v>
      </c>
    </row>
    <row r="141" spans="11:15">
      <c r="K141" s="100" t="s">
        <v>362</v>
      </c>
    </row>
    <row r="142" spans="11:15">
      <c r="K142" s="100" t="s">
        <v>363</v>
      </c>
    </row>
    <row r="143" spans="11:15">
      <c r="K143" s="100" t="s">
        <v>364</v>
      </c>
    </row>
    <row r="144" spans="11:15">
      <c r="K144" s="100" t="s">
        <v>365</v>
      </c>
    </row>
    <row r="145" spans="11:12">
      <c r="K145" s="100" t="s">
        <v>366</v>
      </c>
    </row>
    <row r="146" spans="11:12">
      <c r="K146" s="100" t="s">
        <v>367</v>
      </c>
    </row>
    <row r="147" spans="11:12">
      <c r="K147" s="100" t="s">
        <v>368</v>
      </c>
    </row>
    <row r="148" spans="11:12">
      <c r="K148" s="100" t="s">
        <v>369</v>
      </c>
    </row>
    <row r="149" spans="11:12">
      <c r="K149" s="100" t="s">
        <v>370</v>
      </c>
    </row>
    <row r="150" spans="11:12">
      <c r="K150" s="100" t="s">
        <v>371</v>
      </c>
    </row>
    <row r="151" spans="11:12">
      <c r="K151" s="100"/>
    </row>
    <row r="152" spans="11:12">
      <c r="K152" s="11" t="s">
        <v>7</v>
      </c>
      <c r="L152" s="13">
        <f>SUM(L121:L151)</f>
        <v>-325</v>
      </c>
    </row>
  </sheetData>
  <mergeCells count="131">
    <mergeCell ref="A1:I1"/>
    <mergeCell ref="AM3:AM5"/>
    <mergeCell ref="H4:I4"/>
    <mergeCell ref="AN4:AN5"/>
    <mergeCell ref="AO4:AO5"/>
    <mergeCell ref="AP4:AP5"/>
    <mergeCell ref="A5:A6"/>
    <mergeCell ref="B5:B6"/>
    <mergeCell ref="C5:D6"/>
    <mergeCell ref="E5:F6"/>
    <mergeCell ref="C8:D8"/>
    <mergeCell ref="E8:F8"/>
    <mergeCell ref="H8:I8"/>
    <mergeCell ref="C9:D9"/>
    <mergeCell ref="E9:F9"/>
    <mergeCell ref="H9:I9"/>
    <mergeCell ref="G5:I5"/>
    <mergeCell ref="Q5:R5"/>
    <mergeCell ref="H6:I6"/>
    <mergeCell ref="C7:D7"/>
    <mergeCell ref="E7:F7"/>
    <mergeCell ref="H7:I7"/>
    <mergeCell ref="C15:D15"/>
    <mergeCell ref="E15:F15"/>
    <mergeCell ref="G15:I15"/>
    <mergeCell ref="C16:D16"/>
    <mergeCell ref="E16:F16"/>
    <mergeCell ref="G16:I16"/>
    <mergeCell ref="A13:A14"/>
    <mergeCell ref="B13:D13"/>
    <mergeCell ref="E13:I13"/>
    <mergeCell ref="C14:D14"/>
    <mergeCell ref="E14:F14"/>
    <mergeCell ref="G14:I14"/>
    <mergeCell ref="C17:D17"/>
    <mergeCell ref="E17:F17"/>
    <mergeCell ref="G17:I17"/>
    <mergeCell ref="AB17:AE17"/>
    <mergeCell ref="AO17:AS17"/>
    <mergeCell ref="AO21:AO22"/>
    <mergeCell ref="AP21:AP22"/>
    <mergeCell ref="AQ21:AQ22"/>
    <mergeCell ref="AR21:AR22"/>
    <mergeCell ref="AS21:AS22"/>
    <mergeCell ref="B24:B25"/>
    <mergeCell ref="C24:D24"/>
    <mergeCell ref="E24:F25"/>
    <mergeCell ref="G24:G25"/>
    <mergeCell ref="H24:H25"/>
    <mergeCell ref="I24:I25"/>
    <mergeCell ref="C25:D25"/>
    <mergeCell ref="BA21:BA22"/>
    <mergeCell ref="A22:A23"/>
    <mergeCell ref="B22:B23"/>
    <mergeCell ref="C22:D23"/>
    <mergeCell ref="E22:F23"/>
    <mergeCell ref="G22:I22"/>
    <mergeCell ref="AT21:AT22"/>
    <mergeCell ref="AV21:AV22"/>
    <mergeCell ref="AW21:AW22"/>
    <mergeCell ref="AX21:AX22"/>
    <mergeCell ref="AY21:AY22"/>
    <mergeCell ref="AZ21:AZ22"/>
    <mergeCell ref="B26:B28"/>
    <mergeCell ref="C26:D26"/>
    <mergeCell ref="E26:F27"/>
    <mergeCell ref="G26:G28"/>
    <mergeCell ref="H26:H28"/>
    <mergeCell ref="I26:I28"/>
    <mergeCell ref="C27:D27"/>
    <mergeCell ref="C28:D28"/>
    <mergeCell ref="E28:F28"/>
    <mergeCell ref="B29:B31"/>
    <mergeCell ref="C29:D29"/>
    <mergeCell ref="E29:F30"/>
    <mergeCell ref="G29:G31"/>
    <mergeCell ref="H29:H31"/>
    <mergeCell ref="I29:I31"/>
    <mergeCell ref="C30:D30"/>
    <mergeCell ref="C31:D31"/>
    <mergeCell ref="E31:F31"/>
    <mergeCell ref="A39:A40"/>
    <mergeCell ref="C39:D39"/>
    <mergeCell ref="E39:H39"/>
    <mergeCell ref="I39:I40"/>
    <mergeCell ref="C40:D40"/>
    <mergeCell ref="G40:H40"/>
    <mergeCell ref="C32:D32"/>
    <mergeCell ref="E32:F32"/>
    <mergeCell ref="C33:D33"/>
    <mergeCell ref="E33:F33"/>
    <mergeCell ref="C34:D34"/>
    <mergeCell ref="E34:F34"/>
    <mergeCell ref="A48:A49"/>
    <mergeCell ref="B48:C48"/>
    <mergeCell ref="D48:E48"/>
    <mergeCell ref="F48:G48"/>
    <mergeCell ref="H48:I49"/>
    <mergeCell ref="C41:D41"/>
    <mergeCell ref="G41:H41"/>
    <mergeCell ref="C42:D42"/>
    <mergeCell ref="G42:H42"/>
    <mergeCell ref="C43:D43"/>
    <mergeCell ref="G43:H43"/>
    <mergeCell ref="H50:I50"/>
    <mergeCell ref="H51:I51"/>
    <mergeCell ref="H52:I52"/>
    <mergeCell ref="O73:P73"/>
    <mergeCell ref="Q73:R73"/>
    <mergeCell ref="S73:T73"/>
    <mergeCell ref="C44:D44"/>
    <mergeCell ref="G44:H44"/>
    <mergeCell ref="C45:D45"/>
    <mergeCell ref="G45:H45"/>
    <mergeCell ref="O76:P76"/>
    <mergeCell ref="Q76:R76"/>
    <mergeCell ref="S76:T76"/>
    <mergeCell ref="U76:V76"/>
    <mergeCell ref="O77:P77"/>
    <mergeCell ref="Q77:R77"/>
    <mergeCell ref="S77:T77"/>
    <mergeCell ref="U77:V77"/>
    <mergeCell ref="U73:V73"/>
    <mergeCell ref="O74:P74"/>
    <mergeCell ref="Q74:R74"/>
    <mergeCell ref="S74:T74"/>
    <mergeCell ref="U74:V74"/>
    <mergeCell ref="O75:P75"/>
    <mergeCell ref="Q75:R75"/>
    <mergeCell ref="S75:T75"/>
    <mergeCell ref="U75:V75"/>
  </mergeCells>
  <phoneticPr fontId="156" type="noConversion"/>
  <pageMargins left="0.78740157480314965" right="0" top="0.19685039370078741" bottom="0.15748031496062992" header="0.31496062992125984" footer="0.31496062992125984"/>
  <pageSetup paperSize="9" scale="9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59"/>
  <sheetViews>
    <sheetView topLeftCell="A4" workbookViewId="0">
      <selection activeCell="C17" sqref="C17:D17"/>
    </sheetView>
  </sheetViews>
  <sheetFormatPr defaultColWidth="8.69921875" defaultRowHeight="18.2"/>
  <cols>
    <col min="1" max="1" width="15.19921875" style="13" customWidth="1"/>
    <col min="2" max="2" width="10.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22" width="9.19921875" style="13" bestFit="1" customWidth="1"/>
    <col min="23" max="23" width="8.69921875" style="13"/>
    <col min="24" max="24" width="10.296875" style="13" customWidth="1"/>
    <col min="25" max="25" width="9.296875" style="13" customWidth="1"/>
    <col min="26" max="26" width="9.59765625" style="13" bestFit="1" customWidth="1"/>
    <col min="27" max="27" width="8.69921875" style="13"/>
    <col min="28" max="28" width="9.69921875" style="13" customWidth="1"/>
    <col min="29" max="32" width="8.69921875" style="13"/>
    <col min="33" max="33" width="0.69921875" style="13" customWidth="1"/>
    <col min="34" max="34" width="9.796875" style="13" customWidth="1"/>
    <col min="35" max="38" width="8.69921875" style="13"/>
    <col min="39" max="39" width="4.5" style="13" customWidth="1"/>
    <col min="40" max="41" width="8" style="13" customWidth="1"/>
    <col min="42" max="43" width="7.796875" style="13" customWidth="1"/>
    <col min="44" max="44" width="7.8984375" style="13" customWidth="1"/>
    <col min="45" max="45" width="7.19921875" style="13" customWidth="1"/>
    <col min="46" max="46" width="6.5" style="13" customWidth="1"/>
    <col min="47" max="47" width="0.5" style="13" customWidth="1"/>
    <col min="48" max="48" width="8.69921875" style="13"/>
    <col min="49" max="50" width="7.59765625" style="13" customWidth="1"/>
    <col min="51" max="51" width="8.59765625" style="13" customWidth="1"/>
    <col min="52" max="52" width="7.59765625" style="13" customWidth="1"/>
    <col min="53" max="53" width="6.796875" style="13" customWidth="1"/>
    <col min="54" max="56" width="8.69921875" style="13"/>
    <col min="57" max="57" width="9.3984375" style="13" bestFit="1" customWidth="1"/>
    <col min="58" max="16384" width="8.69921875" style="13"/>
  </cols>
  <sheetData>
    <row r="1" spans="1:44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  <c r="W1" s="142"/>
      <c r="X1" s="46"/>
      <c r="Y1" s="42"/>
    </row>
    <row r="2" spans="1:44" ht="14.4" customHeight="1">
      <c r="A2" s="464"/>
      <c r="B2" s="464"/>
      <c r="C2" s="464"/>
      <c r="D2" s="464"/>
      <c r="E2" s="464"/>
      <c r="F2" s="464"/>
      <c r="G2" s="464"/>
      <c r="H2" s="464"/>
      <c r="I2" s="464"/>
      <c r="W2" s="142"/>
      <c r="X2" s="46"/>
      <c r="Y2" s="42"/>
    </row>
    <row r="3" spans="1:44">
      <c r="J3" s="14"/>
      <c r="K3" s="14"/>
      <c r="L3" s="14"/>
      <c r="M3" s="14"/>
      <c r="W3" s="142"/>
      <c r="X3" s="46"/>
      <c r="Y3" s="42"/>
      <c r="AM3" s="757" t="s">
        <v>229</v>
      </c>
      <c r="AN3" s="244" t="s">
        <v>230</v>
      </c>
      <c r="AO3" s="244" t="s">
        <v>231</v>
      </c>
      <c r="AP3" s="244" t="s">
        <v>232</v>
      </c>
    </row>
    <row r="4" spans="1:44">
      <c r="A4" s="15" t="s">
        <v>9</v>
      </c>
      <c r="H4" s="902" t="s">
        <v>526</v>
      </c>
      <c r="I4" s="893"/>
      <c r="N4" s="16"/>
      <c r="O4" s="81"/>
      <c r="W4" s="142"/>
      <c r="X4" s="48"/>
      <c r="Y4" s="42"/>
      <c r="AM4" s="758"/>
      <c r="AN4" s="734"/>
      <c r="AO4" s="734"/>
      <c r="AP4" s="734"/>
    </row>
    <row r="5" spans="1:44" ht="17.399999999999999" customHeight="1">
      <c r="A5" s="736" t="s">
        <v>10</v>
      </c>
      <c r="B5" s="738" t="s">
        <v>11</v>
      </c>
      <c r="C5" s="736" t="s">
        <v>12</v>
      </c>
      <c r="D5" s="740"/>
      <c r="E5" s="742" t="s">
        <v>39</v>
      </c>
      <c r="F5" s="743"/>
      <c r="G5" s="900" t="s">
        <v>458</v>
      </c>
      <c r="H5" s="747"/>
      <c r="I5" s="747"/>
      <c r="J5" s="75"/>
      <c r="K5" s="75"/>
      <c r="M5" s="359"/>
      <c r="N5" s="360"/>
      <c r="O5" s="463"/>
      <c r="P5" s="463"/>
      <c r="Q5" s="748"/>
      <c r="R5" s="748"/>
      <c r="S5" s="463"/>
      <c r="T5" s="463"/>
      <c r="W5" s="142"/>
      <c r="X5" s="48"/>
      <c r="Y5" s="42"/>
      <c r="Z5" s="48"/>
      <c r="AM5" s="735"/>
      <c r="AN5" s="735"/>
      <c r="AO5" s="735"/>
      <c r="AP5" s="735"/>
    </row>
    <row r="6" spans="1:44" ht="18.8" thickBot="1">
      <c r="A6" s="737"/>
      <c r="B6" s="739"/>
      <c r="C6" s="737"/>
      <c r="D6" s="741"/>
      <c r="E6" s="744"/>
      <c r="F6" s="745"/>
      <c r="G6" s="87" t="s">
        <v>13</v>
      </c>
      <c r="H6" s="901" t="s">
        <v>239</v>
      </c>
      <c r="I6" s="750"/>
      <c r="L6" s="353"/>
      <c r="N6" s="360"/>
      <c r="O6" s="463"/>
      <c r="P6" s="82"/>
      <c r="Q6" s="463"/>
      <c r="R6" s="82"/>
      <c r="S6" s="82"/>
      <c r="T6" s="293"/>
      <c r="U6" s="107"/>
      <c r="V6" s="107"/>
      <c r="W6" s="142"/>
      <c r="X6" s="42"/>
      <c r="Y6" s="42"/>
    </row>
    <row r="7" spans="1:44" ht="18.8" thickTop="1">
      <c r="A7" s="19" t="s">
        <v>14</v>
      </c>
      <c r="B7" s="20">
        <v>15.66</v>
      </c>
      <c r="C7" s="751">
        <v>1257.4000000000001</v>
      </c>
      <c r="D7" s="752"/>
      <c r="E7" s="753">
        <f>(C7/B7)+0.1</f>
        <v>80.393742017879944</v>
      </c>
      <c r="F7" s="754"/>
      <c r="G7" s="88"/>
      <c r="H7" s="755"/>
      <c r="I7" s="755"/>
      <c r="J7" s="13">
        <f>40/60</f>
        <v>0.66666666666666663</v>
      </c>
      <c r="L7" s="353"/>
      <c r="M7" s="49"/>
      <c r="N7" s="361"/>
      <c r="O7" s="463"/>
      <c r="P7" s="22"/>
      <c r="Q7" s="17"/>
      <c r="R7" s="17"/>
      <c r="S7" s="17"/>
      <c r="U7" s="369"/>
      <c r="V7" s="145"/>
      <c r="W7" s="143"/>
      <c r="X7" s="42"/>
      <c r="Y7" s="42"/>
    </row>
    <row r="8" spans="1:44">
      <c r="A8" s="23" t="s">
        <v>15</v>
      </c>
      <c r="B8" s="74">
        <f>407.83+24+15.66+15.67+24+24+15.5+15.66+24+15.66</f>
        <v>581.98</v>
      </c>
      <c r="C8" s="769">
        <v>46645</v>
      </c>
      <c r="D8" s="770"/>
      <c r="E8" s="771">
        <f>C8/B8</f>
        <v>80.148802364342416</v>
      </c>
      <c r="F8" s="772"/>
      <c r="G8" s="86">
        <v>48461</v>
      </c>
      <c r="H8" s="773">
        <v>46645</v>
      </c>
      <c r="I8" s="773"/>
      <c r="L8" s="446"/>
      <c r="N8" s="361"/>
      <c r="O8" s="463"/>
      <c r="P8" s="22"/>
      <c r="Q8" s="14"/>
      <c r="T8" s="107"/>
      <c r="U8" s="107"/>
      <c r="V8" s="42"/>
      <c r="W8" s="143"/>
      <c r="X8" s="48"/>
      <c r="Y8" s="42"/>
      <c r="AP8" s="13">
        <v>86200</v>
      </c>
      <c r="AQ8" s="13">
        <v>846</v>
      </c>
      <c r="AR8" s="13">
        <f>AQ8*AP8/10000</f>
        <v>7292.52</v>
      </c>
    </row>
    <row r="9" spans="1:44">
      <c r="A9" s="23" t="s">
        <v>16</v>
      </c>
      <c r="B9" s="24">
        <f>1469.7+B8</f>
        <v>2051.6800000000003</v>
      </c>
      <c r="C9" s="774">
        <f>116893+C8</f>
        <v>163538</v>
      </c>
      <c r="D9" s="775"/>
      <c r="E9" s="771">
        <f>C9/B9</f>
        <v>79.70931139358963</v>
      </c>
      <c r="F9" s="772"/>
      <c r="G9" s="21"/>
      <c r="H9" s="776"/>
      <c r="I9" s="777"/>
      <c r="J9" s="368" t="s">
        <v>389</v>
      </c>
      <c r="M9" s="359"/>
      <c r="N9" s="360"/>
      <c r="O9" s="463"/>
      <c r="P9" s="362"/>
      <c r="Q9" s="123"/>
      <c r="S9" s="379"/>
      <c r="T9" s="219"/>
      <c r="U9" s="216"/>
      <c r="V9" s="395"/>
      <c r="W9" s="143"/>
      <c r="X9" s="48"/>
      <c r="Y9" s="42"/>
      <c r="Z9" s="144"/>
      <c r="AP9" s="13">
        <v>90700</v>
      </c>
      <c r="AQ9" s="13">
        <v>924</v>
      </c>
      <c r="AR9" s="13">
        <f>AQ9*AP9/10000</f>
        <v>8380.68</v>
      </c>
    </row>
    <row r="10" spans="1:44">
      <c r="A10" s="455"/>
      <c r="B10" s="25"/>
      <c r="F10" s="27"/>
      <c r="G10" s="27"/>
      <c r="H10" s="28"/>
      <c r="I10" s="28"/>
      <c r="L10" s="353"/>
      <c r="N10" s="360"/>
      <c r="O10" s="85"/>
      <c r="P10" s="362"/>
      <c r="Q10" s="14"/>
      <c r="T10" s="92"/>
      <c r="U10" s="107"/>
      <c r="V10" s="400"/>
      <c r="W10" s="143"/>
      <c r="X10" s="48"/>
      <c r="Y10" s="42"/>
      <c r="AP10" s="13">
        <f>SUM(AP8:AP9)</f>
        <v>176900</v>
      </c>
      <c r="AQ10" s="13">
        <v>88700</v>
      </c>
      <c r="AR10" s="13">
        <f>SUM(AR8:AR9)</f>
        <v>15673.2</v>
      </c>
    </row>
    <row r="11" spans="1:44" ht="18" customHeight="1">
      <c r="A11" s="413"/>
      <c r="B11" s="25"/>
      <c r="C11" s="26"/>
      <c r="D11" s="26"/>
      <c r="E11" s="26"/>
      <c r="F11" s="27"/>
      <c r="G11" s="106"/>
      <c r="H11" s="28"/>
      <c r="I11" s="28"/>
      <c r="L11" s="353"/>
      <c r="M11" s="49"/>
      <c r="N11" s="361"/>
      <c r="O11" s="85"/>
      <c r="P11" s="22"/>
      <c r="Q11" s="14"/>
      <c r="T11" s="92"/>
      <c r="U11" s="107"/>
      <c r="V11" s="400"/>
      <c r="W11" s="141"/>
      <c r="X11" s="48"/>
      <c r="Y11" s="42"/>
    </row>
    <row r="12" spans="1:44">
      <c r="A12" s="31" t="s">
        <v>17</v>
      </c>
      <c r="J12" s="32"/>
      <c r="K12" s="32"/>
      <c r="L12" s="446"/>
      <c r="M12" s="363"/>
      <c r="N12" s="146"/>
      <c r="O12" s="29"/>
      <c r="P12" s="102"/>
      <c r="T12" s="92"/>
      <c r="U12" s="92"/>
      <c r="V12" s="401"/>
      <c r="W12" s="141"/>
      <c r="X12" s="42"/>
      <c r="Y12" s="42"/>
    </row>
    <row r="13" spans="1:44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  <c r="V13" s="318"/>
      <c r="W13" s="141"/>
      <c r="X13" s="42"/>
      <c r="Y13" s="42"/>
    </row>
    <row r="14" spans="1:44" ht="18.8" thickBot="1">
      <c r="A14" s="762"/>
      <c r="B14" s="467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391" t="s">
        <v>400</v>
      </c>
      <c r="L14" s="18"/>
      <c r="M14" s="18"/>
      <c r="N14" s="146"/>
      <c r="O14" s="29"/>
      <c r="P14" s="102"/>
      <c r="T14" s="92"/>
      <c r="U14" s="92"/>
      <c r="V14" s="370"/>
      <c r="W14" s="287"/>
      <c r="X14" s="42"/>
      <c r="Y14" s="42"/>
    </row>
    <row r="15" spans="1:44" ht="18.8" thickTop="1">
      <c r="A15" s="19" t="s">
        <v>14</v>
      </c>
      <c r="B15" s="37">
        <v>45240</v>
      </c>
      <c r="C15" s="771">
        <f>(B15/C7)</f>
        <v>35.979004294576107</v>
      </c>
      <c r="D15" s="772"/>
      <c r="E15" s="779">
        <v>6601</v>
      </c>
      <c r="F15" s="779"/>
      <c r="G15" s="780">
        <f>E15/C7</f>
        <v>5.2497216478447584</v>
      </c>
      <c r="H15" s="780"/>
      <c r="I15" s="780"/>
      <c r="J15" s="414"/>
      <c r="K15" s="365"/>
      <c r="L15" s="365"/>
      <c r="M15" s="474"/>
      <c r="N15" s="147"/>
      <c r="O15" s="147"/>
      <c r="P15" s="34"/>
      <c r="Q15" s="33"/>
      <c r="R15" s="33"/>
      <c r="T15" s="92"/>
      <c r="U15" s="92"/>
      <c r="V15" s="368"/>
      <c r="W15" s="51"/>
    </row>
    <row r="16" spans="1:44">
      <c r="A16" s="23" t="s">
        <v>15</v>
      </c>
      <c r="B16" s="38">
        <f>45960+46680+45780+42900+63480+65100+43980+44580+67500+44940+44820+66660+65940+45240+42360+66600+43200+43500+63180+66300+44400+45420+64560+44280+44460+66180+67440+43020+45300+67440+45240</f>
        <v>1636440</v>
      </c>
      <c r="C16" s="771">
        <f>B16/C8</f>
        <v>35.082859899238933</v>
      </c>
      <c r="D16" s="772"/>
      <c r="E16" s="781">
        <f>6714+6942+6785+6392+10246+10138+7049+6892+10648+6312+6820+10084+10082+6575+5818+9979+6310+6737+9738+10089+6539+6743+9796+6616+6307+9900+9949+6445+6870+9973+6601</f>
        <v>246089</v>
      </c>
      <c r="F16" s="781"/>
      <c r="G16" s="782">
        <f>E16/C8</f>
        <v>5.2757851859792044</v>
      </c>
      <c r="H16" s="782"/>
      <c r="I16" s="782"/>
      <c r="K16" s="410"/>
      <c r="N16" s="33"/>
      <c r="O16" s="33"/>
      <c r="P16" s="33"/>
      <c r="Q16" s="33"/>
      <c r="T16" s="107"/>
      <c r="U16" s="92"/>
      <c r="V16" s="368"/>
    </row>
    <row r="17" spans="1:53" ht="21.3">
      <c r="A17" s="23" t="s">
        <v>16</v>
      </c>
      <c r="B17" s="39">
        <f>4327473+B16</f>
        <v>5963913</v>
      </c>
      <c r="C17" s="898">
        <f>B17/C9</f>
        <v>36.468056353874942</v>
      </c>
      <c r="D17" s="899"/>
      <c r="E17" s="799">
        <f>655630+E16</f>
        <v>901719</v>
      </c>
      <c r="F17" s="799"/>
      <c r="G17" s="800">
        <f>E17/C9</f>
        <v>5.5138194181168902</v>
      </c>
      <c r="H17" s="800"/>
      <c r="I17" s="800"/>
      <c r="J17" s="368" t="s">
        <v>389</v>
      </c>
      <c r="N17" s="289"/>
      <c r="O17" s="33"/>
      <c r="R17" s="33"/>
      <c r="T17" s="92"/>
      <c r="U17" s="92"/>
      <c r="V17" s="353"/>
      <c r="AB17" s="854" t="s">
        <v>225</v>
      </c>
      <c r="AC17" s="854"/>
      <c r="AD17" s="854"/>
      <c r="AE17" s="854"/>
      <c r="AO17" s="868" t="s">
        <v>241</v>
      </c>
      <c r="AP17" s="868"/>
      <c r="AQ17" s="868"/>
      <c r="AR17" s="868"/>
      <c r="AS17" s="868"/>
    </row>
    <row r="18" spans="1:53">
      <c r="A18" s="460" t="s">
        <v>493</v>
      </c>
      <c r="J18" s="41"/>
      <c r="K18" s="457"/>
      <c r="L18" s="41"/>
      <c r="M18" s="41"/>
      <c r="N18" s="42"/>
      <c r="Q18" s="133"/>
      <c r="T18" s="92"/>
      <c r="U18" s="92"/>
      <c r="V18" s="364"/>
    </row>
    <row r="19" spans="1:53">
      <c r="A19" s="186" t="s">
        <v>145</v>
      </c>
      <c r="J19" s="43"/>
      <c r="K19" s="458"/>
      <c r="L19" s="43"/>
      <c r="M19" s="43"/>
      <c r="N19" s="125"/>
      <c r="O19" s="42"/>
      <c r="P19" s="42"/>
      <c r="Q19" s="292"/>
      <c r="T19" s="92"/>
      <c r="U19" s="92"/>
      <c r="V19" s="367"/>
    </row>
    <row r="20" spans="1:53" ht="16.75" customHeight="1">
      <c r="A20" s="40"/>
      <c r="B20" s="44"/>
      <c r="C20" s="36"/>
      <c r="D20" s="36"/>
      <c r="E20" s="36"/>
      <c r="F20" s="36"/>
      <c r="J20" s="45"/>
      <c r="K20" s="459"/>
      <c r="L20" s="45"/>
      <c r="M20" s="45"/>
      <c r="N20" s="169"/>
      <c r="T20" s="92"/>
      <c r="U20" s="92"/>
      <c r="V20" s="367"/>
      <c r="AB20" s="32" t="s">
        <v>222</v>
      </c>
      <c r="AH20" s="32" t="s">
        <v>224</v>
      </c>
      <c r="AO20" s="32" t="s">
        <v>222</v>
      </c>
      <c r="AP20" s="32"/>
      <c r="AV20" s="32" t="s">
        <v>224</v>
      </c>
      <c r="AW20" s="32"/>
    </row>
    <row r="21" spans="1:53">
      <c r="A21" s="15" t="s">
        <v>49</v>
      </c>
      <c r="J21" s="43"/>
      <c r="K21" s="458"/>
      <c r="L21" s="43"/>
      <c r="M21" s="43"/>
      <c r="X21" s="291"/>
      <c r="AB21" s="225" t="s">
        <v>153</v>
      </c>
      <c r="AC21" s="225" t="s">
        <v>217</v>
      </c>
      <c r="AD21" s="225" t="s">
        <v>218</v>
      </c>
      <c r="AE21" s="225" t="s">
        <v>219</v>
      </c>
      <c r="AF21" s="225" t="s">
        <v>31</v>
      </c>
      <c r="AH21" s="225" t="s">
        <v>153</v>
      </c>
      <c r="AI21" s="225" t="s">
        <v>217</v>
      </c>
      <c r="AJ21" s="225" t="s">
        <v>218</v>
      </c>
      <c r="AK21" s="225" t="s">
        <v>219</v>
      </c>
      <c r="AL21" s="225" t="s">
        <v>31</v>
      </c>
      <c r="AO21" s="869" t="s">
        <v>153</v>
      </c>
      <c r="AP21" s="871" t="s">
        <v>251</v>
      </c>
      <c r="AQ21" s="871" t="s">
        <v>252</v>
      </c>
      <c r="AR21" s="871" t="s">
        <v>254</v>
      </c>
      <c r="AS21" s="871" t="s">
        <v>253</v>
      </c>
      <c r="AT21" s="749" t="s">
        <v>245</v>
      </c>
      <c r="AV21" s="869" t="s">
        <v>153</v>
      </c>
      <c r="AW21" s="871" t="s">
        <v>251</v>
      </c>
      <c r="AX21" s="871" t="s">
        <v>252</v>
      </c>
      <c r="AY21" s="871" t="s">
        <v>254</v>
      </c>
      <c r="AZ21" s="871" t="s">
        <v>253</v>
      </c>
      <c r="BA21" s="749" t="s">
        <v>245</v>
      </c>
    </row>
    <row r="22" spans="1:53" ht="15.65" customHeight="1">
      <c r="A22" s="761" t="s">
        <v>0</v>
      </c>
      <c r="B22" s="738" t="s">
        <v>24</v>
      </c>
      <c r="C22" s="736" t="s">
        <v>25</v>
      </c>
      <c r="D22" s="740"/>
      <c r="E22" s="736" t="s">
        <v>26</v>
      </c>
      <c r="F22" s="740"/>
      <c r="G22" s="766" t="s">
        <v>27</v>
      </c>
      <c r="H22" s="766"/>
      <c r="I22" s="766"/>
      <c r="J22" s="382"/>
      <c r="K22" s="389"/>
      <c r="L22" s="403"/>
      <c r="M22" s="404"/>
      <c r="N22" s="397"/>
      <c r="O22" s="107"/>
      <c r="P22" s="92"/>
      <c r="Q22" s="293"/>
      <c r="R22" s="92"/>
      <c r="T22" s="92"/>
      <c r="U22" s="92"/>
      <c r="V22" s="398"/>
      <c r="X22" s="291"/>
      <c r="AB22" s="226" t="s">
        <v>190</v>
      </c>
      <c r="AC22" s="466">
        <v>0</v>
      </c>
      <c r="AD22" s="466">
        <v>0</v>
      </c>
      <c r="AE22" s="466">
        <v>0</v>
      </c>
      <c r="AF22" s="466">
        <f>SUM(AC22:AE22)</f>
        <v>0</v>
      </c>
      <c r="AH22" s="226" t="s">
        <v>190</v>
      </c>
      <c r="AI22" s="466">
        <v>0</v>
      </c>
      <c r="AJ22" s="466">
        <v>0</v>
      </c>
      <c r="AK22" s="466">
        <v>0</v>
      </c>
      <c r="AL22" s="466">
        <f>SUM(AI22:AK22)</f>
        <v>0</v>
      </c>
      <c r="AO22" s="870"/>
      <c r="AP22" s="872"/>
      <c r="AQ22" s="873"/>
      <c r="AR22" s="873"/>
      <c r="AS22" s="873"/>
      <c r="AT22" s="873"/>
      <c r="AV22" s="870"/>
      <c r="AW22" s="872"/>
      <c r="AX22" s="873"/>
      <c r="AY22" s="873"/>
      <c r="AZ22" s="873"/>
      <c r="BA22" s="873"/>
    </row>
    <row r="23" spans="1:53" ht="15.65" customHeight="1" thickBot="1">
      <c r="A23" s="778"/>
      <c r="B23" s="739"/>
      <c r="C23" s="737"/>
      <c r="D23" s="741"/>
      <c r="E23" s="737"/>
      <c r="F23" s="741"/>
      <c r="G23" s="89" t="s">
        <v>53</v>
      </c>
      <c r="H23" s="89" t="s">
        <v>54</v>
      </c>
      <c r="I23" s="89" t="s">
        <v>55</v>
      </c>
      <c r="J23" s="382"/>
      <c r="K23" s="389"/>
      <c r="L23" s="403"/>
      <c r="M23" s="404"/>
      <c r="N23" s="92"/>
      <c r="O23" s="107"/>
      <c r="P23" s="92"/>
      <c r="Q23" s="293"/>
      <c r="R23" s="92"/>
      <c r="S23" s="48"/>
      <c r="T23" s="92"/>
      <c r="U23" s="92"/>
      <c r="V23" s="398"/>
      <c r="X23" s="291"/>
      <c r="AB23" s="226" t="s">
        <v>191</v>
      </c>
      <c r="AC23" s="466">
        <v>7.7</v>
      </c>
      <c r="AD23" s="466">
        <v>0</v>
      </c>
      <c r="AE23" s="466">
        <v>0</v>
      </c>
      <c r="AF23" s="466">
        <f t="shared" ref="AB23:AF53" si="0">SUM(AC23:AE23)</f>
        <v>7.7</v>
      </c>
      <c r="AH23" s="226" t="s">
        <v>191</v>
      </c>
      <c r="AI23" s="466">
        <v>10</v>
      </c>
      <c r="AJ23" s="466">
        <v>8</v>
      </c>
      <c r="AK23" s="466">
        <v>6</v>
      </c>
      <c r="AL23" s="466">
        <f t="shared" ref="AL23:AL33" si="1">SUM(AI23:AK23)</f>
        <v>24</v>
      </c>
      <c r="AO23" s="226" t="s">
        <v>191</v>
      </c>
      <c r="AP23" s="229">
        <v>7.7</v>
      </c>
      <c r="AQ23" s="274">
        <v>6.31</v>
      </c>
      <c r="AR23" s="466">
        <v>700</v>
      </c>
      <c r="AS23" s="466">
        <v>77</v>
      </c>
      <c r="AT23" s="274">
        <v>5.3</v>
      </c>
      <c r="AV23" s="226" t="s">
        <v>191</v>
      </c>
      <c r="AW23" s="229">
        <v>24</v>
      </c>
      <c r="AX23" s="274">
        <v>7.17</v>
      </c>
      <c r="AY23" s="466">
        <v>650</v>
      </c>
      <c r="AZ23" s="466">
        <v>79</v>
      </c>
      <c r="BA23" s="274">
        <v>5.99</v>
      </c>
    </row>
    <row r="24" spans="1:53" ht="16.75" customHeight="1" thickTop="1">
      <c r="A24" s="95" t="s">
        <v>57</v>
      </c>
      <c r="B24" s="783">
        <v>4188</v>
      </c>
      <c r="C24" s="785">
        <v>1257</v>
      </c>
      <c r="D24" s="786"/>
      <c r="E24" s="787">
        <v>1854</v>
      </c>
      <c r="F24" s="788"/>
      <c r="G24" s="791">
        <v>3705</v>
      </c>
      <c r="H24" s="793">
        <f>B24+C24+C25-E24</f>
        <v>3591</v>
      </c>
      <c r="I24" s="793">
        <f>G24-H24</f>
        <v>114</v>
      </c>
      <c r="J24" s="383"/>
      <c r="K24" s="385"/>
      <c r="L24" s="385"/>
      <c r="M24" s="376"/>
      <c r="O24" s="107"/>
      <c r="P24" s="107"/>
      <c r="Q24" s="293"/>
      <c r="R24" s="107"/>
      <c r="S24" s="48"/>
      <c r="T24" s="92"/>
      <c r="U24" s="92"/>
      <c r="X24" s="291"/>
      <c r="AB24" s="226" t="s">
        <v>192</v>
      </c>
      <c r="AC24" s="466">
        <v>10</v>
      </c>
      <c r="AD24" s="466">
        <v>3.8</v>
      </c>
      <c r="AE24" s="466">
        <v>2</v>
      </c>
      <c r="AF24" s="466">
        <f t="shared" si="0"/>
        <v>15.8</v>
      </c>
      <c r="AH24" s="226" t="s">
        <v>192</v>
      </c>
      <c r="AI24" s="466">
        <v>10</v>
      </c>
      <c r="AJ24" s="466">
        <v>8</v>
      </c>
      <c r="AK24" s="466">
        <v>6</v>
      </c>
      <c r="AL24" s="466">
        <f t="shared" si="1"/>
        <v>24</v>
      </c>
      <c r="AO24" s="226" t="s">
        <v>192</v>
      </c>
      <c r="AP24" s="229">
        <v>15.8</v>
      </c>
      <c r="AQ24" s="274">
        <v>5.93</v>
      </c>
      <c r="AR24" s="466">
        <v>700</v>
      </c>
      <c r="AS24" s="466">
        <v>78</v>
      </c>
      <c r="AT24" s="274">
        <v>5.64</v>
      </c>
      <c r="AV24" s="226" t="s">
        <v>192</v>
      </c>
      <c r="AW24" s="229">
        <v>24</v>
      </c>
      <c r="AX24" s="274">
        <v>7.15</v>
      </c>
      <c r="AY24" s="466">
        <v>700</v>
      </c>
      <c r="AZ24" s="466">
        <v>83</v>
      </c>
      <c r="BA24" s="274">
        <v>6.19</v>
      </c>
    </row>
    <row r="25" spans="1:53" ht="16.75" customHeight="1">
      <c r="A25" s="96" t="s">
        <v>58</v>
      </c>
      <c r="B25" s="784"/>
      <c r="C25" s="795"/>
      <c r="D25" s="796"/>
      <c r="E25" s="789"/>
      <c r="F25" s="790"/>
      <c r="G25" s="792"/>
      <c r="H25" s="794"/>
      <c r="I25" s="794"/>
      <c r="J25" s="383"/>
      <c r="K25" s="383"/>
      <c r="L25" s="383"/>
      <c r="M25" s="376"/>
      <c r="N25" s="405"/>
      <c r="O25" s="293"/>
      <c r="P25" s="377"/>
      <c r="Q25" s="293"/>
      <c r="R25" s="293"/>
      <c r="S25" s="137"/>
      <c r="T25" s="92"/>
      <c r="U25" s="92"/>
      <c r="X25" s="381" t="s">
        <v>186</v>
      </c>
      <c r="Y25" s="399">
        <v>24.2</v>
      </c>
      <c r="AB25" s="226" t="s">
        <v>193</v>
      </c>
      <c r="AC25" s="466">
        <v>10</v>
      </c>
      <c r="AD25" s="466">
        <v>3</v>
      </c>
      <c r="AE25" s="466">
        <v>2</v>
      </c>
      <c r="AF25" s="466">
        <f t="shared" si="0"/>
        <v>15</v>
      </c>
      <c r="AH25" s="226" t="s">
        <v>193</v>
      </c>
      <c r="AI25" s="466">
        <v>10</v>
      </c>
      <c r="AJ25" s="466">
        <v>8</v>
      </c>
      <c r="AK25" s="466">
        <v>2.4</v>
      </c>
      <c r="AL25" s="466">
        <f t="shared" si="1"/>
        <v>20.399999999999999</v>
      </c>
      <c r="AO25" s="226" t="s">
        <v>193</v>
      </c>
      <c r="AP25" s="229">
        <v>15</v>
      </c>
      <c r="AQ25" s="274">
        <v>7.05</v>
      </c>
      <c r="AR25" s="466">
        <v>700</v>
      </c>
      <c r="AS25" s="466">
        <v>75</v>
      </c>
      <c r="AT25" s="274">
        <v>5.79</v>
      </c>
      <c r="AV25" s="226" t="s">
        <v>193</v>
      </c>
      <c r="AW25" s="229">
        <v>20.399999999999999</v>
      </c>
      <c r="AX25" s="274">
        <v>7.14</v>
      </c>
      <c r="AY25" s="466">
        <v>700</v>
      </c>
      <c r="AZ25" s="466">
        <v>79</v>
      </c>
      <c r="BA25" s="274">
        <v>6.22</v>
      </c>
    </row>
    <row r="26" spans="1:53" ht="16.75" customHeight="1">
      <c r="A26" s="97" t="s">
        <v>59</v>
      </c>
      <c r="B26" s="811">
        <v>4285</v>
      </c>
      <c r="C26" s="813"/>
      <c r="D26" s="814"/>
      <c r="E26" s="815">
        <v>146</v>
      </c>
      <c r="F26" s="816"/>
      <c r="G26" s="801">
        <v>3898</v>
      </c>
      <c r="H26" s="803">
        <f>B26+C26+C27-E26-E28</f>
        <v>4025</v>
      </c>
      <c r="I26" s="803">
        <f>G26-H26</f>
        <v>-127</v>
      </c>
      <c r="J26" s="384"/>
      <c r="K26" s="384"/>
      <c r="L26" s="384"/>
      <c r="M26" s="50"/>
      <c r="N26" s="60"/>
      <c r="Q26" s="378"/>
      <c r="R26" s="129"/>
      <c r="S26" s="129"/>
      <c r="T26" s="92"/>
      <c r="U26" s="92"/>
      <c r="X26" s="294"/>
      <c r="Y26" s="51"/>
      <c r="AB26" s="226" t="s">
        <v>194</v>
      </c>
      <c r="AC26" s="466">
        <v>10</v>
      </c>
      <c r="AD26" s="466">
        <v>3.7</v>
      </c>
      <c r="AE26" s="466">
        <v>2</v>
      </c>
      <c r="AF26" s="466">
        <f t="shared" si="0"/>
        <v>15.7</v>
      </c>
      <c r="AH26" s="226" t="s">
        <v>194</v>
      </c>
      <c r="AI26" s="466">
        <v>10</v>
      </c>
      <c r="AJ26" s="466">
        <v>7.5</v>
      </c>
      <c r="AK26" s="466">
        <v>6</v>
      </c>
      <c r="AL26" s="466">
        <f t="shared" si="1"/>
        <v>23.5</v>
      </c>
      <c r="AO26" s="226" t="s">
        <v>194</v>
      </c>
      <c r="AP26" s="229">
        <v>15.7</v>
      </c>
      <c r="AQ26" s="274">
        <v>6.56</v>
      </c>
      <c r="AR26" s="466">
        <v>700</v>
      </c>
      <c r="AS26" s="466">
        <v>77</v>
      </c>
      <c r="AT26" s="274">
        <v>5.58</v>
      </c>
      <c r="AV26" s="226" t="s">
        <v>194</v>
      </c>
      <c r="AW26" s="229">
        <v>23.5</v>
      </c>
      <c r="AX26" s="274">
        <v>7.1</v>
      </c>
      <c r="AY26" s="466">
        <v>700</v>
      </c>
      <c r="AZ26" s="466">
        <v>79</v>
      </c>
      <c r="BA26" s="274">
        <v>6.02</v>
      </c>
    </row>
    <row r="27" spans="1:53" ht="16.75" customHeight="1">
      <c r="A27" s="174" t="s">
        <v>60</v>
      </c>
      <c r="B27" s="812"/>
      <c r="C27" s="819"/>
      <c r="D27" s="820"/>
      <c r="E27" s="817"/>
      <c r="F27" s="818"/>
      <c r="G27" s="802"/>
      <c r="H27" s="804"/>
      <c r="I27" s="804"/>
      <c r="J27" s="384"/>
      <c r="K27" s="406"/>
      <c r="L27" s="384"/>
      <c r="M27" s="50"/>
      <c r="Q27" s="92"/>
      <c r="R27" s="130"/>
      <c r="S27" s="35"/>
      <c r="T27" s="92"/>
      <c r="U27" s="92"/>
      <c r="V27" s="92"/>
      <c r="X27" s="291"/>
      <c r="AB27" s="227" t="s">
        <v>88</v>
      </c>
      <c r="AC27" s="466">
        <v>24</v>
      </c>
      <c r="AD27" s="466">
        <v>0</v>
      </c>
      <c r="AE27" s="466">
        <v>0</v>
      </c>
      <c r="AF27" s="466">
        <f t="shared" si="0"/>
        <v>24</v>
      </c>
      <c r="AH27" s="229" t="s">
        <v>88</v>
      </c>
      <c r="AI27" s="466">
        <v>10</v>
      </c>
      <c r="AJ27" s="466">
        <v>8</v>
      </c>
      <c r="AK27" s="466">
        <v>6</v>
      </c>
      <c r="AL27" s="466">
        <f t="shared" si="1"/>
        <v>24</v>
      </c>
      <c r="AO27" s="227" t="s">
        <v>88</v>
      </c>
      <c r="AP27" s="229">
        <v>24</v>
      </c>
      <c r="AQ27" s="274">
        <v>6.4</v>
      </c>
      <c r="AR27" s="466">
        <v>450</v>
      </c>
      <c r="AS27" s="466">
        <v>77</v>
      </c>
      <c r="AT27" s="274">
        <v>5.9</v>
      </c>
      <c r="AV27" s="229" t="s">
        <v>88</v>
      </c>
      <c r="AW27" s="229">
        <v>24</v>
      </c>
      <c r="AX27" s="274">
        <v>7.03</v>
      </c>
      <c r="AY27" s="466">
        <v>600</v>
      </c>
      <c r="AZ27" s="466">
        <v>78</v>
      </c>
      <c r="BA27" s="274">
        <v>6</v>
      </c>
    </row>
    <row r="28" spans="1:53" ht="16.75" customHeight="1">
      <c r="A28" s="175" t="s">
        <v>43</v>
      </c>
      <c r="B28" s="812"/>
      <c r="C28" s="807"/>
      <c r="D28" s="808"/>
      <c r="E28" s="809">
        <v>114</v>
      </c>
      <c r="F28" s="810"/>
      <c r="G28" s="802"/>
      <c r="H28" s="804"/>
      <c r="I28" s="804"/>
      <c r="J28" s="14"/>
      <c r="K28" s="14"/>
      <c r="L28" s="14"/>
      <c r="M28" s="14"/>
      <c r="O28" s="188"/>
      <c r="P28" s="358"/>
      <c r="Q28" s="92"/>
      <c r="R28" s="132"/>
      <c r="S28" s="294"/>
      <c r="T28" s="92"/>
      <c r="U28" s="92"/>
      <c r="V28" s="387"/>
      <c r="AB28" s="226" t="s">
        <v>195</v>
      </c>
      <c r="AC28" s="466">
        <v>0</v>
      </c>
      <c r="AD28" s="466">
        <v>0</v>
      </c>
      <c r="AE28" s="466">
        <v>0</v>
      </c>
      <c r="AF28" s="466">
        <f t="shared" si="0"/>
        <v>0</v>
      </c>
      <c r="AH28" s="227" t="s">
        <v>89</v>
      </c>
      <c r="AI28" s="466">
        <v>24</v>
      </c>
      <c r="AJ28" s="466">
        <v>0</v>
      </c>
      <c r="AK28" s="466">
        <v>0</v>
      </c>
      <c r="AL28" s="466">
        <f t="shared" si="1"/>
        <v>24</v>
      </c>
      <c r="AO28" s="226" t="s">
        <v>202</v>
      </c>
      <c r="AP28" s="229">
        <v>6.8</v>
      </c>
      <c r="AQ28" s="274">
        <v>4.8</v>
      </c>
      <c r="AR28" s="466">
        <v>250</v>
      </c>
      <c r="AS28" s="466">
        <v>83</v>
      </c>
      <c r="AT28" s="274">
        <v>12.2</v>
      </c>
      <c r="AV28" s="227" t="s">
        <v>89</v>
      </c>
      <c r="AW28" s="229">
        <v>24</v>
      </c>
      <c r="AX28" s="274">
        <v>7.02</v>
      </c>
      <c r="AY28" s="466">
        <v>700</v>
      </c>
      <c r="AZ28" s="466">
        <v>77</v>
      </c>
      <c r="BA28" s="274">
        <v>6.44</v>
      </c>
    </row>
    <row r="29" spans="1:53" ht="16.75" customHeight="1">
      <c r="A29" s="172" t="s">
        <v>141</v>
      </c>
      <c r="B29" s="811">
        <v>8607</v>
      </c>
      <c r="C29" s="829"/>
      <c r="D29" s="830"/>
      <c r="E29" s="815">
        <v>88</v>
      </c>
      <c r="F29" s="816"/>
      <c r="G29" s="801">
        <v>8115</v>
      </c>
      <c r="H29" s="803">
        <f>B29+C29+C30-E29-E31</f>
        <v>8519</v>
      </c>
      <c r="I29" s="803">
        <f>G29-H29</f>
        <v>-404</v>
      </c>
      <c r="J29" s="14"/>
      <c r="K29" s="327"/>
      <c r="M29" s="14"/>
      <c r="O29" s="188"/>
      <c r="P29" s="358"/>
      <c r="Q29" s="92"/>
      <c r="R29" s="35"/>
      <c r="S29" s="284"/>
      <c r="T29" s="92"/>
      <c r="U29" s="92"/>
      <c r="V29" s="92"/>
      <c r="W29" s="381"/>
      <c r="AB29" s="226" t="s">
        <v>196</v>
      </c>
      <c r="AC29" s="466">
        <v>0</v>
      </c>
      <c r="AD29" s="466">
        <v>0</v>
      </c>
      <c r="AE29" s="466">
        <v>0</v>
      </c>
      <c r="AF29" s="466">
        <f t="shared" si="0"/>
        <v>0</v>
      </c>
      <c r="AH29" s="229" t="s">
        <v>90</v>
      </c>
      <c r="AI29" s="466">
        <v>10</v>
      </c>
      <c r="AJ29" s="466">
        <v>8</v>
      </c>
      <c r="AK29" s="466">
        <v>6</v>
      </c>
      <c r="AL29" s="466">
        <f t="shared" si="1"/>
        <v>24</v>
      </c>
      <c r="AO29" s="226" t="s">
        <v>203</v>
      </c>
      <c r="AP29" s="229">
        <v>14.8</v>
      </c>
      <c r="AQ29" s="274">
        <v>5.09</v>
      </c>
      <c r="AR29" s="466">
        <v>70</v>
      </c>
      <c r="AS29" s="466">
        <v>90</v>
      </c>
      <c r="AT29" s="274">
        <v>5.39</v>
      </c>
      <c r="AV29" s="229" t="s">
        <v>90</v>
      </c>
      <c r="AW29" s="229">
        <v>24</v>
      </c>
      <c r="AX29" s="274">
        <v>6.94</v>
      </c>
      <c r="AY29" s="466">
        <v>700</v>
      </c>
      <c r="AZ29" s="466">
        <v>77</v>
      </c>
      <c r="BA29" s="274">
        <v>5.98</v>
      </c>
    </row>
    <row r="30" spans="1:53" ht="16.75" customHeight="1">
      <c r="A30" s="173" t="s">
        <v>142</v>
      </c>
      <c r="B30" s="812"/>
      <c r="C30" s="805"/>
      <c r="D30" s="806"/>
      <c r="E30" s="831"/>
      <c r="F30" s="832"/>
      <c r="G30" s="802"/>
      <c r="H30" s="804"/>
      <c r="I30" s="804"/>
      <c r="J30" s="14"/>
      <c r="K30" s="392"/>
      <c r="L30" s="14"/>
      <c r="M30" s="14"/>
      <c r="O30" s="188"/>
      <c r="P30" s="358"/>
      <c r="Q30" s="92"/>
      <c r="R30" s="35"/>
      <c r="T30" s="219"/>
      <c r="U30" s="386"/>
      <c r="V30" s="219"/>
      <c r="AB30" s="226" t="s">
        <v>197</v>
      </c>
      <c r="AC30" s="466">
        <v>0</v>
      </c>
      <c r="AD30" s="466">
        <v>0</v>
      </c>
      <c r="AE30" s="466">
        <v>0</v>
      </c>
      <c r="AF30" s="466">
        <f t="shared" si="0"/>
        <v>0</v>
      </c>
      <c r="AH30" s="229" t="s">
        <v>92</v>
      </c>
      <c r="AI30" s="466">
        <v>8.9</v>
      </c>
      <c r="AJ30" s="466">
        <v>1</v>
      </c>
      <c r="AK30" s="466">
        <v>3.7</v>
      </c>
      <c r="AL30" s="466">
        <f t="shared" si="1"/>
        <v>13.600000000000001</v>
      </c>
      <c r="AO30" s="226" t="s">
        <v>204</v>
      </c>
      <c r="AP30" s="229">
        <v>16.7</v>
      </c>
      <c r="AQ30" s="274">
        <v>5.33</v>
      </c>
      <c r="AR30" s="466">
        <v>80</v>
      </c>
      <c r="AS30" s="466">
        <v>89</v>
      </c>
      <c r="AT30" s="274">
        <v>5.62</v>
      </c>
      <c r="AV30" s="229" t="s">
        <v>92</v>
      </c>
      <c r="AW30" s="229">
        <v>13.600000000000001</v>
      </c>
      <c r="AX30" s="274">
        <v>7.01</v>
      </c>
      <c r="AY30" s="466">
        <v>700</v>
      </c>
      <c r="AZ30" s="466">
        <v>77</v>
      </c>
      <c r="BA30" s="274">
        <v>6.43</v>
      </c>
    </row>
    <row r="31" spans="1:53" ht="16.75" customHeight="1">
      <c r="A31" s="176" t="s">
        <v>143</v>
      </c>
      <c r="B31" s="784"/>
      <c r="C31" s="807"/>
      <c r="D31" s="808"/>
      <c r="E31" s="809"/>
      <c r="F31" s="810"/>
      <c r="G31" s="792"/>
      <c r="H31" s="794"/>
      <c r="I31" s="804"/>
      <c r="J31" s="242"/>
      <c r="K31" s="17"/>
      <c r="L31" s="17"/>
      <c r="M31" s="242"/>
      <c r="O31" s="92"/>
      <c r="P31" s="211"/>
      <c r="Q31" s="92"/>
      <c r="R31" s="366"/>
      <c r="T31" s="219"/>
      <c r="V31" s="297"/>
      <c r="AB31" s="226" t="s">
        <v>198</v>
      </c>
      <c r="AC31" s="466">
        <v>0</v>
      </c>
      <c r="AD31" s="466">
        <v>0</v>
      </c>
      <c r="AE31" s="466">
        <v>0</v>
      </c>
      <c r="AF31" s="466">
        <f t="shared" si="0"/>
        <v>0</v>
      </c>
      <c r="AH31" s="229" t="s">
        <v>93</v>
      </c>
      <c r="AI31" s="466">
        <v>10</v>
      </c>
      <c r="AJ31" s="466">
        <v>8</v>
      </c>
      <c r="AK31" s="466">
        <v>6</v>
      </c>
      <c r="AL31" s="466">
        <f t="shared" si="1"/>
        <v>24</v>
      </c>
      <c r="AO31" s="226" t="s">
        <v>205</v>
      </c>
      <c r="AP31" s="229">
        <v>16.3</v>
      </c>
      <c r="AQ31" s="274">
        <v>5.8</v>
      </c>
      <c r="AR31" s="466">
        <v>70</v>
      </c>
      <c r="AS31" s="466">
        <v>81</v>
      </c>
      <c r="AT31" s="274">
        <v>5.84</v>
      </c>
      <c r="AV31" s="229" t="s">
        <v>93</v>
      </c>
      <c r="AW31" s="229">
        <v>24</v>
      </c>
      <c r="AX31" s="274">
        <v>6.85</v>
      </c>
      <c r="AY31" s="466">
        <v>700</v>
      </c>
      <c r="AZ31" s="466">
        <v>77</v>
      </c>
      <c r="BA31" s="274">
        <v>6.02</v>
      </c>
    </row>
    <row r="32" spans="1:53" ht="16.75" customHeight="1" thickBot="1">
      <c r="A32" s="53" t="s">
        <v>28</v>
      </c>
      <c r="B32" s="78">
        <f>SUM(B24:B31)</f>
        <v>17080</v>
      </c>
      <c r="C32" s="821">
        <f>SUM(C24:D31)</f>
        <v>1257</v>
      </c>
      <c r="D32" s="822"/>
      <c r="E32" s="821">
        <f>SUM(E24:F31)</f>
        <v>2202</v>
      </c>
      <c r="F32" s="822"/>
      <c r="G32" s="468">
        <f>G24+G26+G29</f>
        <v>15718</v>
      </c>
      <c r="H32" s="468">
        <f>H24+H26+H29</f>
        <v>16135</v>
      </c>
      <c r="I32" s="468">
        <f>I24+I26+I29</f>
        <v>-417</v>
      </c>
      <c r="J32" s="327">
        <f>E32-E28</f>
        <v>2088</v>
      </c>
      <c r="K32" s="14"/>
      <c r="L32" s="14"/>
      <c r="M32" s="14"/>
      <c r="N32" s="140"/>
      <c r="O32" s="261"/>
      <c r="P32" s="261"/>
      <c r="T32" s="219"/>
      <c r="U32" s="219"/>
      <c r="AB32" s="226" t="s">
        <v>199</v>
      </c>
      <c r="AC32" s="466">
        <v>0</v>
      </c>
      <c r="AD32" s="466">
        <v>0</v>
      </c>
      <c r="AE32" s="466">
        <v>0</v>
      </c>
      <c r="AF32" s="466">
        <f t="shared" si="0"/>
        <v>0</v>
      </c>
      <c r="AH32" s="229" t="s">
        <v>94</v>
      </c>
      <c r="AI32" s="466">
        <v>10</v>
      </c>
      <c r="AJ32" s="466">
        <v>1.5</v>
      </c>
      <c r="AK32" s="466">
        <v>0</v>
      </c>
      <c r="AL32" s="466">
        <f t="shared" si="1"/>
        <v>11.5</v>
      </c>
      <c r="AO32" s="226" t="s">
        <v>206</v>
      </c>
      <c r="AP32" s="229">
        <v>10.8</v>
      </c>
      <c r="AQ32" s="274">
        <v>5.39</v>
      </c>
      <c r="AR32" s="466">
        <v>280</v>
      </c>
      <c r="AS32" s="466">
        <v>82</v>
      </c>
      <c r="AT32" s="274">
        <v>5.34</v>
      </c>
      <c r="AV32" s="229" t="s">
        <v>94</v>
      </c>
      <c r="AW32" s="229">
        <v>11.5</v>
      </c>
      <c r="AX32" s="274">
        <v>6.93</v>
      </c>
      <c r="AY32" s="466">
        <v>700</v>
      </c>
      <c r="AZ32" s="466">
        <v>76</v>
      </c>
      <c r="BA32" s="274">
        <v>6.17</v>
      </c>
    </row>
    <row r="33" spans="1:53" ht="16.75" customHeight="1" thickBot="1">
      <c r="A33" s="177" t="s">
        <v>44</v>
      </c>
      <c r="B33" s="178">
        <v>809</v>
      </c>
      <c r="C33" s="823">
        <f>E28+E34</f>
        <v>230</v>
      </c>
      <c r="D33" s="824"/>
      <c r="E33" s="823">
        <v>208</v>
      </c>
      <c r="F33" s="824"/>
      <c r="G33" s="183">
        <f>423+409</f>
        <v>832</v>
      </c>
      <c r="H33" s="183">
        <f>B33+C33-E33</f>
        <v>831</v>
      </c>
      <c r="I33" s="183">
        <f>G33-H33</f>
        <v>1</v>
      </c>
      <c r="J33" s="94">
        <v>843</v>
      </c>
      <c r="K33" s="436" t="s">
        <v>460</v>
      </c>
      <c r="L33" s="94"/>
      <c r="M33" s="94"/>
      <c r="P33" s="107"/>
      <c r="Q33" s="22"/>
      <c r="R33" s="22"/>
      <c r="S33" s="22"/>
      <c r="X33" s="222" t="s">
        <v>187</v>
      </c>
      <c r="AB33" s="226" t="s">
        <v>200</v>
      </c>
      <c r="AC33" s="466">
        <v>0</v>
      </c>
      <c r="AD33" s="466">
        <v>0</v>
      </c>
      <c r="AE33" s="466">
        <v>0</v>
      </c>
      <c r="AF33" s="466">
        <f t="shared" si="0"/>
        <v>0</v>
      </c>
      <c r="AH33" s="229" t="s">
        <v>95</v>
      </c>
      <c r="AI33" s="466">
        <v>10</v>
      </c>
      <c r="AJ33" s="466">
        <v>5.6</v>
      </c>
      <c r="AK33" s="466">
        <v>4</v>
      </c>
      <c r="AL33" s="466">
        <f t="shared" si="1"/>
        <v>19.600000000000001</v>
      </c>
      <c r="AO33" s="227" t="s">
        <v>103</v>
      </c>
      <c r="AP33" s="229">
        <v>24</v>
      </c>
      <c r="AQ33" s="274">
        <v>6.67</v>
      </c>
      <c r="AR33" s="466">
        <v>100</v>
      </c>
      <c r="AS33" s="466">
        <v>80</v>
      </c>
      <c r="AT33" s="274">
        <v>5.75</v>
      </c>
      <c r="AV33" s="229" t="s">
        <v>95</v>
      </c>
      <c r="AW33" s="229">
        <v>19.600000000000001</v>
      </c>
      <c r="AX33" s="274">
        <v>6.96</v>
      </c>
      <c r="AY33" s="466">
        <v>700</v>
      </c>
      <c r="AZ33" s="466">
        <v>76</v>
      </c>
      <c r="BA33" s="274">
        <v>6.1</v>
      </c>
    </row>
    <row r="34" spans="1:53" ht="16.75" customHeight="1">
      <c r="A34" s="179" t="s">
        <v>29</v>
      </c>
      <c r="B34" s="180">
        <v>3449</v>
      </c>
      <c r="C34" s="825"/>
      <c r="D34" s="826"/>
      <c r="E34" s="827">
        <v>116</v>
      </c>
      <c r="F34" s="828"/>
      <c r="G34" s="181">
        <v>3218</v>
      </c>
      <c r="H34" s="182">
        <f>B34+C34-E34</f>
        <v>3333</v>
      </c>
      <c r="I34" s="182">
        <f>G34-H34</f>
        <v>-115</v>
      </c>
      <c r="J34" s="52"/>
      <c r="K34" s="52"/>
      <c r="L34" s="71" t="s">
        <v>41</v>
      </c>
      <c r="M34" s="7"/>
      <c r="N34" s="93"/>
      <c r="O34" s="93"/>
      <c r="P34" s="93"/>
      <c r="Q34" s="443" t="s">
        <v>461</v>
      </c>
      <c r="X34" s="227" t="s">
        <v>96</v>
      </c>
      <c r="Y34" s="466">
        <v>0</v>
      </c>
      <c r="Z34" s="466">
        <v>0</v>
      </c>
      <c r="AA34" s="466">
        <v>0</v>
      </c>
      <c r="AB34" s="466">
        <f>SUM(Y34:AA34)</f>
        <v>0</v>
      </c>
      <c r="AD34" s="229" t="s">
        <v>96</v>
      </c>
      <c r="AE34" s="466">
        <v>10</v>
      </c>
      <c r="AF34" s="466">
        <v>8</v>
      </c>
      <c r="AG34" s="466">
        <v>6</v>
      </c>
      <c r="AH34" s="466">
        <f>SUM(AE34:AG34)</f>
        <v>24</v>
      </c>
      <c r="AK34" s="226" t="s">
        <v>207</v>
      </c>
      <c r="AL34" s="229">
        <v>10.3</v>
      </c>
      <c r="AM34" s="274">
        <v>6.43</v>
      </c>
      <c r="AN34" s="466">
        <v>350</v>
      </c>
      <c r="AO34" s="466">
        <v>79</v>
      </c>
      <c r="AP34" s="274">
        <v>5.8</v>
      </c>
      <c r="AR34" s="229" t="s">
        <v>96</v>
      </c>
      <c r="AS34" s="229">
        <v>24</v>
      </c>
      <c r="AT34" s="274">
        <v>7.08</v>
      </c>
      <c r="AU34" s="466">
        <v>700</v>
      </c>
      <c r="AV34" s="466">
        <v>76</v>
      </c>
      <c r="AW34" s="274">
        <v>6.08</v>
      </c>
    </row>
    <row r="35" spans="1:53">
      <c r="A35" s="30" t="s">
        <v>45</v>
      </c>
      <c r="C35" s="313" t="s">
        <v>285</v>
      </c>
      <c r="D35" s="46">
        <f>9847+862+230</f>
        <v>10939</v>
      </c>
      <c r="E35" s="79" t="s">
        <v>47</v>
      </c>
      <c r="F35" s="80" t="s">
        <v>46</v>
      </c>
      <c r="G35" s="55">
        <f>22842+D35</f>
        <v>33781</v>
      </c>
      <c r="H35" s="79" t="s">
        <v>47</v>
      </c>
      <c r="I35" s="79"/>
      <c r="J35" s="220"/>
      <c r="K35" s="220"/>
      <c r="L35" s="10"/>
      <c r="M35" s="10" t="s">
        <v>148</v>
      </c>
      <c r="N35" s="10" t="s">
        <v>32</v>
      </c>
      <c r="O35" s="10" t="s">
        <v>61</v>
      </c>
      <c r="P35" s="155" t="s">
        <v>67</v>
      </c>
      <c r="Q35" s="10" t="s">
        <v>315</v>
      </c>
      <c r="R35" s="54" t="s">
        <v>30</v>
      </c>
      <c r="S35" s="54" t="s">
        <v>33</v>
      </c>
      <c r="T35" s="112"/>
      <c r="U35" s="68"/>
      <c r="V35" s="68"/>
      <c r="X35" s="226" t="s">
        <v>201</v>
      </c>
      <c r="Y35" s="466">
        <v>0</v>
      </c>
      <c r="Z35" s="466">
        <v>0</v>
      </c>
      <c r="AA35" s="466">
        <v>0</v>
      </c>
      <c r="AB35" s="466">
        <f t="shared" si="0"/>
        <v>0</v>
      </c>
      <c r="AD35" s="227" t="s">
        <v>97</v>
      </c>
      <c r="AE35" s="466">
        <v>23</v>
      </c>
      <c r="AF35" s="466">
        <v>0</v>
      </c>
      <c r="AG35" s="466">
        <v>0</v>
      </c>
      <c r="AH35" s="466">
        <f t="shared" ref="AH35:AH46" si="2">SUM(AE35:AG35)</f>
        <v>23</v>
      </c>
      <c r="AK35" s="226" t="s">
        <v>208</v>
      </c>
      <c r="AL35" s="229">
        <v>10.5</v>
      </c>
      <c r="AM35" s="274">
        <v>6.45</v>
      </c>
      <c r="AN35" s="466">
        <v>200</v>
      </c>
      <c r="AO35" s="466">
        <v>77</v>
      </c>
      <c r="AP35" s="274">
        <v>5.74</v>
      </c>
      <c r="AR35" s="227" t="s">
        <v>97</v>
      </c>
      <c r="AS35" s="229">
        <v>23</v>
      </c>
      <c r="AT35" s="274">
        <v>7.09</v>
      </c>
      <c r="AU35" s="466">
        <v>700</v>
      </c>
      <c r="AV35" s="466">
        <v>77</v>
      </c>
      <c r="AW35" s="274">
        <v>6.25</v>
      </c>
    </row>
    <row r="36" spans="1:53">
      <c r="A36" s="30" t="s">
        <v>48</v>
      </c>
      <c r="C36" s="313" t="s">
        <v>285</v>
      </c>
      <c r="D36" s="46">
        <f>4858+517+116</f>
        <v>5491</v>
      </c>
      <c r="E36" s="79" t="s">
        <v>47</v>
      </c>
      <c r="F36" s="80" t="s">
        <v>46</v>
      </c>
      <c r="G36" s="55">
        <f>11915+D36</f>
        <v>17406</v>
      </c>
      <c r="H36" s="79" t="s">
        <v>47</v>
      </c>
      <c r="I36" s="79"/>
      <c r="J36" s="355"/>
      <c r="K36" s="188"/>
      <c r="L36" s="100" t="s">
        <v>453</v>
      </c>
      <c r="M36" s="11"/>
      <c r="N36" s="67">
        <v>1311</v>
      </c>
      <c r="O36" s="76">
        <v>51</v>
      </c>
      <c r="P36" s="76">
        <f t="shared" ref="P36:P66" si="3">N36-O36</f>
        <v>1260</v>
      </c>
      <c r="Q36" s="10">
        <f t="shared" ref="Q36:Q46" si="4">P36*(1-S36)*1.057</f>
        <v>1331.82</v>
      </c>
      <c r="R36" s="54">
        <f t="shared" ref="R36:R67" si="5">P36*S36*1.2</f>
        <v>0</v>
      </c>
      <c r="S36" s="103"/>
      <c r="T36" s="36">
        <v>0.02</v>
      </c>
      <c r="U36" s="46" t="e">
        <f t="shared" ref="U36:U44" si="6">Q36/$V$68</f>
        <v>#DIV/0!</v>
      </c>
      <c r="X36" s="226" t="s">
        <v>202</v>
      </c>
      <c r="Y36" s="466">
        <v>5.8</v>
      </c>
      <c r="Z36" s="466">
        <v>0</v>
      </c>
      <c r="AA36" s="466">
        <v>1</v>
      </c>
      <c r="AB36" s="466">
        <f t="shared" si="0"/>
        <v>6.8</v>
      </c>
      <c r="AD36" s="229" t="s">
        <v>98</v>
      </c>
      <c r="AE36" s="466">
        <v>0</v>
      </c>
      <c r="AF36" s="466">
        <v>0</v>
      </c>
      <c r="AG36" s="466">
        <v>0</v>
      </c>
      <c r="AH36" s="466">
        <f t="shared" si="2"/>
        <v>0</v>
      </c>
      <c r="AK36" s="226" t="s">
        <v>209</v>
      </c>
      <c r="AL36" s="229">
        <v>9.1</v>
      </c>
      <c r="AM36" s="274">
        <v>6.62</v>
      </c>
      <c r="AN36" s="466">
        <v>700</v>
      </c>
      <c r="AO36" s="466">
        <v>74</v>
      </c>
      <c r="AP36" s="274">
        <v>5.92</v>
      </c>
      <c r="AR36" s="229" t="s">
        <v>101</v>
      </c>
      <c r="AS36" s="229">
        <v>23.5</v>
      </c>
      <c r="AT36" s="274">
        <v>6.09</v>
      </c>
      <c r="AU36" s="466">
        <v>400</v>
      </c>
      <c r="AV36" s="466">
        <v>85</v>
      </c>
      <c r="AW36" s="274">
        <v>5.65</v>
      </c>
    </row>
    <row r="37" spans="1:53" ht="15.65" customHeight="1">
      <c r="A37" s="30"/>
      <c r="B37" s="15"/>
      <c r="C37" s="99"/>
      <c r="D37" s="452"/>
      <c r="E37" s="452"/>
      <c r="F37" s="452"/>
      <c r="G37" s="452"/>
      <c r="H37" s="79"/>
      <c r="I37" s="79"/>
      <c r="J37" s="188"/>
      <c r="K37" s="188"/>
      <c r="L37" s="100" t="s">
        <v>454</v>
      </c>
      <c r="M37" s="11"/>
      <c r="N37" s="67">
        <v>1344.6</v>
      </c>
      <c r="O37" s="76">
        <v>72</v>
      </c>
      <c r="P37" s="76">
        <f t="shared" si="3"/>
        <v>1272.5999999999999</v>
      </c>
      <c r="Q37" s="10">
        <f t="shared" si="4"/>
        <v>1345.1381999999999</v>
      </c>
      <c r="R37" s="54">
        <f t="shared" si="5"/>
        <v>0</v>
      </c>
      <c r="S37" s="103"/>
      <c r="T37" s="36">
        <f t="shared" ref="T37:T43" si="7">R37*0.6</f>
        <v>0</v>
      </c>
      <c r="U37" s="46" t="e">
        <f t="shared" si="6"/>
        <v>#DIV/0!</v>
      </c>
      <c r="X37" s="226" t="s">
        <v>203</v>
      </c>
      <c r="Y37" s="466">
        <v>10</v>
      </c>
      <c r="Z37" s="466">
        <v>2.8</v>
      </c>
      <c r="AA37" s="466">
        <v>2</v>
      </c>
      <c r="AB37" s="466">
        <f t="shared" si="0"/>
        <v>14.8</v>
      </c>
      <c r="AD37" s="229" t="s">
        <v>99</v>
      </c>
      <c r="AE37" s="466">
        <v>0</v>
      </c>
      <c r="AF37" s="466">
        <v>0</v>
      </c>
      <c r="AG37" s="466">
        <v>0</v>
      </c>
      <c r="AH37" s="466">
        <f t="shared" si="2"/>
        <v>0</v>
      </c>
      <c r="AK37" s="226" t="s">
        <v>210</v>
      </c>
      <c r="AL37" s="229">
        <v>10.1</v>
      </c>
      <c r="AM37" s="274">
        <v>6.84</v>
      </c>
      <c r="AN37" s="466">
        <v>650</v>
      </c>
      <c r="AO37" s="466">
        <v>72</v>
      </c>
      <c r="AP37" s="274">
        <v>5.84</v>
      </c>
      <c r="AR37" s="229" t="s">
        <v>102</v>
      </c>
      <c r="AS37" s="229">
        <v>20.3</v>
      </c>
      <c r="AT37" s="274">
        <v>5.86</v>
      </c>
      <c r="AU37" s="466">
        <v>400</v>
      </c>
      <c r="AV37" s="466">
        <v>83</v>
      </c>
      <c r="AW37" s="274">
        <v>5.91</v>
      </c>
    </row>
    <row r="38" spans="1:53">
      <c r="A38" s="31" t="s">
        <v>50</v>
      </c>
      <c r="J38" s="34"/>
      <c r="K38" s="34"/>
      <c r="L38" s="100" t="s">
        <v>422</v>
      </c>
      <c r="M38" s="11"/>
      <c r="N38" s="67">
        <v>1328</v>
      </c>
      <c r="O38" s="76">
        <v>53</v>
      </c>
      <c r="P38" s="76">
        <f t="shared" si="3"/>
        <v>1275</v>
      </c>
      <c r="Q38" s="10">
        <f t="shared" si="4"/>
        <v>1347.675</v>
      </c>
      <c r="R38" s="54">
        <f t="shared" si="5"/>
        <v>0</v>
      </c>
      <c r="S38" s="103"/>
      <c r="T38" s="36">
        <f t="shared" si="7"/>
        <v>0</v>
      </c>
      <c r="U38" s="46" t="e">
        <f t="shared" si="6"/>
        <v>#DIV/0!</v>
      </c>
      <c r="X38" s="226" t="s">
        <v>204</v>
      </c>
      <c r="Y38" s="466">
        <v>10</v>
      </c>
      <c r="Z38" s="466">
        <v>4.7</v>
      </c>
      <c r="AA38" s="466">
        <v>2</v>
      </c>
      <c r="AB38" s="466">
        <f t="shared" si="0"/>
        <v>16.7</v>
      </c>
      <c r="AD38" s="229" t="s">
        <v>100</v>
      </c>
      <c r="AE38" s="466">
        <v>0</v>
      </c>
      <c r="AF38" s="466">
        <v>0</v>
      </c>
      <c r="AG38" s="466">
        <v>0</v>
      </c>
      <c r="AH38" s="466">
        <f t="shared" si="2"/>
        <v>0</v>
      </c>
      <c r="AK38" s="226" t="s">
        <v>211</v>
      </c>
      <c r="AL38" s="229">
        <v>10.1</v>
      </c>
      <c r="AM38" s="274">
        <v>7.33</v>
      </c>
      <c r="AN38" s="466">
        <v>700</v>
      </c>
      <c r="AO38" s="466">
        <v>73</v>
      </c>
      <c r="AP38" s="274">
        <v>6.29</v>
      </c>
      <c r="AR38" s="229" t="s">
        <v>103</v>
      </c>
      <c r="AS38" s="229">
        <v>24</v>
      </c>
      <c r="AT38" s="274">
        <v>5.0999999999999996</v>
      </c>
      <c r="AU38" s="466">
        <v>350</v>
      </c>
      <c r="AV38" s="466">
        <v>82</v>
      </c>
      <c r="AW38" s="274">
        <v>5.66</v>
      </c>
    </row>
    <row r="39" spans="1:53" ht="15.05" customHeight="1">
      <c r="A39" s="842" t="s">
        <v>1</v>
      </c>
      <c r="B39" s="205" t="s">
        <v>168</v>
      </c>
      <c r="C39" s="842" t="s">
        <v>36</v>
      </c>
      <c r="D39" s="842"/>
      <c r="E39" s="842" t="s">
        <v>37</v>
      </c>
      <c r="F39" s="842"/>
      <c r="G39" s="842"/>
      <c r="H39" s="842"/>
      <c r="I39" s="887" t="s">
        <v>392</v>
      </c>
      <c r="J39" s="409"/>
      <c r="K39" s="238"/>
      <c r="L39" s="100" t="s">
        <v>423</v>
      </c>
      <c r="M39" s="11"/>
      <c r="N39" s="67">
        <v>1266</v>
      </c>
      <c r="O39" s="76">
        <v>48</v>
      </c>
      <c r="P39" s="76">
        <f t="shared" si="3"/>
        <v>1218</v>
      </c>
      <c r="Q39" s="10">
        <f>P39*(1-S39)*1.075</f>
        <v>1309.3499999999999</v>
      </c>
      <c r="R39" s="54">
        <f t="shared" si="5"/>
        <v>0</v>
      </c>
      <c r="S39" s="103"/>
      <c r="T39" s="36">
        <f t="shared" si="7"/>
        <v>0</v>
      </c>
      <c r="U39" s="46" t="e">
        <f t="shared" si="6"/>
        <v>#DIV/0!</v>
      </c>
      <c r="X39" s="226" t="s">
        <v>205</v>
      </c>
      <c r="Y39" s="466">
        <v>10</v>
      </c>
      <c r="Z39" s="466">
        <v>4.3</v>
      </c>
      <c r="AA39" s="466">
        <v>2</v>
      </c>
      <c r="AB39" s="466">
        <f t="shared" si="0"/>
        <v>16.3</v>
      </c>
      <c r="AD39" s="229" t="s">
        <v>101</v>
      </c>
      <c r="AE39" s="466">
        <v>9.5</v>
      </c>
      <c r="AF39" s="466">
        <v>8</v>
      </c>
      <c r="AG39" s="466">
        <v>6</v>
      </c>
      <c r="AH39" s="466">
        <f t="shared" si="2"/>
        <v>23.5</v>
      </c>
      <c r="AK39" s="226" t="s">
        <v>212</v>
      </c>
      <c r="AL39" s="229">
        <v>10.3</v>
      </c>
      <c r="AM39" s="274">
        <v>7.48</v>
      </c>
      <c r="AN39" s="466">
        <v>700</v>
      </c>
      <c r="AO39" s="466">
        <v>73</v>
      </c>
      <c r="AP39" s="274">
        <v>5.74</v>
      </c>
      <c r="AR39" s="227" t="s">
        <v>104</v>
      </c>
      <c r="AS39" s="229">
        <v>24</v>
      </c>
      <c r="AT39" s="274">
        <v>5.0999999999999996</v>
      </c>
      <c r="AU39" s="466">
        <v>300</v>
      </c>
      <c r="AV39" s="466">
        <v>84</v>
      </c>
      <c r="AW39" s="274">
        <v>5.72</v>
      </c>
    </row>
    <row r="40" spans="1:53" ht="15.05" customHeight="1">
      <c r="A40" s="842"/>
      <c r="B40" s="204" t="s">
        <v>35</v>
      </c>
      <c r="C40" s="897" t="s">
        <v>462</v>
      </c>
      <c r="D40" s="889"/>
      <c r="E40" s="471" t="s">
        <v>34</v>
      </c>
      <c r="F40" s="471" t="s">
        <v>38</v>
      </c>
      <c r="G40" s="842" t="s">
        <v>7</v>
      </c>
      <c r="H40" s="842"/>
      <c r="I40" s="888"/>
      <c r="J40" s="56"/>
      <c r="K40" s="56"/>
      <c r="L40" s="100" t="s">
        <v>424</v>
      </c>
      <c r="M40" s="11"/>
      <c r="N40" s="67">
        <v>1713</v>
      </c>
      <c r="O40" s="76">
        <v>66</v>
      </c>
      <c r="P40" s="76">
        <f t="shared" si="3"/>
        <v>1647</v>
      </c>
      <c r="Q40" s="10">
        <f t="shared" ref="Q40:Q42" si="8">P40*(1-S40)*1.075</f>
        <v>1770.5249999999999</v>
      </c>
      <c r="R40" s="54">
        <f t="shared" si="5"/>
        <v>0</v>
      </c>
      <c r="S40" s="103"/>
      <c r="T40" s="36">
        <f t="shared" si="7"/>
        <v>0</v>
      </c>
      <c r="U40" s="46" t="e">
        <f t="shared" si="6"/>
        <v>#DIV/0!</v>
      </c>
      <c r="V40" s="36"/>
      <c r="X40" s="226" t="s">
        <v>206</v>
      </c>
      <c r="Y40" s="466">
        <v>10</v>
      </c>
      <c r="Z40" s="466">
        <v>0.8</v>
      </c>
      <c r="AA40" s="466">
        <v>0</v>
      </c>
      <c r="AB40" s="466">
        <f t="shared" si="0"/>
        <v>10.8</v>
      </c>
      <c r="AD40" s="229" t="s">
        <v>102</v>
      </c>
      <c r="AE40" s="466">
        <v>10</v>
      </c>
      <c r="AF40" s="466">
        <v>6.3</v>
      </c>
      <c r="AG40" s="466">
        <v>4</v>
      </c>
      <c r="AH40" s="466">
        <f t="shared" si="2"/>
        <v>20.3</v>
      </c>
      <c r="AK40" s="227" t="s">
        <v>110</v>
      </c>
      <c r="AL40" s="229">
        <v>24</v>
      </c>
      <c r="AM40" s="274">
        <v>6.48</v>
      </c>
      <c r="AN40" s="466">
        <v>250</v>
      </c>
      <c r="AO40" s="466">
        <v>76</v>
      </c>
      <c r="AP40" s="274">
        <v>5.66</v>
      </c>
      <c r="AR40" s="226" t="s">
        <v>208</v>
      </c>
      <c r="AS40" s="229">
        <v>20.3</v>
      </c>
      <c r="AT40" s="274">
        <v>6.48</v>
      </c>
      <c r="AU40" s="466">
        <v>700</v>
      </c>
      <c r="AV40" s="466">
        <v>77</v>
      </c>
      <c r="AW40" s="274">
        <v>6.13</v>
      </c>
    </row>
    <row r="41" spans="1:53" ht="16.75" customHeight="1" thickBot="1">
      <c r="A41" s="372" t="s">
        <v>178</v>
      </c>
      <c r="B41" s="468">
        <v>27030</v>
      </c>
      <c r="C41" s="803">
        <f>839+726+779+746+808+857+167+760+886+807+214+104+1143+1402+1269+800+1109+1995+1285+1323+2002+1943+300+726+200+2013-240+1323</f>
        <v>26286</v>
      </c>
      <c r="D41" s="803"/>
      <c r="E41" s="468">
        <v>0</v>
      </c>
      <c r="F41" s="477">
        <f t="shared" ref="F41:F42" si="9">B41-C41-E41</f>
        <v>744</v>
      </c>
      <c r="G41" s="881">
        <f>SUM(E41:F41)</f>
        <v>744</v>
      </c>
      <c r="H41" s="882"/>
      <c r="I41" s="445" t="s">
        <v>416</v>
      </c>
      <c r="J41" s="57">
        <f>B41-C41-G41</f>
        <v>0</v>
      </c>
      <c r="K41" s="57"/>
      <c r="L41" s="100" t="s">
        <v>425</v>
      </c>
      <c r="M41" s="11"/>
      <c r="N41" s="67">
        <v>1720</v>
      </c>
      <c r="O41" s="76">
        <v>67</v>
      </c>
      <c r="P41" s="76">
        <f t="shared" si="3"/>
        <v>1653</v>
      </c>
      <c r="Q41" s="10">
        <f t="shared" si="8"/>
        <v>1776.9749999999999</v>
      </c>
      <c r="R41" s="54">
        <f t="shared" si="5"/>
        <v>0</v>
      </c>
      <c r="S41" s="103"/>
      <c r="T41" s="36">
        <f t="shared" si="7"/>
        <v>0</v>
      </c>
      <c r="U41" s="46" t="e">
        <f t="shared" si="6"/>
        <v>#DIV/0!</v>
      </c>
      <c r="V41" s="36"/>
      <c r="X41" s="227" t="s">
        <v>103</v>
      </c>
      <c r="Y41" s="466">
        <v>24</v>
      </c>
      <c r="Z41" s="466">
        <v>0</v>
      </c>
      <c r="AA41" s="466">
        <v>0</v>
      </c>
      <c r="AB41" s="466">
        <f t="shared" si="0"/>
        <v>24</v>
      </c>
      <c r="AD41" s="229" t="s">
        <v>103</v>
      </c>
      <c r="AE41" s="466">
        <v>10</v>
      </c>
      <c r="AF41" s="466">
        <v>8</v>
      </c>
      <c r="AG41" s="466">
        <v>6</v>
      </c>
      <c r="AH41" s="466">
        <f t="shared" si="2"/>
        <v>24</v>
      </c>
      <c r="AK41" s="226" t="s">
        <v>213</v>
      </c>
      <c r="AL41" s="229">
        <v>10.5</v>
      </c>
      <c r="AM41" s="274">
        <v>6.3</v>
      </c>
      <c r="AN41" s="466">
        <v>400</v>
      </c>
      <c r="AO41" s="466">
        <v>76</v>
      </c>
      <c r="AP41" s="274">
        <v>5.77</v>
      </c>
      <c r="AR41" s="226" t="s">
        <v>216</v>
      </c>
      <c r="AS41" s="229">
        <v>13.3</v>
      </c>
      <c r="AT41" s="274">
        <v>8.25</v>
      </c>
      <c r="AU41" s="466">
        <v>700</v>
      </c>
      <c r="AV41" s="466">
        <v>70</v>
      </c>
      <c r="AW41" s="274">
        <v>7.45</v>
      </c>
    </row>
    <row r="42" spans="1:53" ht="16.75" customHeight="1" thickTop="1">
      <c r="A42" s="449" t="s">
        <v>491</v>
      </c>
      <c r="B42" s="447">
        <v>6700</v>
      </c>
      <c r="C42" s="894">
        <v>240</v>
      </c>
      <c r="D42" s="895"/>
      <c r="E42" s="447">
        <v>6360</v>
      </c>
      <c r="F42" s="447">
        <f t="shared" si="9"/>
        <v>100</v>
      </c>
      <c r="G42" s="894">
        <f t="shared" ref="G42" si="10">SUM(E42:F42)</f>
        <v>6460</v>
      </c>
      <c r="H42" s="895"/>
      <c r="I42" s="450"/>
      <c r="J42" s="57">
        <f t="shared" ref="J42:J46" si="11">B42-C42-G42</f>
        <v>0</v>
      </c>
      <c r="K42" s="57"/>
      <c r="L42" s="100" t="s">
        <v>426</v>
      </c>
      <c r="M42" s="11"/>
      <c r="N42" s="67">
        <v>1207</v>
      </c>
      <c r="O42" s="76">
        <v>47</v>
      </c>
      <c r="P42" s="76">
        <f t="shared" si="3"/>
        <v>1160</v>
      </c>
      <c r="Q42" s="10">
        <f t="shared" si="8"/>
        <v>1247</v>
      </c>
      <c r="R42" s="54">
        <f t="shared" si="5"/>
        <v>0</v>
      </c>
      <c r="S42" s="103"/>
      <c r="T42" s="36">
        <f t="shared" si="7"/>
        <v>0</v>
      </c>
      <c r="U42" s="46" t="e">
        <f t="shared" si="6"/>
        <v>#DIV/0!</v>
      </c>
      <c r="V42" s="36"/>
      <c r="X42" s="226" t="s">
        <v>207</v>
      </c>
      <c r="Y42" s="466">
        <v>10</v>
      </c>
      <c r="Z42" s="466">
        <v>0.3</v>
      </c>
      <c r="AA42" s="466">
        <v>0</v>
      </c>
      <c r="AB42" s="466">
        <f t="shared" si="0"/>
        <v>10.3</v>
      </c>
      <c r="AD42" s="227" t="s">
        <v>104</v>
      </c>
      <c r="AE42" s="466">
        <v>24</v>
      </c>
      <c r="AF42" s="466">
        <v>0</v>
      </c>
      <c r="AG42" s="466">
        <v>0</v>
      </c>
      <c r="AH42" s="466">
        <f t="shared" si="2"/>
        <v>24</v>
      </c>
      <c r="AK42" s="226" t="s">
        <v>214</v>
      </c>
      <c r="AL42" s="229">
        <v>10.5</v>
      </c>
      <c r="AM42" s="274">
        <v>6.53</v>
      </c>
      <c r="AN42" s="466">
        <v>400</v>
      </c>
      <c r="AO42" s="466">
        <v>76</v>
      </c>
      <c r="AP42" s="274">
        <v>5.85</v>
      </c>
      <c r="AR42" s="270" t="s">
        <v>250</v>
      </c>
      <c r="AS42" s="269">
        <f>SUM(AW23:AW41)</f>
        <v>281.45000000000005</v>
      </c>
      <c r="AT42" s="271">
        <f>AVERAGE(AX23:AX41)</f>
        <v>7.0272727272727273</v>
      </c>
      <c r="AU42" s="268">
        <f>AVERAGE(AY23:AY41)</f>
        <v>686.36363636363637</v>
      </c>
      <c r="AV42" s="268">
        <f>AVERAGE(AZ23:AZ41)</f>
        <v>78</v>
      </c>
      <c r="AW42" s="269">
        <v>6.06</v>
      </c>
    </row>
    <row r="43" spans="1:53" ht="16.75" customHeight="1">
      <c r="A43" s="451" t="s">
        <v>492</v>
      </c>
      <c r="B43" s="477">
        <v>27170</v>
      </c>
      <c r="C43" s="896"/>
      <c r="D43" s="896"/>
      <c r="E43" s="477"/>
      <c r="F43" s="477"/>
      <c r="G43" s="883"/>
      <c r="H43" s="884"/>
      <c r="I43" s="444"/>
      <c r="J43" s="57">
        <f t="shared" si="11"/>
        <v>27170</v>
      </c>
      <c r="K43" s="57"/>
      <c r="L43" s="100" t="s">
        <v>427</v>
      </c>
      <c r="M43" s="11"/>
      <c r="N43" s="67">
        <v>1256</v>
      </c>
      <c r="O43" s="76">
        <v>43</v>
      </c>
      <c r="P43" s="76">
        <f t="shared" si="3"/>
        <v>1213</v>
      </c>
      <c r="Q43" s="10">
        <f>P43*(1-S43)*1.06</f>
        <v>1285.78</v>
      </c>
      <c r="R43" s="54">
        <f t="shared" si="5"/>
        <v>0</v>
      </c>
      <c r="S43" s="103"/>
      <c r="T43" s="36">
        <f t="shared" si="7"/>
        <v>0</v>
      </c>
      <c r="U43" s="46" t="e">
        <f t="shared" si="6"/>
        <v>#DIV/0!</v>
      </c>
      <c r="V43" s="36"/>
      <c r="X43" s="226" t="s">
        <v>208</v>
      </c>
      <c r="Y43" s="466">
        <v>10</v>
      </c>
      <c r="Z43" s="466">
        <v>0.5</v>
      </c>
      <c r="AA43" s="466">
        <v>0</v>
      </c>
      <c r="AB43" s="466">
        <f t="shared" si="0"/>
        <v>10.5</v>
      </c>
      <c r="AD43" s="226" t="s">
        <v>208</v>
      </c>
      <c r="AE43" s="466">
        <v>6.3</v>
      </c>
      <c r="AF43" s="466">
        <v>8</v>
      </c>
      <c r="AG43" s="466">
        <v>6</v>
      </c>
      <c r="AH43" s="466">
        <f t="shared" si="2"/>
        <v>20.3</v>
      </c>
      <c r="AK43" s="226" t="s">
        <v>215</v>
      </c>
      <c r="AL43" s="229">
        <v>10.5</v>
      </c>
      <c r="AM43" s="274">
        <v>8.6</v>
      </c>
      <c r="AN43" s="466">
        <v>700</v>
      </c>
      <c r="AO43" s="466">
        <v>72</v>
      </c>
      <c r="AP43" s="274">
        <v>5.49</v>
      </c>
    </row>
    <row r="44" spans="1:53" ht="16.75" customHeight="1">
      <c r="A44" s="407"/>
      <c r="B44" s="469"/>
      <c r="C44" s="804"/>
      <c r="D44" s="804"/>
      <c r="E44" s="469"/>
      <c r="F44" s="469"/>
      <c r="G44" s="885"/>
      <c r="H44" s="886"/>
      <c r="I44" s="441"/>
      <c r="J44" s="57">
        <f t="shared" si="11"/>
        <v>0</v>
      </c>
      <c r="K44" s="57"/>
      <c r="L44" s="100" t="s">
        <v>428</v>
      </c>
      <c r="M44" s="11"/>
      <c r="N44" s="67">
        <v>1943</v>
      </c>
      <c r="O44" s="76">
        <v>69.2</v>
      </c>
      <c r="P44" s="76">
        <f t="shared" si="3"/>
        <v>1873.8</v>
      </c>
      <c r="Q44" s="10">
        <f t="shared" ref="Q44:Q45" si="12">P44*(1-S44)*1.06</f>
        <v>1986.2280000000001</v>
      </c>
      <c r="R44" s="54">
        <f t="shared" si="5"/>
        <v>0</v>
      </c>
      <c r="S44" s="103"/>
      <c r="T44" s="36">
        <f>R44*0.6</f>
        <v>0</v>
      </c>
      <c r="U44" s="46" t="e">
        <f t="shared" si="6"/>
        <v>#DIV/0!</v>
      </c>
      <c r="V44" s="36"/>
      <c r="X44" s="226" t="s">
        <v>209</v>
      </c>
      <c r="Y44" s="466">
        <v>9.1</v>
      </c>
      <c r="Z44" s="466">
        <v>0</v>
      </c>
      <c r="AA44" s="466">
        <v>0</v>
      </c>
      <c r="AB44" s="466">
        <f t="shared" ref="AB44" si="13">SUM(Y44:AA44)</f>
        <v>9.1</v>
      </c>
      <c r="AD44" s="226" t="s">
        <v>209</v>
      </c>
      <c r="AE44" s="466">
        <v>0</v>
      </c>
      <c r="AF44" s="466">
        <v>0</v>
      </c>
      <c r="AG44" s="466">
        <v>0</v>
      </c>
      <c r="AH44" s="466">
        <f t="shared" si="2"/>
        <v>0</v>
      </c>
      <c r="AK44" s="266" t="s">
        <v>216</v>
      </c>
      <c r="AL44" s="267">
        <v>10.6</v>
      </c>
      <c r="AM44" s="275">
        <v>6.74</v>
      </c>
      <c r="AN44" s="462">
        <v>260</v>
      </c>
      <c r="AO44" s="462">
        <v>77</v>
      </c>
      <c r="AP44" s="275">
        <v>6.1</v>
      </c>
    </row>
    <row r="45" spans="1:53" ht="16.75" customHeight="1" thickBot="1">
      <c r="A45" s="448"/>
      <c r="B45" s="475"/>
      <c r="C45" s="879"/>
      <c r="D45" s="880"/>
      <c r="E45" s="447"/>
      <c r="F45" s="447"/>
      <c r="G45" s="894"/>
      <c r="H45" s="895"/>
      <c r="I45" s="442"/>
      <c r="J45" s="57">
        <f t="shared" si="11"/>
        <v>0</v>
      </c>
      <c r="K45" s="440"/>
      <c r="L45" s="100" t="s">
        <v>429</v>
      </c>
      <c r="M45" s="11"/>
      <c r="N45" s="67">
        <v>1242.5999999999999</v>
      </c>
      <c r="O45" s="76">
        <v>43</v>
      </c>
      <c r="P45" s="76">
        <f t="shared" si="3"/>
        <v>1199.5999999999999</v>
      </c>
      <c r="Q45" s="10">
        <f t="shared" si="12"/>
        <v>1271.576</v>
      </c>
      <c r="R45" s="54">
        <f t="shared" si="5"/>
        <v>0</v>
      </c>
      <c r="S45" s="103"/>
      <c r="T45" s="36">
        <f>R45*0.6</f>
        <v>0</v>
      </c>
      <c r="U45" s="46"/>
      <c r="V45" s="36"/>
      <c r="X45" s="226"/>
      <c r="Y45" s="466"/>
      <c r="Z45" s="466"/>
      <c r="AA45" s="466"/>
      <c r="AB45" s="466"/>
      <c r="AD45" s="226"/>
      <c r="AE45" s="466"/>
      <c r="AF45" s="466"/>
      <c r="AG45" s="466"/>
      <c r="AH45" s="466"/>
      <c r="AK45" s="437"/>
      <c r="AL45" s="438"/>
      <c r="AM45" s="439"/>
      <c r="AN45" s="465"/>
      <c r="AO45" s="465"/>
      <c r="AP45" s="439"/>
    </row>
    <row r="46" spans="1:53" ht="18.8" thickTop="1">
      <c r="A46" s="148" t="s">
        <v>31</v>
      </c>
      <c r="B46" s="472">
        <f>SUM(B41:B45)</f>
        <v>60900</v>
      </c>
      <c r="C46" s="845">
        <f>SUM(C41:D45)</f>
        <v>26526</v>
      </c>
      <c r="D46" s="845"/>
      <c r="E46" s="472">
        <f>SUM(E41:E45)</f>
        <v>6360</v>
      </c>
      <c r="F46" s="472">
        <f>SUM(F41:F45)</f>
        <v>844</v>
      </c>
      <c r="G46" s="845">
        <f>SUM(G41:H45)</f>
        <v>7204</v>
      </c>
      <c r="H46" s="845"/>
      <c r="I46" s="371"/>
      <c r="J46" s="57">
        <f t="shared" si="11"/>
        <v>27170</v>
      </c>
      <c r="K46" s="57"/>
      <c r="L46" s="100" t="s">
        <v>430</v>
      </c>
      <c r="M46" s="11"/>
      <c r="N46" s="67">
        <v>1270</v>
      </c>
      <c r="O46" s="76">
        <v>54</v>
      </c>
      <c r="P46" s="76">
        <f t="shared" si="3"/>
        <v>1216</v>
      </c>
      <c r="Q46" s="10">
        <f t="shared" si="4"/>
        <v>1285.3119999999999</v>
      </c>
      <c r="R46" s="54">
        <f t="shared" si="5"/>
        <v>0</v>
      </c>
      <c r="S46" s="103"/>
      <c r="T46" s="36">
        <f t="shared" ref="T46:T56" si="14">R46*0.6</f>
        <v>0</v>
      </c>
      <c r="U46" s="46" t="e">
        <f t="shared" ref="U46:U67" si="15">Q46/$V$68</f>
        <v>#DIV/0!</v>
      </c>
      <c r="V46" s="36"/>
      <c r="W46" s="36"/>
      <c r="X46" s="226" t="s">
        <v>210</v>
      </c>
      <c r="Y46" s="466">
        <v>10</v>
      </c>
      <c r="Z46" s="466">
        <v>0.1</v>
      </c>
      <c r="AA46" s="466">
        <v>0</v>
      </c>
      <c r="AB46" s="466">
        <f t="shared" si="0"/>
        <v>10.1</v>
      </c>
      <c r="AD46" s="226" t="s">
        <v>210</v>
      </c>
      <c r="AE46" s="466">
        <v>0</v>
      </c>
      <c r="AF46" s="466">
        <v>0</v>
      </c>
      <c r="AG46" s="466">
        <v>0</v>
      </c>
      <c r="AH46" s="466">
        <f t="shared" si="2"/>
        <v>0</v>
      </c>
      <c r="AK46" s="270" t="s">
        <v>250</v>
      </c>
      <c r="AL46" s="269">
        <v>294.10000000000002</v>
      </c>
      <c r="AM46" s="271">
        <f>AVERAGE(AQ23:AQ44)</f>
        <v>5.9390909090909085</v>
      </c>
      <c r="AN46" s="268">
        <f>AVERAGE(AR23:AR44)</f>
        <v>372.72727272727275</v>
      </c>
      <c r="AO46" s="268">
        <f>AVERAGE(AS23:AS44)</f>
        <v>67.142499999999998</v>
      </c>
      <c r="AP46" s="269">
        <v>5.75</v>
      </c>
    </row>
    <row r="47" spans="1:53" ht="17.399999999999999" customHeight="1">
      <c r="D47" s="221"/>
      <c r="J47" s="56"/>
      <c r="K47" s="57"/>
      <c r="L47" s="100" t="s">
        <v>431</v>
      </c>
      <c r="M47" s="11"/>
      <c r="N47" s="67">
        <v>1927</v>
      </c>
      <c r="O47" s="76">
        <v>76</v>
      </c>
      <c r="P47" s="76">
        <f t="shared" si="3"/>
        <v>1851</v>
      </c>
      <c r="Q47" s="10">
        <f>P47*(1-S47)*1.06</f>
        <v>1962.0600000000002</v>
      </c>
      <c r="R47" s="54">
        <f t="shared" si="5"/>
        <v>0</v>
      </c>
      <c r="S47" s="103"/>
      <c r="T47" s="36">
        <f t="shared" si="14"/>
        <v>0</v>
      </c>
      <c r="U47" s="46" t="e">
        <f t="shared" si="15"/>
        <v>#DIV/0!</v>
      </c>
      <c r="X47" s="226" t="s">
        <v>211</v>
      </c>
      <c r="Y47" s="466">
        <v>10</v>
      </c>
      <c r="Z47" s="466">
        <v>0.1</v>
      </c>
      <c r="AA47" s="466">
        <v>0</v>
      </c>
      <c r="AB47" s="466">
        <f>SUM(Y47:AA47)</f>
        <v>10.1</v>
      </c>
      <c r="AD47" s="226" t="s">
        <v>211</v>
      </c>
      <c r="AE47" s="466">
        <v>0</v>
      </c>
      <c r="AF47" s="466">
        <v>0</v>
      </c>
      <c r="AG47" s="466">
        <v>0</v>
      </c>
      <c r="AH47" s="466">
        <f>SUM(AE47:AG47)</f>
        <v>0</v>
      </c>
    </row>
    <row r="48" spans="1:53" ht="14.4" customHeight="1">
      <c r="A48" s="15" t="s">
        <v>78</v>
      </c>
      <c r="F48" s="42"/>
      <c r="G48" s="42"/>
      <c r="J48" s="104"/>
      <c r="K48" s="56"/>
      <c r="L48" s="100" t="s">
        <v>432</v>
      </c>
      <c r="M48" s="11"/>
      <c r="N48" s="67">
        <v>1903</v>
      </c>
      <c r="O48" s="76">
        <v>67</v>
      </c>
      <c r="P48" s="76">
        <f t="shared" si="3"/>
        <v>1836</v>
      </c>
      <c r="Q48" s="10">
        <f t="shared" ref="Q48:Q49" si="16">P48*(1-S48)*1.06</f>
        <v>1946.16</v>
      </c>
      <c r="R48" s="54">
        <f t="shared" si="5"/>
        <v>0</v>
      </c>
      <c r="S48" s="103"/>
      <c r="T48" s="36">
        <f t="shared" si="14"/>
        <v>0</v>
      </c>
      <c r="U48" s="46" t="e">
        <f t="shared" si="15"/>
        <v>#DIV/0!</v>
      </c>
      <c r="X48" s="226" t="s">
        <v>212</v>
      </c>
      <c r="Y48" s="466">
        <v>10</v>
      </c>
      <c r="Z48" s="466">
        <v>0.3</v>
      </c>
      <c r="AA48" s="466">
        <v>0</v>
      </c>
      <c r="AB48" s="466">
        <f t="shared" si="0"/>
        <v>10.3</v>
      </c>
      <c r="AD48" s="226" t="s">
        <v>212</v>
      </c>
      <c r="AE48" s="466">
        <v>0</v>
      </c>
      <c r="AF48" s="466">
        <v>0</v>
      </c>
      <c r="AG48" s="466">
        <v>0</v>
      </c>
      <c r="AH48" s="466">
        <f t="shared" ref="AH48:AH53" si="17">SUM(AE48:AG48)</f>
        <v>0</v>
      </c>
    </row>
    <row r="49" spans="1:47" ht="16.3" customHeight="1">
      <c r="A49" s="833" t="s">
        <v>1</v>
      </c>
      <c r="B49" s="835" t="s">
        <v>37</v>
      </c>
      <c r="C49" s="836"/>
      <c r="D49" s="837" t="s">
        <v>35</v>
      </c>
      <c r="E49" s="838"/>
      <c r="F49" s="837" t="s">
        <v>36</v>
      </c>
      <c r="G49" s="838"/>
      <c r="H49" s="839" t="s">
        <v>6</v>
      </c>
      <c r="I49" s="836"/>
      <c r="J49" s="104"/>
      <c r="K49" s="104"/>
      <c r="L49" s="100" t="s">
        <v>433</v>
      </c>
      <c r="M49" s="11"/>
      <c r="N49" s="67">
        <v>1309</v>
      </c>
      <c r="O49" s="76">
        <v>55</v>
      </c>
      <c r="P49" s="76">
        <f t="shared" si="3"/>
        <v>1254</v>
      </c>
      <c r="Q49" s="10">
        <f t="shared" si="16"/>
        <v>1329.24</v>
      </c>
      <c r="R49" s="54">
        <f t="shared" si="5"/>
        <v>0</v>
      </c>
      <c r="S49" s="103"/>
      <c r="T49" s="36">
        <f t="shared" si="14"/>
        <v>0</v>
      </c>
      <c r="U49" s="46" t="e">
        <f t="shared" si="15"/>
        <v>#DIV/0!</v>
      </c>
      <c r="X49" s="227" t="s">
        <v>110</v>
      </c>
      <c r="Y49" s="466">
        <v>24</v>
      </c>
      <c r="Z49" s="466">
        <v>0</v>
      </c>
      <c r="AA49" s="466">
        <v>0</v>
      </c>
      <c r="AB49" s="466">
        <f t="shared" si="0"/>
        <v>24</v>
      </c>
      <c r="AD49" s="229" t="s">
        <v>110</v>
      </c>
      <c r="AE49" s="466">
        <v>0</v>
      </c>
      <c r="AF49" s="466">
        <v>0</v>
      </c>
      <c r="AG49" s="466">
        <v>0</v>
      </c>
      <c r="AH49" s="466">
        <f t="shared" si="17"/>
        <v>0</v>
      </c>
    </row>
    <row r="50" spans="1:47" ht="16.3" customHeight="1">
      <c r="A50" s="834"/>
      <c r="B50" s="470" t="s">
        <v>3</v>
      </c>
      <c r="C50" s="152" t="s">
        <v>82</v>
      </c>
      <c r="D50" s="470" t="s">
        <v>80</v>
      </c>
      <c r="E50" s="152" t="s">
        <v>81</v>
      </c>
      <c r="F50" s="152" t="s">
        <v>80</v>
      </c>
      <c r="G50" s="151" t="s">
        <v>81</v>
      </c>
      <c r="H50" s="840"/>
      <c r="I50" s="841"/>
      <c r="J50" s="104"/>
      <c r="K50" s="104"/>
      <c r="L50" s="100" t="s">
        <v>434</v>
      </c>
      <c r="M50" s="11"/>
      <c r="N50" s="67">
        <v>1184</v>
      </c>
      <c r="O50" s="76">
        <v>48</v>
      </c>
      <c r="P50" s="76">
        <f t="shared" si="3"/>
        <v>1136</v>
      </c>
      <c r="Q50" s="10">
        <f>P50*(1-S50)*1.065</f>
        <v>1209.8399999999999</v>
      </c>
      <c r="R50" s="54">
        <f t="shared" si="5"/>
        <v>0</v>
      </c>
      <c r="S50" s="103"/>
      <c r="T50" s="36">
        <f t="shared" si="14"/>
        <v>0</v>
      </c>
      <c r="U50" s="46" t="e">
        <f t="shared" si="15"/>
        <v>#DIV/0!</v>
      </c>
      <c r="X50" s="226" t="s">
        <v>213</v>
      </c>
      <c r="Y50" s="466">
        <v>10</v>
      </c>
      <c r="Z50" s="466">
        <v>0.5</v>
      </c>
      <c r="AA50" s="466">
        <v>0</v>
      </c>
      <c r="AB50" s="466">
        <f t="shared" si="0"/>
        <v>10.5</v>
      </c>
      <c r="AD50" s="227" t="s">
        <v>111</v>
      </c>
      <c r="AE50" s="466">
        <v>0</v>
      </c>
      <c r="AF50" s="466">
        <v>0</v>
      </c>
      <c r="AG50" s="466">
        <v>0</v>
      </c>
      <c r="AH50" s="466">
        <f t="shared" si="17"/>
        <v>0</v>
      </c>
    </row>
    <row r="51" spans="1:47" ht="16.3" customHeight="1">
      <c r="A51" s="160" t="s">
        <v>85</v>
      </c>
      <c r="B51" s="149">
        <v>117</v>
      </c>
      <c r="C51" s="154">
        <v>88</v>
      </c>
      <c r="D51" s="184">
        <v>0</v>
      </c>
      <c r="E51" s="153">
        <v>1110.2</v>
      </c>
      <c r="F51" s="153">
        <v>31</v>
      </c>
      <c r="G51" s="185">
        <v>1112</v>
      </c>
      <c r="H51" s="846">
        <f>B51+D51-F51</f>
        <v>86</v>
      </c>
      <c r="I51" s="847"/>
      <c r="J51" s="240">
        <f>C51+E51-G51</f>
        <v>86.200000000000045</v>
      </c>
      <c r="K51" s="104"/>
      <c r="L51" s="100" t="s">
        <v>435</v>
      </c>
      <c r="M51" s="11"/>
      <c r="N51" s="67">
        <v>1944</v>
      </c>
      <c r="O51" s="76">
        <v>77</v>
      </c>
      <c r="P51" s="76">
        <f t="shared" si="3"/>
        <v>1867</v>
      </c>
      <c r="Q51" s="10">
        <f t="shared" ref="Q51:Q52" si="18">P51*(1-S51)*1.065</f>
        <v>1988.3549999999998</v>
      </c>
      <c r="R51" s="54">
        <f t="shared" si="5"/>
        <v>0</v>
      </c>
      <c r="S51" s="103"/>
      <c r="T51" s="36">
        <f t="shared" si="14"/>
        <v>0</v>
      </c>
      <c r="U51" s="46" t="e">
        <f t="shared" si="15"/>
        <v>#DIV/0!</v>
      </c>
      <c r="X51" s="226" t="s">
        <v>214</v>
      </c>
      <c r="Y51" s="466">
        <v>10</v>
      </c>
      <c r="Z51" s="466">
        <v>0.5</v>
      </c>
      <c r="AA51" s="466">
        <v>0</v>
      </c>
      <c r="AB51" s="466">
        <f t="shared" si="0"/>
        <v>10.5</v>
      </c>
      <c r="AD51" s="226" t="s">
        <v>214</v>
      </c>
      <c r="AE51" s="466">
        <v>0</v>
      </c>
      <c r="AF51" s="466">
        <v>0</v>
      </c>
      <c r="AG51" s="466">
        <v>0</v>
      </c>
      <c r="AH51" s="466">
        <f t="shared" si="17"/>
        <v>0</v>
      </c>
    </row>
    <row r="52" spans="1:47" ht="16.3" customHeight="1">
      <c r="A52" s="149" t="s">
        <v>79</v>
      </c>
      <c r="B52" s="149">
        <v>0</v>
      </c>
      <c r="C52" s="466">
        <v>49</v>
      </c>
      <c r="D52" s="184">
        <v>0</v>
      </c>
      <c r="E52" s="153">
        <f>670+63</f>
        <v>733</v>
      </c>
      <c r="F52" s="153">
        <v>0</v>
      </c>
      <c r="G52" s="185">
        <v>783</v>
      </c>
      <c r="H52" s="846">
        <f>B52+D52-F52</f>
        <v>0</v>
      </c>
      <c r="I52" s="847"/>
      <c r="J52" s="241">
        <f>C52+E52-G52</f>
        <v>-1</v>
      </c>
      <c r="K52" s="240"/>
      <c r="L52" s="100" t="s">
        <v>436</v>
      </c>
      <c r="M52" s="11"/>
      <c r="N52" s="67">
        <v>1232</v>
      </c>
      <c r="O52" s="76">
        <v>49</v>
      </c>
      <c r="P52" s="76">
        <f t="shared" si="3"/>
        <v>1183</v>
      </c>
      <c r="Q52" s="10">
        <f t="shared" si="18"/>
        <v>1259.895</v>
      </c>
      <c r="R52" s="54">
        <f t="shared" si="5"/>
        <v>0</v>
      </c>
      <c r="S52" s="103"/>
      <c r="T52" s="36">
        <f t="shared" si="14"/>
        <v>0</v>
      </c>
      <c r="U52" s="46" t="e">
        <f t="shared" si="15"/>
        <v>#DIV/0!</v>
      </c>
      <c r="X52" s="226" t="s">
        <v>215</v>
      </c>
      <c r="Y52" s="466">
        <v>10</v>
      </c>
      <c r="Z52" s="466">
        <v>0.5</v>
      </c>
      <c r="AA52" s="466">
        <v>0</v>
      </c>
      <c r="AB52" s="466">
        <f t="shared" si="0"/>
        <v>10.5</v>
      </c>
      <c r="AD52" s="226" t="s">
        <v>215</v>
      </c>
      <c r="AE52" s="466">
        <v>0</v>
      </c>
      <c r="AF52" s="466">
        <v>0</v>
      </c>
      <c r="AG52" s="466">
        <v>0</v>
      </c>
      <c r="AH52" s="466">
        <f t="shared" si="17"/>
        <v>0</v>
      </c>
    </row>
    <row r="53" spans="1:47" ht="16.3" customHeight="1">
      <c r="A53" s="149" t="s">
        <v>77</v>
      </c>
      <c r="B53" s="149">
        <f>SUM(B51:B52)</f>
        <v>117</v>
      </c>
      <c r="C53" s="149">
        <f>SUM(C51:C52)</f>
        <v>137</v>
      </c>
      <c r="D53" s="149">
        <f t="shared" ref="D53:G53" si="19">SUM(D51:D52)</f>
        <v>0</v>
      </c>
      <c r="E53" s="149">
        <f t="shared" si="19"/>
        <v>1843.2</v>
      </c>
      <c r="F53" s="149">
        <f t="shared" si="19"/>
        <v>31</v>
      </c>
      <c r="G53" s="149">
        <f t="shared" si="19"/>
        <v>1895</v>
      </c>
      <c r="H53" s="846">
        <f t="shared" ref="H53" si="20">B53+D53-F53</f>
        <v>86</v>
      </c>
      <c r="I53" s="847"/>
      <c r="J53" s="127">
        <f>SUM(J51:J52)</f>
        <v>85.200000000000045</v>
      </c>
      <c r="K53" s="241"/>
      <c r="L53" s="100" t="s">
        <v>437</v>
      </c>
      <c r="M53" s="67"/>
      <c r="N53" s="67">
        <v>1247</v>
      </c>
      <c r="O53" s="76">
        <v>55</v>
      </c>
      <c r="P53" s="76">
        <f t="shared" si="3"/>
        <v>1192</v>
      </c>
      <c r="Q53" s="10">
        <f>P53*(1-S53)*1.075</f>
        <v>1281.3999999999999</v>
      </c>
      <c r="R53" s="54">
        <f t="shared" si="5"/>
        <v>0</v>
      </c>
      <c r="S53" s="103"/>
      <c r="T53" s="36">
        <f t="shared" si="14"/>
        <v>0</v>
      </c>
      <c r="U53" s="46" t="e">
        <f t="shared" si="15"/>
        <v>#DIV/0!</v>
      </c>
      <c r="X53" s="226" t="s">
        <v>216</v>
      </c>
      <c r="Y53" s="466">
        <v>10</v>
      </c>
      <c r="Z53" s="466">
        <v>0.6</v>
      </c>
      <c r="AA53" s="466">
        <v>0</v>
      </c>
      <c r="AB53" s="466">
        <f t="shared" si="0"/>
        <v>10.6</v>
      </c>
      <c r="AD53" s="226" t="s">
        <v>216</v>
      </c>
      <c r="AE53" s="466">
        <v>8</v>
      </c>
      <c r="AF53" s="466">
        <v>1.3</v>
      </c>
      <c r="AG53" s="466">
        <v>4</v>
      </c>
      <c r="AH53" s="466">
        <f t="shared" si="17"/>
        <v>13.3</v>
      </c>
      <c r="AR53" s="13">
        <v>34900</v>
      </c>
      <c r="AS53" s="13">
        <v>200</v>
      </c>
      <c r="AT53" s="13">
        <f>AS53*AR53</f>
        <v>6980000</v>
      </c>
    </row>
    <row r="54" spans="1:47" ht="16.75" customHeight="1">
      <c r="K54" s="127"/>
      <c r="L54" s="100" t="s">
        <v>438</v>
      </c>
      <c r="M54" s="11"/>
      <c r="N54" s="67">
        <v>1869</v>
      </c>
      <c r="O54" s="76">
        <v>75</v>
      </c>
      <c r="P54" s="76">
        <f t="shared" si="3"/>
        <v>1794</v>
      </c>
      <c r="Q54" s="10">
        <f t="shared" ref="Q54:Q55" si="21">P54*(1-S54)*1.075</f>
        <v>1928.55</v>
      </c>
      <c r="R54" s="54">
        <f t="shared" si="5"/>
        <v>0</v>
      </c>
      <c r="S54" s="103"/>
      <c r="T54" s="36">
        <f t="shared" si="14"/>
        <v>0</v>
      </c>
      <c r="U54" s="46" t="e">
        <f t="shared" si="15"/>
        <v>#DIV/0!</v>
      </c>
      <c r="X54" s="226" t="s">
        <v>31</v>
      </c>
      <c r="Y54" s="466">
        <f>SUM(AC22:AC53)</f>
        <v>61.7</v>
      </c>
      <c r="Z54" s="466">
        <f>SUM(AD22:AD53)</f>
        <v>10.5</v>
      </c>
      <c r="AA54" s="466">
        <f>SUM(AE22:AE53)</f>
        <v>106.8</v>
      </c>
      <c r="AB54" s="154">
        <f>SUM(AF22:AF53)</f>
        <v>117.8</v>
      </c>
      <c r="AD54" s="226" t="s">
        <v>31</v>
      </c>
      <c r="AE54" s="466">
        <f>SUM(AI22:AI53)</f>
        <v>122.9</v>
      </c>
      <c r="AF54" s="466">
        <f>SUM(AJ22:AJ53)</f>
        <v>63.6</v>
      </c>
      <c r="AG54" s="466">
        <f>SUM(AK22:AK53)</f>
        <v>46.1</v>
      </c>
      <c r="AH54" s="154">
        <f>SUM(AL22:AL53)</f>
        <v>653.20000000000005</v>
      </c>
      <c r="AR54" s="13">
        <v>34950</v>
      </c>
      <c r="AS54" s="13">
        <v>800</v>
      </c>
      <c r="AT54" s="13">
        <f t="shared" ref="AT54:AT59" si="22">AS54*AR54</f>
        <v>27960000</v>
      </c>
    </row>
    <row r="55" spans="1:47" ht="19.899999999999999" customHeight="1">
      <c r="A55" s="15" t="s">
        <v>321</v>
      </c>
      <c r="B55" s="115"/>
      <c r="F55" s="115"/>
      <c r="H55" s="150"/>
      <c r="J55" s="396" t="s">
        <v>404</v>
      </c>
      <c r="L55" s="100" t="s">
        <v>439</v>
      </c>
      <c r="M55" s="11"/>
      <c r="N55" s="67">
        <v>1965</v>
      </c>
      <c r="O55" s="76">
        <v>88</v>
      </c>
      <c r="P55" s="76">
        <f t="shared" si="3"/>
        <v>1877</v>
      </c>
      <c r="Q55" s="10">
        <f t="shared" si="21"/>
        <v>2017.7749999999999</v>
      </c>
      <c r="R55" s="54">
        <f t="shared" si="5"/>
        <v>0</v>
      </c>
      <c r="S55" s="103"/>
      <c r="T55" s="36">
        <f t="shared" si="14"/>
        <v>0</v>
      </c>
      <c r="U55" s="46" t="e">
        <f t="shared" si="15"/>
        <v>#DIV/0!</v>
      </c>
      <c r="X55" s="226" t="s">
        <v>220</v>
      </c>
      <c r="Y55" s="466">
        <v>63.1</v>
      </c>
      <c r="Z55" s="466">
        <v>109.2</v>
      </c>
      <c r="AA55" s="466">
        <v>166.7</v>
      </c>
      <c r="AB55" s="230">
        <f>AB57/AB54</f>
        <v>193.91706281833618</v>
      </c>
      <c r="AC55" s="51"/>
      <c r="AD55" s="226" t="s">
        <v>220</v>
      </c>
      <c r="AE55" s="466">
        <v>63.1</v>
      </c>
      <c r="AF55" s="466">
        <v>109.2</v>
      </c>
      <c r="AG55" s="466">
        <v>166.7</v>
      </c>
      <c r="AH55" s="230">
        <f>AH57/AH54</f>
        <v>34.269718309859151</v>
      </c>
      <c r="AR55" s="13">
        <v>34600</v>
      </c>
      <c r="AS55" s="13">
        <v>16</v>
      </c>
      <c r="AT55" s="13">
        <f t="shared" si="22"/>
        <v>553600</v>
      </c>
    </row>
    <row r="56" spans="1:47" ht="19.899999999999999" customHeight="1">
      <c r="A56" s="194" t="s">
        <v>153</v>
      </c>
      <c r="B56" s="194" t="s">
        <v>154</v>
      </c>
      <c r="C56" s="194" t="s">
        <v>155</v>
      </c>
      <c r="D56" s="194" t="s">
        <v>156</v>
      </c>
      <c r="E56" s="194" t="s">
        <v>54</v>
      </c>
      <c r="F56" s="194" t="s">
        <v>161</v>
      </c>
      <c r="G56" s="116"/>
      <c r="H56" s="394" t="s">
        <v>403</v>
      </c>
      <c r="J56" s="59"/>
      <c r="K56" s="127"/>
      <c r="L56" s="100" t="s">
        <v>440</v>
      </c>
      <c r="M56" s="11"/>
      <c r="N56" s="67">
        <v>1229</v>
      </c>
      <c r="O56" s="76">
        <v>52</v>
      </c>
      <c r="P56" s="76">
        <f t="shared" si="3"/>
        <v>1177</v>
      </c>
      <c r="Q56" s="10">
        <f>P56*(1-S56)*1.078</f>
        <v>1268.806</v>
      </c>
      <c r="R56" s="54">
        <f t="shared" si="5"/>
        <v>0</v>
      </c>
      <c r="S56" s="103"/>
      <c r="T56" s="36">
        <f t="shared" si="14"/>
        <v>0</v>
      </c>
      <c r="U56" s="46" t="e">
        <f t="shared" si="15"/>
        <v>#DIV/0!</v>
      </c>
      <c r="X56" s="225" t="s">
        <v>221</v>
      </c>
      <c r="Y56" s="228">
        <f>Y54/$AB$54</f>
        <v>0.52376910016977929</v>
      </c>
      <c r="Z56" s="228">
        <f t="shared" ref="Z56:AA56" si="23">Z54/$AB$54</f>
        <v>8.9134125636672334E-2</v>
      </c>
      <c r="AA56" s="228">
        <f t="shared" si="23"/>
        <v>0.90662139219015281</v>
      </c>
      <c r="AB56" s="228">
        <f>SUM(Y56:AA56)</f>
        <v>1.5195246179966044</v>
      </c>
      <c r="AC56" s="51"/>
      <c r="AD56" s="225" t="s">
        <v>221</v>
      </c>
      <c r="AE56" s="228">
        <f>AE54/$AH$54</f>
        <v>0.18815064298836498</v>
      </c>
      <c r="AF56" s="228">
        <f t="shared" ref="AF56:AG56" si="24">AF54/$AH$54</f>
        <v>9.7366809552969988E-2</v>
      </c>
      <c r="AG56" s="228">
        <f t="shared" si="24"/>
        <v>7.057562767911818E-2</v>
      </c>
      <c r="AH56" s="228">
        <f>SUM(AE56:AG56)</f>
        <v>0.35609308022045316</v>
      </c>
      <c r="AR56" s="13">
        <v>34750</v>
      </c>
      <c r="AS56" s="13">
        <v>340</v>
      </c>
      <c r="AT56" s="13">
        <f t="shared" si="22"/>
        <v>11815000</v>
      </c>
    </row>
    <row r="57" spans="1:47" ht="19.899999999999999" customHeight="1">
      <c r="A57" s="195" t="s">
        <v>160</v>
      </c>
      <c r="B57" s="196">
        <v>0</v>
      </c>
      <c r="C57" s="196">
        <v>0</v>
      </c>
      <c r="D57" s="196">
        <v>1320</v>
      </c>
      <c r="E57" s="472">
        <v>1320</v>
      </c>
      <c r="F57" s="472">
        <f>D57-E57</f>
        <v>0</v>
      </c>
      <c r="G57" s="51"/>
      <c r="H57" s="51"/>
      <c r="J57" s="59"/>
      <c r="K57" s="59"/>
      <c r="L57" s="100" t="s">
        <v>441</v>
      </c>
      <c r="M57" s="11"/>
      <c r="N57" s="67">
        <v>1265</v>
      </c>
      <c r="O57" s="76">
        <v>51</v>
      </c>
      <c r="P57" s="76">
        <f t="shared" si="3"/>
        <v>1214</v>
      </c>
      <c r="Q57" s="10">
        <f t="shared" ref="Q57:Q66" si="25">P57*(1-S57)*1.078</f>
        <v>1308.692</v>
      </c>
      <c r="R57" s="54">
        <f t="shared" si="5"/>
        <v>0</v>
      </c>
      <c r="S57" s="103"/>
      <c r="T57" s="36">
        <f t="shared" ref="T57:T67" si="26">R57*0.75</f>
        <v>0</v>
      </c>
      <c r="U57" s="46" t="e">
        <f t="shared" si="15"/>
        <v>#DIV/0!</v>
      </c>
      <c r="X57" s="231" t="s">
        <v>223</v>
      </c>
      <c r="Y57" s="54">
        <f>Y54*Y55</f>
        <v>3893.2700000000004</v>
      </c>
      <c r="Z57" s="54">
        <f>Z54*Z55</f>
        <v>1146.6000000000001</v>
      </c>
      <c r="AA57" s="54">
        <f>AA54*AA55</f>
        <v>17803.559999999998</v>
      </c>
      <c r="AB57" s="61">
        <f>SUM(Y57:AA57)</f>
        <v>22843.43</v>
      </c>
      <c r="AC57" s="51"/>
      <c r="AD57" s="231" t="s">
        <v>223</v>
      </c>
      <c r="AE57" s="54">
        <f>AE54*AE55</f>
        <v>7754.9900000000007</v>
      </c>
      <c r="AF57" s="54">
        <f>AF54*AF55</f>
        <v>6945.12</v>
      </c>
      <c r="AG57" s="54">
        <f>AG54*AG55</f>
        <v>7684.87</v>
      </c>
      <c r="AH57" s="61">
        <f>SUM(AE57:AG57)</f>
        <v>22384.98</v>
      </c>
      <c r="AR57" s="13">
        <v>34800</v>
      </c>
      <c r="AS57" s="13">
        <v>186</v>
      </c>
      <c r="AT57" s="13">
        <f t="shared" si="22"/>
        <v>6472800</v>
      </c>
    </row>
    <row r="58" spans="1:47" ht="19.899999999999999" customHeight="1">
      <c r="A58" s="195" t="s">
        <v>157</v>
      </c>
      <c r="B58" s="90">
        <v>1300</v>
      </c>
      <c r="C58" s="90"/>
      <c r="D58" s="90">
        <v>2164</v>
      </c>
      <c r="E58" s="472">
        <f>D57+B58</f>
        <v>2620</v>
      </c>
      <c r="F58" s="472">
        <f t="shared" ref="F58:F117" si="27">D58-E58</f>
        <v>-456</v>
      </c>
      <c r="G58" s="51"/>
      <c r="H58" s="117">
        <v>56</v>
      </c>
      <c r="I58" s="13">
        <v>10</v>
      </c>
      <c r="J58" s="13">
        <f>I58*H58</f>
        <v>560</v>
      </c>
      <c r="K58" s="59"/>
      <c r="L58" s="100" t="s">
        <v>442</v>
      </c>
      <c r="M58" s="11"/>
      <c r="N58" s="67">
        <v>1881</v>
      </c>
      <c r="O58" s="76">
        <v>67</v>
      </c>
      <c r="P58" s="76">
        <f t="shared" si="3"/>
        <v>1814</v>
      </c>
      <c r="Q58" s="10">
        <f t="shared" si="25"/>
        <v>1955.4920000000002</v>
      </c>
      <c r="R58" s="54">
        <f t="shared" si="5"/>
        <v>0</v>
      </c>
      <c r="S58" s="103"/>
      <c r="T58" s="36">
        <f t="shared" si="26"/>
        <v>0</v>
      </c>
      <c r="U58" s="46" t="e">
        <f t="shared" si="15"/>
        <v>#DIV/0!</v>
      </c>
      <c r="X58" s="46"/>
      <c r="AH58" s="232">
        <f>AB55-AH55</f>
        <v>159.64734450847703</v>
      </c>
      <c r="AR58" s="13">
        <v>35000</v>
      </c>
      <c r="AS58" s="13">
        <v>850</v>
      </c>
      <c r="AT58" s="13">
        <f t="shared" si="22"/>
        <v>29750000</v>
      </c>
    </row>
    <row r="59" spans="1:47" ht="19.899999999999999" customHeight="1">
      <c r="A59" s="195" t="s">
        <v>73</v>
      </c>
      <c r="B59" s="90">
        <v>1800</v>
      </c>
      <c r="C59" s="90"/>
      <c r="D59" s="90">
        <v>4094</v>
      </c>
      <c r="E59" s="472">
        <f>E58+B59</f>
        <v>4420</v>
      </c>
      <c r="F59" s="472">
        <f t="shared" si="27"/>
        <v>-326</v>
      </c>
      <c r="G59" s="51"/>
      <c r="H59" s="117">
        <v>109</v>
      </c>
      <c r="I59" s="13">
        <v>8</v>
      </c>
      <c r="J59" s="13">
        <f t="shared" ref="J59:J60" si="28">I59*H59</f>
        <v>872</v>
      </c>
      <c r="L59" s="100" t="s">
        <v>443</v>
      </c>
      <c r="M59" s="11"/>
      <c r="N59" s="67">
        <v>1244</v>
      </c>
      <c r="O59" s="76">
        <v>52</v>
      </c>
      <c r="P59" s="76">
        <f t="shared" si="3"/>
        <v>1192</v>
      </c>
      <c r="Q59" s="10">
        <f t="shared" si="25"/>
        <v>1284.9760000000001</v>
      </c>
      <c r="R59" s="54">
        <f t="shared" si="5"/>
        <v>0</v>
      </c>
      <c r="S59" s="103"/>
      <c r="T59" s="36">
        <f t="shared" si="26"/>
        <v>0</v>
      </c>
      <c r="U59" s="46" t="e">
        <f t="shared" si="15"/>
        <v>#DIV/0!</v>
      </c>
      <c r="X59" s="233" t="s">
        <v>226</v>
      </c>
      <c r="Y59" s="233" t="s">
        <v>220</v>
      </c>
      <c r="Z59" s="233" t="s">
        <v>227</v>
      </c>
      <c r="AA59" s="22"/>
      <c r="AB59" s="51"/>
      <c r="AC59" s="51"/>
      <c r="AD59" s="233" t="s">
        <v>226</v>
      </c>
      <c r="AE59" s="233" t="s">
        <v>220</v>
      </c>
      <c r="AF59" s="233" t="s">
        <v>227</v>
      </c>
      <c r="AG59" s="224" t="s">
        <v>161</v>
      </c>
      <c r="AH59" s="51"/>
      <c r="AR59" s="13">
        <v>35050</v>
      </c>
      <c r="AS59" s="13">
        <v>150</v>
      </c>
      <c r="AT59" s="13">
        <f t="shared" si="22"/>
        <v>5257500</v>
      </c>
    </row>
    <row r="60" spans="1:47" ht="19.899999999999999" customHeight="1">
      <c r="A60" s="195" t="s">
        <v>158</v>
      </c>
      <c r="B60" s="90">
        <v>1200</v>
      </c>
      <c r="C60" s="90"/>
      <c r="D60" s="90">
        <v>5448</v>
      </c>
      <c r="E60" s="472">
        <f>E59+B60</f>
        <v>5620</v>
      </c>
      <c r="F60" s="472">
        <f t="shared" si="27"/>
        <v>-172</v>
      </c>
      <c r="G60" s="118"/>
      <c r="H60" s="117">
        <v>191</v>
      </c>
      <c r="I60" s="13">
        <v>6</v>
      </c>
      <c r="J60" s="13">
        <f t="shared" si="28"/>
        <v>1146</v>
      </c>
      <c r="L60" s="100" t="s">
        <v>444</v>
      </c>
      <c r="M60" s="11"/>
      <c r="N60" s="67">
        <v>1287</v>
      </c>
      <c r="O60" s="76">
        <v>60</v>
      </c>
      <c r="P60" s="76">
        <f t="shared" si="3"/>
        <v>1227</v>
      </c>
      <c r="Q60" s="10">
        <f t="shared" si="25"/>
        <v>1322.7060000000001</v>
      </c>
      <c r="R60" s="54">
        <f t="shared" si="5"/>
        <v>0</v>
      </c>
      <c r="S60" s="103"/>
      <c r="T60" s="36">
        <f t="shared" si="26"/>
        <v>0</v>
      </c>
      <c r="U60" s="46" t="e">
        <f t="shared" si="15"/>
        <v>#DIV/0!</v>
      </c>
      <c r="X60" s="234">
        <f>C17</f>
        <v>36.468056353874942</v>
      </c>
      <c r="Y60" s="234">
        <f>AB55</f>
        <v>193.91706281833618</v>
      </c>
      <c r="Z60" s="107">
        <f>Y60*X60</f>
        <v>7071.7783748369911</v>
      </c>
      <c r="AA60" s="92"/>
      <c r="AB60" s="92"/>
      <c r="AC60" s="92"/>
      <c r="AD60" s="234">
        <v>36.5</v>
      </c>
      <c r="AE60" s="234">
        <f>AH55</f>
        <v>34.269718309859151</v>
      </c>
      <c r="AF60" s="107">
        <f>AE60*AD60</f>
        <v>1250.844718309859</v>
      </c>
      <c r="AG60" s="235">
        <f>Z60-AF60</f>
        <v>5820.9336565271324</v>
      </c>
      <c r="AH60" s="51"/>
      <c r="AS60" s="13">
        <f>SUM(AS53:AS59)</f>
        <v>2542</v>
      </c>
      <c r="AT60" s="13">
        <f>SUM(AT53:AT59)</f>
        <v>88788900</v>
      </c>
      <c r="AU60" s="13">
        <f>AT60/AS60</f>
        <v>34928.756884343034</v>
      </c>
    </row>
    <row r="61" spans="1:47" ht="19.899999999999999" customHeight="1">
      <c r="A61" s="195" t="s">
        <v>159</v>
      </c>
      <c r="B61" s="90">
        <v>614</v>
      </c>
      <c r="C61" s="90">
        <v>88</v>
      </c>
      <c r="D61" s="90">
        <v>5673</v>
      </c>
      <c r="E61" s="472">
        <f>E60+B61-C61</f>
        <v>6146</v>
      </c>
      <c r="F61" s="472">
        <f t="shared" si="27"/>
        <v>-473</v>
      </c>
      <c r="G61" s="119"/>
      <c r="H61" s="118">
        <f>J61/I61</f>
        <v>107.41666666666667</v>
      </c>
      <c r="I61" s="461">
        <f t="shared" ref="I61:J61" si="29">SUM(I58:I60)</f>
        <v>24</v>
      </c>
      <c r="J61" s="60">
        <f t="shared" si="29"/>
        <v>2578</v>
      </c>
      <c r="L61" s="100" t="s">
        <v>445</v>
      </c>
      <c r="M61" s="11"/>
      <c r="N61" s="67">
        <v>1944</v>
      </c>
      <c r="O61" s="76">
        <v>87</v>
      </c>
      <c r="P61" s="76">
        <f t="shared" si="3"/>
        <v>1857</v>
      </c>
      <c r="Q61" s="10">
        <f t="shared" si="25"/>
        <v>2001.8460000000002</v>
      </c>
      <c r="R61" s="54">
        <f t="shared" si="5"/>
        <v>0</v>
      </c>
      <c r="S61" s="103"/>
      <c r="T61" s="36">
        <f t="shared" si="26"/>
        <v>0</v>
      </c>
      <c r="U61" s="46" t="e">
        <f t="shared" si="15"/>
        <v>#DIV/0!</v>
      </c>
      <c r="X61" s="46"/>
      <c r="Y61" s="46"/>
      <c r="Z61" s="46"/>
    </row>
    <row r="62" spans="1:47">
      <c r="A62" s="195" t="s">
        <v>162</v>
      </c>
      <c r="B62" s="90">
        <v>1248</v>
      </c>
      <c r="C62" s="90"/>
      <c r="D62" s="90">
        <v>7027</v>
      </c>
      <c r="E62" s="472">
        <f>E61+B62-C62</f>
        <v>7394</v>
      </c>
      <c r="F62" s="472">
        <f t="shared" si="27"/>
        <v>-367</v>
      </c>
      <c r="G62" s="119"/>
      <c r="H62" s="118"/>
      <c r="L62" s="100" t="s">
        <v>446</v>
      </c>
      <c r="M62" s="11"/>
      <c r="N62" s="67">
        <v>1880</v>
      </c>
      <c r="O62" s="76">
        <v>78</v>
      </c>
      <c r="P62" s="76">
        <f t="shared" si="3"/>
        <v>1802</v>
      </c>
      <c r="Q62" s="10">
        <f t="shared" si="25"/>
        <v>1942.556</v>
      </c>
      <c r="R62" s="54">
        <f t="shared" si="5"/>
        <v>0</v>
      </c>
      <c r="S62" s="103"/>
      <c r="T62" s="36">
        <f t="shared" si="26"/>
        <v>0</v>
      </c>
      <c r="U62" s="46" t="e">
        <f t="shared" si="15"/>
        <v>#DIV/0!</v>
      </c>
      <c r="X62" s="9"/>
      <c r="Y62" s="9"/>
      <c r="Z62" s="9"/>
      <c r="AA62" s="35"/>
    </row>
    <row r="63" spans="1:47">
      <c r="A63" s="195" t="s">
        <v>163</v>
      </c>
      <c r="B63" s="472">
        <v>943</v>
      </c>
      <c r="C63" s="472">
        <v>58</v>
      </c>
      <c r="D63" s="472">
        <v>8155</v>
      </c>
      <c r="E63" s="472">
        <f>E62+B63-C63</f>
        <v>8279</v>
      </c>
      <c r="F63" s="472">
        <f t="shared" si="27"/>
        <v>-124</v>
      </c>
      <c r="L63" s="100" t="s">
        <v>447</v>
      </c>
      <c r="M63" s="11"/>
      <c r="N63" s="67">
        <v>1199</v>
      </c>
      <c r="O63" s="76">
        <v>48</v>
      </c>
      <c r="P63" s="76">
        <f t="shared" si="3"/>
        <v>1151</v>
      </c>
      <c r="Q63" s="10">
        <f t="shared" si="25"/>
        <v>1240.778</v>
      </c>
      <c r="R63" s="54">
        <f t="shared" si="5"/>
        <v>0</v>
      </c>
      <c r="S63" s="103"/>
      <c r="T63" s="36">
        <f t="shared" si="26"/>
        <v>0</v>
      </c>
      <c r="U63" s="46" t="e">
        <f t="shared" si="15"/>
        <v>#DIV/0!</v>
      </c>
      <c r="V63" s="18"/>
    </row>
    <row r="64" spans="1:47">
      <c r="A64" s="195" t="s">
        <v>164</v>
      </c>
      <c r="B64" s="472">
        <v>0</v>
      </c>
      <c r="C64" s="197"/>
      <c r="D64" s="198">
        <v>8155</v>
      </c>
      <c r="E64" s="472">
        <f t="shared" ref="E64:E117" si="30">E63+B64-C64</f>
        <v>8279</v>
      </c>
      <c r="F64" s="472">
        <f t="shared" si="27"/>
        <v>-124</v>
      </c>
      <c r="L64" s="100" t="s">
        <v>448</v>
      </c>
      <c r="M64" s="11"/>
      <c r="N64" s="67">
        <v>1277</v>
      </c>
      <c r="O64" s="76">
        <v>51</v>
      </c>
      <c r="P64" s="76">
        <f t="shared" si="3"/>
        <v>1226</v>
      </c>
      <c r="Q64" s="10">
        <f t="shared" si="25"/>
        <v>1321.6280000000002</v>
      </c>
      <c r="R64" s="54">
        <f t="shared" si="5"/>
        <v>0</v>
      </c>
      <c r="S64" s="103"/>
      <c r="T64" s="36">
        <f t="shared" si="26"/>
        <v>0</v>
      </c>
      <c r="U64" s="46" t="e">
        <f t="shared" si="15"/>
        <v>#DIV/0!</v>
      </c>
      <c r="V64" s="14"/>
      <c r="W64" s="46"/>
      <c r="X64" s="46"/>
    </row>
    <row r="65" spans="1:30">
      <c r="A65" s="195" t="s">
        <v>165</v>
      </c>
      <c r="B65" s="472">
        <v>1111</v>
      </c>
      <c r="C65" s="197"/>
      <c r="D65" s="198">
        <v>9058</v>
      </c>
      <c r="E65" s="472">
        <f t="shared" si="30"/>
        <v>9390</v>
      </c>
      <c r="F65" s="472">
        <f t="shared" si="27"/>
        <v>-332</v>
      </c>
      <c r="L65" s="100" t="s">
        <v>449</v>
      </c>
      <c r="M65" s="11"/>
      <c r="N65" s="76">
        <v>1941</v>
      </c>
      <c r="O65" s="76">
        <v>74</v>
      </c>
      <c r="P65" s="76">
        <f t="shared" si="3"/>
        <v>1867</v>
      </c>
      <c r="Q65" s="10">
        <f t="shared" si="25"/>
        <v>2012.6260000000002</v>
      </c>
      <c r="R65" s="54">
        <f t="shared" si="5"/>
        <v>0</v>
      </c>
      <c r="S65" s="103"/>
      <c r="T65" s="36">
        <f t="shared" si="26"/>
        <v>0</v>
      </c>
      <c r="U65" s="46" t="e">
        <f t="shared" si="15"/>
        <v>#DIV/0!</v>
      </c>
      <c r="W65" s="46"/>
      <c r="X65" s="46"/>
    </row>
    <row r="66" spans="1:30">
      <c r="A66" s="277" t="s">
        <v>258</v>
      </c>
      <c r="B66" s="90">
        <v>0</v>
      </c>
      <c r="C66" s="90">
        <v>147</v>
      </c>
      <c r="D66" s="198">
        <v>8832</v>
      </c>
      <c r="E66" s="472">
        <f t="shared" si="30"/>
        <v>9243</v>
      </c>
      <c r="F66" s="472">
        <f t="shared" si="27"/>
        <v>-411</v>
      </c>
      <c r="L66" s="100" t="s">
        <v>450</v>
      </c>
      <c r="M66" s="11"/>
      <c r="N66" s="67">
        <v>1257</v>
      </c>
      <c r="O66" s="76">
        <v>30</v>
      </c>
      <c r="P66" s="76">
        <f t="shared" si="3"/>
        <v>1227</v>
      </c>
      <c r="Q66" s="10">
        <f t="shared" si="25"/>
        <v>1322.7060000000001</v>
      </c>
      <c r="R66" s="54">
        <f t="shared" si="5"/>
        <v>0</v>
      </c>
      <c r="S66" s="103"/>
      <c r="T66" s="36">
        <f t="shared" si="26"/>
        <v>0</v>
      </c>
      <c r="U66" s="46" t="e">
        <f t="shared" si="15"/>
        <v>#DIV/0!</v>
      </c>
      <c r="W66" s="46"/>
      <c r="X66" s="46"/>
      <c r="Y66" s="46"/>
    </row>
    <row r="67" spans="1:30">
      <c r="A67" s="277" t="s">
        <v>124</v>
      </c>
      <c r="B67" s="90">
        <v>0</v>
      </c>
      <c r="C67" s="90">
        <v>138</v>
      </c>
      <c r="D67" s="198">
        <v>8742</v>
      </c>
      <c r="E67" s="472">
        <f t="shared" si="30"/>
        <v>9105</v>
      </c>
      <c r="F67" s="472">
        <f t="shared" si="27"/>
        <v>-363</v>
      </c>
      <c r="L67" s="100"/>
      <c r="M67" s="11"/>
      <c r="N67" s="67"/>
      <c r="O67" s="76"/>
      <c r="P67" s="76"/>
      <c r="Q67" s="10"/>
      <c r="R67" s="54">
        <f t="shared" si="5"/>
        <v>0</v>
      </c>
      <c r="S67" s="103"/>
      <c r="T67" s="36">
        <f t="shared" si="26"/>
        <v>0</v>
      </c>
      <c r="U67" s="46" t="e">
        <f t="shared" si="15"/>
        <v>#DIV/0!</v>
      </c>
      <c r="X67" s="46"/>
    </row>
    <row r="68" spans="1:30">
      <c r="A68" s="277" t="s">
        <v>125</v>
      </c>
      <c r="B68" s="90">
        <v>0</v>
      </c>
      <c r="C68" s="90">
        <v>555</v>
      </c>
      <c r="D68" s="198">
        <v>8291</v>
      </c>
      <c r="E68" s="472">
        <f t="shared" si="30"/>
        <v>8550</v>
      </c>
      <c r="F68" s="472">
        <f t="shared" si="27"/>
        <v>-259</v>
      </c>
      <c r="L68" s="11" t="s">
        <v>7</v>
      </c>
      <c r="M68" s="120">
        <f t="shared" ref="M68:R68" si="31">SUM(M36:M67)</f>
        <v>0</v>
      </c>
      <c r="N68" s="120">
        <f t="shared" si="31"/>
        <v>46585.2</v>
      </c>
      <c r="O68" s="61">
        <f t="shared" si="31"/>
        <v>1853.2</v>
      </c>
      <c r="P68" s="61">
        <f t="shared" si="31"/>
        <v>44732</v>
      </c>
      <c r="Q68" s="120">
        <f t="shared" si="31"/>
        <v>47863.466199999988</v>
      </c>
      <c r="R68" s="61">
        <f t="shared" si="31"/>
        <v>0</v>
      </c>
      <c r="S68" s="62"/>
      <c r="T68" s="113">
        <f>SUM(T38:T67)</f>
        <v>0</v>
      </c>
      <c r="U68" s="46" t="e">
        <f>SUM(U36:U67)</f>
        <v>#DIV/0!</v>
      </c>
      <c r="V68" s="136" t="e">
        <f>Q68/M68</f>
        <v>#DIV/0!</v>
      </c>
      <c r="W68" s="36"/>
      <c r="Z68" s="48"/>
      <c r="AA68" s="15"/>
      <c r="AC68" s="35"/>
      <c r="AD68" s="35"/>
    </row>
    <row r="69" spans="1:30">
      <c r="A69" s="277" t="s">
        <v>126</v>
      </c>
      <c r="B69" s="90">
        <v>0</v>
      </c>
      <c r="C69" s="90">
        <v>113</v>
      </c>
      <c r="D69" s="198">
        <v>8155</v>
      </c>
      <c r="E69" s="472">
        <f t="shared" si="30"/>
        <v>8437</v>
      </c>
      <c r="F69" s="472">
        <f t="shared" si="27"/>
        <v>-282</v>
      </c>
      <c r="L69" s="101" t="s">
        <v>56</v>
      </c>
      <c r="M69" s="9"/>
      <c r="Q69" s="36"/>
      <c r="S69" s="63"/>
      <c r="T69" s="70"/>
      <c r="U69" s="69"/>
      <c r="V69" s="46"/>
    </row>
    <row r="70" spans="1:30">
      <c r="A70" s="277" t="s">
        <v>127</v>
      </c>
      <c r="B70" s="90">
        <v>0</v>
      </c>
      <c r="C70" s="90">
        <v>197</v>
      </c>
      <c r="D70" s="198">
        <v>7930</v>
      </c>
      <c r="E70" s="472">
        <f t="shared" si="30"/>
        <v>8240</v>
      </c>
      <c r="F70" s="472">
        <f t="shared" si="27"/>
        <v>-310</v>
      </c>
      <c r="Q70" s="49"/>
      <c r="R70" s="64"/>
    </row>
    <row r="71" spans="1:30">
      <c r="A71" s="277" t="s">
        <v>128</v>
      </c>
      <c r="B71" s="90">
        <v>225</v>
      </c>
      <c r="C71" s="90">
        <v>0</v>
      </c>
      <c r="D71" s="198">
        <v>7930</v>
      </c>
      <c r="E71" s="472">
        <f t="shared" si="30"/>
        <v>8465</v>
      </c>
      <c r="F71" s="472">
        <f t="shared" si="27"/>
        <v>-535</v>
      </c>
      <c r="M71" s="114"/>
      <c r="Q71" s="111"/>
    </row>
    <row r="72" spans="1:30">
      <c r="A72" s="277" t="s">
        <v>129</v>
      </c>
      <c r="B72" s="90">
        <v>1803</v>
      </c>
      <c r="C72" s="90">
        <v>0</v>
      </c>
      <c r="D72" s="198">
        <v>9509</v>
      </c>
      <c r="E72" s="472">
        <f t="shared" si="30"/>
        <v>10268</v>
      </c>
      <c r="F72" s="472">
        <f t="shared" si="27"/>
        <v>-759</v>
      </c>
      <c r="J72" s="13">
        <v>32</v>
      </c>
      <c r="Q72" s="110"/>
      <c r="R72" s="109"/>
      <c r="W72" s="46"/>
    </row>
    <row r="73" spans="1:30">
      <c r="A73" s="277" t="s">
        <v>130</v>
      </c>
      <c r="B73" s="90">
        <v>245</v>
      </c>
      <c r="C73" s="90">
        <v>88</v>
      </c>
      <c r="D73" s="198">
        <v>10006</v>
      </c>
      <c r="E73" s="472">
        <f t="shared" si="30"/>
        <v>10425</v>
      </c>
      <c r="F73" s="472">
        <f t="shared" si="27"/>
        <v>-419</v>
      </c>
      <c r="J73" s="13">
        <v>75</v>
      </c>
      <c r="L73" s="201" t="s">
        <v>175</v>
      </c>
      <c r="M73"/>
      <c r="N73"/>
      <c r="O73"/>
      <c r="P73"/>
      <c r="Q73"/>
      <c r="R73"/>
      <c r="S73"/>
      <c r="T73"/>
      <c r="U73"/>
      <c r="V73"/>
      <c r="W73"/>
    </row>
    <row r="74" spans="1:30">
      <c r="A74" s="277" t="s">
        <v>131</v>
      </c>
      <c r="B74" s="90">
        <v>0</v>
      </c>
      <c r="C74" s="90">
        <v>189</v>
      </c>
      <c r="D74" s="198">
        <v>9870</v>
      </c>
      <c r="E74" s="472">
        <f t="shared" si="30"/>
        <v>10236</v>
      </c>
      <c r="F74" s="472">
        <f t="shared" si="27"/>
        <v>-366</v>
      </c>
      <c r="J74" s="13">
        <f>J73*J72</f>
        <v>2400</v>
      </c>
      <c r="L74" s="473" t="s">
        <v>1</v>
      </c>
      <c r="M74" s="473"/>
      <c r="N74" s="473"/>
      <c r="O74" s="849" t="s">
        <v>169</v>
      </c>
      <c r="P74" s="850"/>
      <c r="Q74" s="851" t="s">
        <v>170</v>
      </c>
      <c r="R74" s="848"/>
      <c r="S74" s="849" t="s">
        <v>176</v>
      </c>
      <c r="T74" s="852"/>
      <c r="U74" s="858" t="s">
        <v>177</v>
      </c>
      <c r="V74" s="848"/>
      <c r="W74"/>
      <c r="X74" s="46"/>
    </row>
    <row r="75" spans="1:30">
      <c r="A75" s="277" t="s">
        <v>132</v>
      </c>
      <c r="B75" s="90">
        <v>0</v>
      </c>
      <c r="C75" s="90">
        <v>58</v>
      </c>
      <c r="D75" s="198">
        <v>9735</v>
      </c>
      <c r="E75" s="472">
        <f t="shared" si="30"/>
        <v>10178</v>
      </c>
      <c r="F75" s="472">
        <f t="shared" si="27"/>
        <v>-443</v>
      </c>
      <c r="L75" s="473" t="s">
        <v>171</v>
      </c>
      <c r="M75" s="473"/>
      <c r="N75" s="473"/>
      <c r="O75" s="859">
        <v>32509</v>
      </c>
      <c r="P75" s="860"/>
      <c r="Q75" s="861">
        <v>33756</v>
      </c>
      <c r="R75" s="859"/>
      <c r="S75" s="859">
        <v>27950</v>
      </c>
      <c r="T75" s="862"/>
      <c r="U75" s="863">
        <v>33920</v>
      </c>
      <c r="V75" s="859"/>
      <c r="W75"/>
      <c r="X75" s="46"/>
    </row>
    <row r="76" spans="1:30">
      <c r="A76" s="277" t="s">
        <v>133</v>
      </c>
      <c r="B76" s="90">
        <v>0</v>
      </c>
      <c r="C76" s="90">
        <v>91</v>
      </c>
      <c r="D76" s="198">
        <v>9645</v>
      </c>
      <c r="E76" s="472">
        <f t="shared" si="30"/>
        <v>10087</v>
      </c>
      <c r="F76" s="472">
        <f t="shared" si="27"/>
        <v>-442</v>
      </c>
      <c r="L76" s="473" t="s">
        <v>172</v>
      </c>
      <c r="M76" s="473"/>
      <c r="N76" s="473"/>
      <c r="O76" s="848">
        <v>80.3</v>
      </c>
      <c r="P76" s="850"/>
      <c r="Q76" s="851">
        <v>77.400000000000006</v>
      </c>
      <c r="R76" s="848"/>
      <c r="S76" s="855">
        <v>80</v>
      </c>
      <c r="T76" s="856"/>
      <c r="U76" s="857">
        <v>80</v>
      </c>
      <c r="V76" s="855"/>
      <c r="W76"/>
      <c r="X76" s="46"/>
    </row>
    <row r="77" spans="1:30">
      <c r="A77" s="310" t="s">
        <v>282</v>
      </c>
      <c r="B77" s="90">
        <v>0</v>
      </c>
      <c r="C77" s="90">
        <v>118</v>
      </c>
      <c r="D77" s="198">
        <v>9527</v>
      </c>
      <c r="E77" s="472">
        <f t="shared" si="30"/>
        <v>9969</v>
      </c>
      <c r="F77" s="472">
        <f t="shared" si="27"/>
        <v>-442</v>
      </c>
      <c r="L77" s="473" t="s">
        <v>173</v>
      </c>
      <c r="M77" s="473"/>
      <c r="N77" s="473"/>
      <c r="O77" s="848">
        <v>36.5</v>
      </c>
      <c r="P77" s="850"/>
      <c r="Q77" s="851">
        <v>37.9</v>
      </c>
      <c r="R77" s="848"/>
      <c r="S77" s="848">
        <v>36.5</v>
      </c>
      <c r="T77" s="852"/>
      <c r="U77" s="853">
        <v>36.5</v>
      </c>
      <c r="V77" s="848"/>
      <c r="W77"/>
      <c r="X77" s="46"/>
    </row>
    <row r="78" spans="1:30">
      <c r="A78" s="316" t="s">
        <v>318</v>
      </c>
      <c r="B78" s="90">
        <v>856</v>
      </c>
      <c r="C78" s="90">
        <v>0</v>
      </c>
      <c r="D78" s="198">
        <v>10638</v>
      </c>
      <c r="E78" s="472">
        <f t="shared" si="30"/>
        <v>10825</v>
      </c>
      <c r="F78" s="472">
        <f t="shared" si="27"/>
        <v>-187</v>
      </c>
      <c r="L78" s="473" t="s">
        <v>174</v>
      </c>
      <c r="M78" s="473"/>
      <c r="N78" s="473"/>
      <c r="O78" s="848">
        <v>6.08</v>
      </c>
      <c r="P78" s="850"/>
      <c r="Q78" s="851">
        <v>6.36</v>
      </c>
      <c r="R78" s="848"/>
      <c r="S78" s="848">
        <v>5.7</v>
      </c>
      <c r="T78" s="852"/>
      <c r="U78" s="853">
        <v>5.5</v>
      </c>
      <c r="V78" s="848"/>
      <c r="W78"/>
      <c r="X78" s="42"/>
    </row>
    <row r="79" spans="1:30">
      <c r="A79" s="316" t="s">
        <v>319</v>
      </c>
      <c r="B79" s="90">
        <v>0</v>
      </c>
      <c r="C79" s="90">
        <v>88</v>
      </c>
      <c r="D79" s="198">
        <v>10728</v>
      </c>
      <c r="E79" s="472">
        <f t="shared" si="30"/>
        <v>10737</v>
      </c>
      <c r="F79" s="472">
        <f t="shared" si="27"/>
        <v>-9</v>
      </c>
      <c r="O79" s="36"/>
      <c r="P79" s="36"/>
      <c r="Q79" s="36"/>
      <c r="R79" s="18"/>
      <c r="S79" s="18"/>
    </row>
    <row r="80" spans="1:30">
      <c r="A80" s="316" t="s">
        <v>320</v>
      </c>
      <c r="B80" s="90">
        <v>0</v>
      </c>
      <c r="C80" s="90">
        <v>88</v>
      </c>
      <c r="D80" s="198">
        <v>10638</v>
      </c>
      <c r="E80" s="472">
        <f t="shared" si="30"/>
        <v>10649</v>
      </c>
      <c r="F80" s="472">
        <f t="shared" si="27"/>
        <v>-11</v>
      </c>
      <c r="N80" s="46"/>
      <c r="O80" s="46"/>
      <c r="P80" s="46"/>
      <c r="Q80" s="65"/>
      <c r="R80" s="65"/>
    </row>
    <row r="81" spans="1:13">
      <c r="A81" s="316" t="s">
        <v>323</v>
      </c>
      <c r="B81" s="90">
        <v>0</v>
      </c>
      <c r="C81" s="90">
        <v>58</v>
      </c>
      <c r="D81" s="198">
        <v>10593</v>
      </c>
      <c r="E81" s="472">
        <f t="shared" si="30"/>
        <v>10591</v>
      </c>
      <c r="F81" s="472">
        <f t="shared" si="27"/>
        <v>2</v>
      </c>
      <c r="M81" s="72"/>
    </row>
    <row r="82" spans="1:13">
      <c r="A82" s="317" t="s">
        <v>324</v>
      </c>
      <c r="B82" s="90">
        <v>0</v>
      </c>
      <c r="C82" s="90">
        <v>115</v>
      </c>
      <c r="D82" s="198">
        <v>10362</v>
      </c>
      <c r="E82" s="472">
        <f t="shared" si="30"/>
        <v>10476</v>
      </c>
      <c r="F82" s="472">
        <f t="shared" si="27"/>
        <v>-114</v>
      </c>
      <c r="M82" s="72"/>
    </row>
    <row r="83" spans="1:13">
      <c r="A83" s="317" t="s">
        <v>325</v>
      </c>
      <c r="B83" s="90">
        <v>0</v>
      </c>
      <c r="C83" s="90">
        <v>146</v>
      </c>
      <c r="D83" s="198">
        <v>10186</v>
      </c>
      <c r="E83" s="472">
        <f t="shared" si="30"/>
        <v>10330</v>
      </c>
      <c r="F83" s="472">
        <f t="shared" si="27"/>
        <v>-144</v>
      </c>
      <c r="L83" s="284"/>
      <c r="M83" s="72"/>
    </row>
    <row r="84" spans="1:13">
      <c r="A84" s="325" t="s">
        <v>329</v>
      </c>
      <c r="B84" s="90">
        <v>0</v>
      </c>
      <c r="C84" s="90">
        <v>88</v>
      </c>
      <c r="D84" s="198">
        <v>10096</v>
      </c>
      <c r="E84" s="472">
        <f t="shared" si="30"/>
        <v>10242</v>
      </c>
      <c r="F84" s="472">
        <f t="shared" si="27"/>
        <v>-146</v>
      </c>
      <c r="L84" s="284"/>
    </row>
    <row r="85" spans="1:13">
      <c r="A85" s="325" t="s">
        <v>331</v>
      </c>
      <c r="B85" s="90">
        <v>0</v>
      </c>
      <c r="C85" s="90">
        <v>58</v>
      </c>
      <c r="D85" s="198">
        <v>10051</v>
      </c>
      <c r="E85" s="472">
        <f t="shared" si="30"/>
        <v>10184</v>
      </c>
      <c r="F85" s="472">
        <f t="shared" si="27"/>
        <v>-133</v>
      </c>
    </row>
    <row r="86" spans="1:13">
      <c r="A86" s="325" t="s">
        <v>332</v>
      </c>
      <c r="B86" s="90">
        <v>0</v>
      </c>
      <c r="C86" s="90">
        <v>58</v>
      </c>
      <c r="D86" s="198">
        <v>9961</v>
      </c>
      <c r="E86" s="472">
        <f t="shared" si="30"/>
        <v>10126</v>
      </c>
      <c r="F86" s="472">
        <f t="shared" si="27"/>
        <v>-165</v>
      </c>
      <c r="L86" s="284"/>
    </row>
    <row r="87" spans="1:13">
      <c r="A87" s="325" t="s">
        <v>333</v>
      </c>
      <c r="B87" s="90">
        <v>0</v>
      </c>
      <c r="C87" s="90">
        <v>59</v>
      </c>
      <c r="D87" s="198">
        <v>9961</v>
      </c>
      <c r="E87" s="472">
        <f t="shared" si="30"/>
        <v>10067</v>
      </c>
      <c r="F87" s="472">
        <f t="shared" si="27"/>
        <v>-106</v>
      </c>
      <c r="L87" s="284"/>
      <c r="M87" s="284"/>
    </row>
    <row r="88" spans="1:13">
      <c r="A88" s="325" t="s">
        <v>334</v>
      </c>
      <c r="B88" s="90">
        <v>0</v>
      </c>
      <c r="C88" s="90">
        <v>117</v>
      </c>
      <c r="D88" s="198">
        <v>9780</v>
      </c>
      <c r="E88" s="472">
        <f t="shared" si="30"/>
        <v>9950</v>
      </c>
      <c r="F88" s="472">
        <f t="shared" si="27"/>
        <v>-170</v>
      </c>
    </row>
    <row r="89" spans="1:13">
      <c r="A89" s="325" t="s">
        <v>335</v>
      </c>
      <c r="B89" s="90">
        <v>0</v>
      </c>
      <c r="C89" s="90">
        <v>27</v>
      </c>
      <c r="D89" s="198">
        <v>9735</v>
      </c>
      <c r="E89" s="472">
        <f t="shared" si="30"/>
        <v>9923</v>
      </c>
      <c r="F89" s="472">
        <f t="shared" si="27"/>
        <v>-188</v>
      </c>
    </row>
    <row r="90" spans="1:13">
      <c r="A90" s="331" t="s">
        <v>338</v>
      </c>
      <c r="B90" s="90">
        <v>0</v>
      </c>
      <c r="C90" s="90">
        <v>145</v>
      </c>
      <c r="D90" s="198">
        <v>9600</v>
      </c>
      <c r="E90" s="472">
        <f t="shared" si="30"/>
        <v>9778</v>
      </c>
      <c r="F90" s="472">
        <f t="shared" si="27"/>
        <v>-178</v>
      </c>
    </row>
    <row r="91" spans="1:13">
      <c r="A91" s="331" t="s">
        <v>341</v>
      </c>
      <c r="B91" s="90">
        <v>0</v>
      </c>
      <c r="C91" s="90">
        <v>29</v>
      </c>
      <c r="D91" s="198">
        <v>9555</v>
      </c>
      <c r="E91" s="472">
        <f t="shared" si="30"/>
        <v>9749</v>
      </c>
      <c r="F91" s="472">
        <f t="shared" si="27"/>
        <v>-194</v>
      </c>
    </row>
    <row r="92" spans="1:13">
      <c r="A92" s="335" t="s">
        <v>342</v>
      </c>
      <c r="B92" s="90">
        <v>0</v>
      </c>
      <c r="C92" s="90">
        <v>29</v>
      </c>
      <c r="D92" s="198">
        <v>9464</v>
      </c>
      <c r="E92" s="472">
        <f t="shared" si="30"/>
        <v>9720</v>
      </c>
      <c r="F92" s="472">
        <f t="shared" si="27"/>
        <v>-256</v>
      </c>
    </row>
    <row r="93" spans="1:13">
      <c r="A93" s="335" t="s">
        <v>373</v>
      </c>
      <c r="B93" s="90">
        <v>0</v>
      </c>
      <c r="C93" s="90">
        <v>58</v>
      </c>
      <c r="D93" s="198">
        <v>9374</v>
      </c>
      <c r="E93" s="472">
        <f t="shared" si="30"/>
        <v>9662</v>
      </c>
      <c r="F93" s="472">
        <f t="shared" si="27"/>
        <v>-288</v>
      </c>
    </row>
    <row r="94" spans="1:13">
      <c r="A94" s="476" t="s">
        <v>385</v>
      </c>
      <c r="B94" s="90">
        <v>0</v>
      </c>
      <c r="C94" s="90">
        <v>147</v>
      </c>
      <c r="D94" s="198">
        <v>9284</v>
      </c>
      <c r="E94" s="472">
        <f t="shared" si="30"/>
        <v>9515</v>
      </c>
      <c r="F94" s="472">
        <f t="shared" si="27"/>
        <v>-231</v>
      </c>
    </row>
    <row r="95" spans="1:13">
      <c r="A95" s="476" t="s">
        <v>388</v>
      </c>
      <c r="B95" s="90">
        <v>0</v>
      </c>
      <c r="C95" s="90">
        <v>205</v>
      </c>
      <c r="D95" s="198">
        <v>9058</v>
      </c>
      <c r="E95" s="472">
        <f t="shared" si="30"/>
        <v>9310</v>
      </c>
      <c r="F95" s="472">
        <f t="shared" si="27"/>
        <v>-252</v>
      </c>
    </row>
    <row r="96" spans="1:13">
      <c r="A96" s="476" t="s">
        <v>390</v>
      </c>
      <c r="B96" s="90">
        <v>0</v>
      </c>
      <c r="C96" s="90">
        <v>87</v>
      </c>
      <c r="D96" s="198">
        <v>8832</v>
      </c>
      <c r="E96" s="472">
        <f t="shared" si="30"/>
        <v>9223</v>
      </c>
      <c r="F96" s="472">
        <f t="shared" si="27"/>
        <v>-391</v>
      </c>
    </row>
    <row r="97" spans="1:6">
      <c r="A97" s="476" t="s">
        <v>391</v>
      </c>
      <c r="B97" s="90">
        <v>0</v>
      </c>
      <c r="C97" s="90">
        <v>146</v>
      </c>
      <c r="D97" s="198">
        <v>8600</v>
      </c>
      <c r="E97" s="472">
        <f t="shared" si="30"/>
        <v>9077</v>
      </c>
      <c r="F97" s="472">
        <f t="shared" si="27"/>
        <v>-477</v>
      </c>
    </row>
    <row r="98" spans="1:6">
      <c r="A98" s="476" t="s">
        <v>393</v>
      </c>
      <c r="B98" s="90">
        <v>0</v>
      </c>
      <c r="C98" s="90">
        <v>29</v>
      </c>
      <c r="D98" s="198">
        <v>8516</v>
      </c>
      <c r="E98" s="472">
        <f t="shared" si="30"/>
        <v>9048</v>
      </c>
      <c r="F98" s="472">
        <f t="shared" si="27"/>
        <v>-532</v>
      </c>
    </row>
    <row r="99" spans="1:6">
      <c r="A99" s="380" t="s">
        <v>395</v>
      </c>
      <c r="B99" s="90">
        <v>534</v>
      </c>
      <c r="C99" s="90">
        <v>0</v>
      </c>
      <c r="D99" s="198">
        <v>8832</v>
      </c>
      <c r="E99" s="472">
        <f t="shared" si="30"/>
        <v>9582</v>
      </c>
      <c r="F99" s="472">
        <f t="shared" si="27"/>
        <v>-750</v>
      </c>
    </row>
    <row r="100" spans="1:6">
      <c r="A100" s="380" t="s">
        <v>398</v>
      </c>
      <c r="B100" s="90">
        <v>1138</v>
      </c>
      <c r="C100" s="90">
        <v>0</v>
      </c>
      <c r="D100" s="198">
        <v>10186</v>
      </c>
      <c r="E100" s="472">
        <f t="shared" si="30"/>
        <v>10720</v>
      </c>
      <c r="F100" s="472">
        <f t="shared" si="27"/>
        <v>-534</v>
      </c>
    </row>
    <row r="101" spans="1:6">
      <c r="A101" s="393" t="s">
        <v>401</v>
      </c>
      <c r="B101" s="90">
        <v>0</v>
      </c>
      <c r="C101" s="90">
        <v>117</v>
      </c>
      <c r="D101" s="198">
        <v>9961</v>
      </c>
      <c r="E101" s="472">
        <f t="shared" si="30"/>
        <v>10603</v>
      </c>
      <c r="F101" s="472">
        <f t="shared" si="27"/>
        <v>-642</v>
      </c>
    </row>
    <row r="102" spans="1:6">
      <c r="A102" s="393" t="s">
        <v>402</v>
      </c>
      <c r="B102" s="90">
        <v>0</v>
      </c>
      <c r="C102" s="90">
        <v>88</v>
      </c>
      <c r="D102" s="198">
        <v>9870</v>
      </c>
      <c r="E102" s="472">
        <f t="shared" si="30"/>
        <v>10515</v>
      </c>
      <c r="F102" s="472">
        <f t="shared" si="27"/>
        <v>-645</v>
      </c>
    </row>
    <row r="103" spans="1:6">
      <c r="A103" s="402" t="s">
        <v>406</v>
      </c>
      <c r="B103" s="90">
        <v>0</v>
      </c>
      <c r="C103" s="90">
        <v>89</v>
      </c>
      <c r="D103" s="198">
        <v>9735</v>
      </c>
      <c r="E103" s="472">
        <f t="shared" si="30"/>
        <v>10426</v>
      </c>
      <c r="F103" s="472">
        <f t="shared" si="27"/>
        <v>-691</v>
      </c>
    </row>
    <row r="104" spans="1:6">
      <c r="A104" s="402" t="s">
        <v>407</v>
      </c>
      <c r="B104" s="90">
        <v>0</v>
      </c>
      <c r="C104" s="90">
        <v>117</v>
      </c>
      <c r="D104" s="198">
        <v>9600</v>
      </c>
      <c r="E104" s="472">
        <f t="shared" si="30"/>
        <v>10309</v>
      </c>
      <c r="F104" s="472">
        <f t="shared" si="27"/>
        <v>-709</v>
      </c>
    </row>
    <row r="105" spans="1:6">
      <c r="A105" s="402" t="s">
        <v>408</v>
      </c>
      <c r="B105" s="90">
        <v>0</v>
      </c>
      <c r="C105" s="90">
        <v>317</v>
      </c>
      <c r="D105" s="198">
        <v>9284</v>
      </c>
      <c r="E105" s="472">
        <f t="shared" si="30"/>
        <v>9992</v>
      </c>
      <c r="F105" s="472">
        <f t="shared" si="27"/>
        <v>-708</v>
      </c>
    </row>
    <row r="106" spans="1:6">
      <c r="A106" s="402" t="s">
        <v>409</v>
      </c>
      <c r="B106" s="90">
        <v>0</v>
      </c>
      <c r="C106" s="90">
        <v>116</v>
      </c>
      <c r="D106" s="198">
        <v>9148</v>
      </c>
      <c r="E106" s="472">
        <f t="shared" si="30"/>
        <v>9876</v>
      </c>
      <c r="F106" s="472">
        <f t="shared" si="27"/>
        <v>-728</v>
      </c>
    </row>
    <row r="107" spans="1:6">
      <c r="A107" s="402" t="s">
        <v>411</v>
      </c>
      <c r="B107" s="90">
        <v>263</v>
      </c>
      <c r="C107" s="90">
        <v>0</v>
      </c>
      <c r="D107" s="198">
        <v>9400</v>
      </c>
      <c r="E107" s="472">
        <f t="shared" si="30"/>
        <v>10139</v>
      </c>
      <c r="F107" s="472">
        <f t="shared" si="27"/>
        <v>-739</v>
      </c>
    </row>
    <row r="108" spans="1:6">
      <c r="A108" s="412" t="s">
        <v>413</v>
      </c>
      <c r="B108" s="90">
        <v>1000</v>
      </c>
      <c r="C108" s="90">
        <v>145</v>
      </c>
      <c r="D108" s="198">
        <v>10412</v>
      </c>
      <c r="E108" s="472">
        <f t="shared" si="30"/>
        <v>10994</v>
      </c>
      <c r="F108" s="472">
        <f t="shared" si="27"/>
        <v>-582</v>
      </c>
    </row>
    <row r="109" spans="1:6">
      <c r="A109" s="412" t="s">
        <v>414</v>
      </c>
      <c r="B109" s="90">
        <v>0</v>
      </c>
      <c r="C109" s="90">
        <v>177</v>
      </c>
      <c r="D109" s="198">
        <v>10176</v>
      </c>
      <c r="E109" s="472">
        <f t="shared" si="30"/>
        <v>10817</v>
      </c>
      <c r="F109" s="472">
        <f t="shared" si="27"/>
        <v>-641</v>
      </c>
    </row>
    <row r="110" spans="1:6">
      <c r="A110" s="412" t="s">
        <v>415</v>
      </c>
      <c r="B110" s="90">
        <v>0</v>
      </c>
      <c r="C110" s="90">
        <v>87</v>
      </c>
      <c r="D110" s="198">
        <v>9961</v>
      </c>
      <c r="E110" s="472">
        <f t="shared" si="30"/>
        <v>10730</v>
      </c>
      <c r="F110" s="472">
        <f t="shared" si="27"/>
        <v>-769</v>
      </c>
    </row>
    <row r="111" spans="1:6">
      <c r="A111" s="412" t="s">
        <v>417</v>
      </c>
      <c r="B111" s="90">
        <v>0</v>
      </c>
      <c r="C111" s="90">
        <v>359</v>
      </c>
      <c r="D111" s="198">
        <v>9600</v>
      </c>
      <c r="E111" s="472">
        <f t="shared" si="30"/>
        <v>10371</v>
      </c>
      <c r="F111" s="472">
        <f t="shared" si="27"/>
        <v>-771</v>
      </c>
    </row>
    <row r="112" spans="1:6">
      <c r="A112" s="412" t="s">
        <v>419</v>
      </c>
      <c r="B112" s="90">
        <v>0</v>
      </c>
      <c r="C112" s="90">
        <v>87</v>
      </c>
      <c r="D112" s="198">
        <v>9509</v>
      </c>
      <c r="E112" s="472">
        <f t="shared" si="30"/>
        <v>10284</v>
      </c>
      <c r="F112" s="472">
        <f t="shared" si="27"/>
        <v>-775</v>
      </c>
    </row>
    <row r="113" spans="1:13">
      <c r="A113" s="412" t="s">
        <v>420</v>
      </c>
      <c r="B113" s="90">
        <v>0</v>
      </c>
      <c r="C113" s="90">
        <v>59</v>
      </c>
      <c r="D113" s="198">
        <v>9464</v>
      </c>
      <c r="E113" s="472">
        <f t="shared" si="30"/>
        <v>10225</v>
      </c>
      <c r="F113" s="472">
        <f t="shared" si="27"/>
        <v>-761</v>
      </c>
    </row>
    <row r="114" spans="1:13">
      <c r="A114" s="412" t="s">
        <v>451</v>
      </c>
      <c r="B114" s="90">
        <v>511</v>
      </c>
      <c r="C114" s="90">
        <v>0</v>
      </c>
      <c r="D114" s="198">
        <v>9961</v>
      </c>
      <c r="E114" s="472">
        <f t="shared" si="30"/>
        <v>10736</v>
      </c>
      <c r="F114" s="472">
        <f t="shared" si="27"/>
        <v>-775</v>
      </c>
    </row>
    <row r="115" spans="1:13">
      <c r="A115" s="412" t="s">
        <v>452</v>
      </c>
      <c r="B115" s="90">
        <v>300</v>
      </c>
      <c r="C115" s="90">
        <v>117</v>
      </c>
      <c r="D115" s="198">
        <v>10186</v>
      </c>
      <c r="E115" s="472">
        <f t="shared" si="30"/>
        <v>10919</v>
      </c>
      <c r="F115" s="472">
        <f t="shared" si="27"/>
        <v>-733</v>
      </c>
    </row>
    <row r="116" spans="1:13">
      <c r="A116" s="412" t="s">
        <v>457</v>
      </c>
      <c r="B116" s="90">
        <v>0</v>
      </c>
      <c r="C116" s="90">
        <v>146</v>
      </c>
      <c r="D116" s="198">
        <v>9735</v>
      </c>
      <c r="E116" s="472">
        <f t="shared" si="30"/>
        <v>10773</v>
      </c>
      <c r="F116" s="472">
        <f t="shared" si="27"/>
        <v>-1038</v>
      </c>
    </row>
    <row r="117" spans="1:13">
      <c r="A117" s="435" t="s">
        <v>421</v>
      </c>
      <c r="B117" s="90"/>
      <c r="C117" s="90">
        <v>204</v>
      </c>
      <c r="D117" s="198">
        <v>9555</v>
      </c>
      <c r="E117" s="472">
        <f t="shared" si="30"/>
        <v>10569</v>
      </c>
      <c r="F117" s="472">
        <f t="shared" si="27"/>
        <v>-1014</v>
      </c>
    </row>
    <row r="118" spans="1:13">
      <c r="A118" s="412"/>
      <c r="B118" s="90"/>
      <c r="C118" s="90"/>
      <c r="D118" s="198"/>
      <c r="E118" s="472"/>
      <c r="F118" s="472"/>
    </row>
    <row r="119" spans="1:13">
      <c r="A119" s="412"/>
      <c r="B119" s="90"/>
      <c r="C119" s="90"/>
      <c r="D119" s="198"/>
      <c r="E119" s="472"/>
      <c r="F119" s="472"/>
    </row>
    <row r="120" spans="1:13">
      <c r="A120" s="412"/>
      <c r="B120" s="90"/>
      <c r="C120" s="90"/>
      <c r="D120" s="198"/>
      <c r="E120" s="472"/>
      <c r="F120" s="472"/>
    </row>
    <row r="121" spans="1:13">
      <c r="A121" s="412"/>
      <c r="B121" s="90"/>
      <c r="C121" s="90"/>
      <c r="D121" s="198"/>
      <c r="E121" s="472"/>
      <c r="F121" s="472"/>
    </row>
    <row r="122" spans="1:13">
      <c r="A122" s="412"/>
      <c r="B122" s="90"/>
      <c r="C122" s="90"/>
      <c r="D122" s="198"/>
      <c r="E122" s="472"/>
      <c r="F122" s="472"/>
    </row>
    <row r="123" spans="1:13">
      <c r="A123" s="412" t="s">
        <v>459</v>
      </c>
      <c r="B123" s="90"/>
      <c r="C123" s="90"/>
      <c r="D123" s="198"/>
      <c r="E123" s="472"/>
      <c r="F123" s="472"/>
    </row>
    <row r="124" spans="1:13">
      <c r="A124" s="277"/>
      <c r="B124" s="90"/>
      <c r="C124" s="90"/>
      <c r="D124" s="90"/>
      <c r="E124" s="90"/>
      <c r="F124" s="90"/>
    </row>
    <row r="125" spans="1:13">
      <c r="A125" s="194" t="s">
        <v>31</v>
      </c>
      <c r="B125" s="472">
        <f>SUM(B58:B124)</f>
        <v>15091</v>
      </c>
      <c r="C125" s="472">
        <f>SUM(C58:C124)</f>
        <v>5842</v>
      </c>
      <c r="D125" s="197"/>
      <c r="E125" s="472"/>
      <c r="F125" s="472"/>
    </row>
    <row r="127" spans="1:13">
      <c r="L127" s="351" t="s">
        <v>376</v>
      </c>
      <c r="M127" s="379" t="s">
        <v>394</v>
      </c>
    </row>
    <row r="128" spans="1:13">
      <c r="K128" s="100" t="s">
        <v>381</v>
      </c>
      <c r="L128" s="13">
        <v>-146</v>
      </c>
      <c r="M128" s="13">
        <v>-172</v>
      </c>
    </row>
    <row r="129" spans="11:15">
      <c r="K129" s="100" t="s">
        <v>343</v>
      </c>
      <c r="L129" s="13">
        <v>113</v>
      </c>
      <c r="M129" s="13">
        <v>277</v>
      </c>
    </row>
    <row r="130" spans="11:15">
      <c r="K130" s="100" t="s">
        <v>344</v>
      </c>
      <c r="L130" s="13">
        <v>-59</v>
      </c>
      <c r="M130" s="13">
        <v>237</v>
      </c>
    </row>
    <row r="131" spans="11:15">
      <c r="K131" s="100" t="s">
        <v>345</v>
      </c>
      <c r="L131" s="13">
        <v>-135</v>
      </c>
      <c r="M131" s="13">
        <v>14</v>
      </c>
    </row>
    <row r="132" spans="11:15">
      <c r="K132" s="100" t="s">
        <v>346</v>
      </c>
      <c r="L132" s="13">
        <v>175</v>
      </c>
      <c r="M132" s="13">
        <v>95</v>
      </c>
    </row>
    <row r="133" spans="11:15">
      <c r="K133" s="100" t="s">
        <v>347</v>
      </c>
      <c r="L133" s="13">
        <v>-38</v>
      </c>
      <c r="M133" s="13">
        <v>-179</v>
      </c>
    </row>
    <row r="134" spans="11:15">
      <c r="K134" s="100" t="s">
        <v>348</v>
      </c>
      <c r="L134" s="13">
        <v>-232</v>
      </c>
      <c r="M134" s="13">
        <f>SUM(M128:M133)</f>
        <v>272</v>
      </c>
      <c r="N134" s="13">
        <v>4285</v>
      </c>
      <c r="O134" s="13">
        <f>N134-M134</f>
        <v>4013</v>
      </c>
    </row>
    <row r="135" spans="11:15">
      <c r="K135" s="100" t="s">
        <v>349</v>
      </c>
      <c r="L135" s="13">
        <v>304</v>
      </c>
      <c r="M135" s="13">
        <v>177</v>
      </c>
    </row>
    <row r="136" spans="11:15">
      <c r="K136" s="100" t="s">
        <v>350</v>
      </c>
      <c r="L136" s="13">
        <v>32</v>
      </c>
      <c r="M136" s="13">
        <v>-51</v>
      </c>
    </row>
    <row r="137" spans="11:15">
      <c r="K137" s="100" t="s">
        <v>351</v>
      </c>
      <c r="L137" s="13">
        <v>275</v>
      </c>
      <c r="M137" s="13">
        <v>368</v>
      </c>
    </row>
    <row r="138" spans="11:15">
      <c r="K138" s="100" t="s">
        <v>352</v>
      </c>
      <c r="L138" s="13">
        <v>8</v>
      </c>
      <c r="M138" s="13">
        <v>-14</v>
      </c>
    </row>
    <row r="139" spans="11:15">
      <c r="K139" s="100" t="s">
        <v>353</v>
      </c>
      <c r="L139" s="13">
        <v>35</v>
      </c>
      <c r="M139" s="13">
        <v>77</v>
      </c>
    </row>
    <row r="140" spans="11:15">
      <c r="K140" s="100" t="s">
        <v>354</v>
      </c>
      <c r="L140" s="13">
        <v>-24</v>
      </c>
      <c r="M140" s="13">
        <v>-201</v>
      </c>
    </row>
    <row r="141" spans="11:15">
      <c r="K141" s="100" t="s">
        <v>355</v>
      </c>
      <c r="L141" s="13">
        <v>-633</v>
      </c>
      <c r="M141" s="13">
        <v>-96</v>
      </c>
      <c r="N141" s="13">
        <f>SUM(L128:L141)</f>
        <v>-325</v>
      </c>
      <c r="O141" s="13">
        <f>SUM(M128:M141)</f>
        <v>804</v>
      </c>
    </row>
    <row r="142" spans="11:15">
      <c r="K142" s="100" t="s">
        <v>356</v>
      </c>
    </row>
    <row r="143" spans="11:15">
      <c r="K143" s="100" t="s">
        <v>357</v>
      </c>
    </row>
    <row r="144" spans="11:15">
      <c r="K144" s="100" t="s">
        <v>358</v>
      </c>
    </row>
    <row r="145" spans="11:12">
      <c r="K145" s="100" t="s">
        <v>359</v>
      </c>
    </row>
    <row r="146" spans="11:12">
      <c r="K146" s="100" t="s">
        <v>360</v>
      </c>
    </row>
    <row r="147" spans="11:12">
      <c r="K147" s="100" t="s">
        <v>361</v>
      </c>
    </row>
    <row r="148" spans="11:12">
      <c r="K148" s="100" t="s">
        <v>362</v>
      </c>
    </row>
    <row r="149" spans="11:12">
      <c r="K149" s="100" t="s">
        <v>363</v>
      </c>
    </row>
    <row r="150" spans="11:12">
      <c r="K150" s="100" t="s">
        <v>364</v>
      </c>
    </row>
    <row r="151" spans="11:12">
      <c r="K151" s="100" t="s">
        <v>365</v>
      </c>
    </row>
    <row r="152" spans="11:12">
      <c r="K152" s="100" t="s">
        <v>366</v>
      </c>
    </row>
    <row r="153" spans="11:12">
      <c r="K153" s="100" t="s">
        <v>367</v>
      </c>
    </row>
    <row r="154" spans="11:12">
      <c r="K154" s="100" t="s">
        <v>368</v>
      </c>
    </row>
    <row r="155" spans="11:12">
      <c r="K155" s="100" t="s">
        <v>369</v>
      </c>
    </row>
    <row r="156" spans="11:12">
      <c r="K156" s="100" t="s">
        <v>370</v>
      </c>
    </row>
    <row r="157" spans="11:12">
      <c r="K157" s="100" t="s">
        <v>371</v>
      </c>
    </row>
    <row r="158" spans="11:12">
      <c r="K158" s="100"/>
    </row>
    <row r="159" spans="11:12">
      <c r="K159" s="11" t="s">
        <v>7</v>
      </c>
      <c r="L159" s="13">
        <f>SUM(L128:L158)</f>
        <v>-325</v>
      </c>
    </row>
  </sheetData>
  <mergeCells count="133">
    <mergeCell ref="A1:I1"/>
    <mergeCell ref="AM3:AM5"/>
    <mergeCell ref="H4:I4"/>
    <mergeCell ref="AN4:AN5"/>
    <mergeCell ref="AO4:AO5"/>
    <mergeCell ref="AP4:AP5"/>
    <mergeCell ref="A5:A6"/>
    <mergeCell ref="B5:B6"/>
    <mergeCell ref="C5:D6"/>
    <mergeCell ref="E5:F6"/>
    <mergeCell ref="C8:D8"/>
    <mergeCell ref="E8:F8"/>
    <mergeCell ref="H8:I8"/>
    <mergeCell ref="C9:D9"/>
    <mergeCell ref="E9:F9"/>
    <mergeCell ref="H9:I9"/>
    <mergeCell ref="G5:I5"/>
    <mergeCell ref="Q5:R5"/>
    <mergeCell ref="H6:I6"/>
    <mergeCell ref="C7:D7"/>
    <mergeCell ref="E7:F7"/>
    <mergeCell ref="H7:I7"/>
    <mergeCell ref="C15:D15"/>
    <mergeCell ref="E15:F15"/>
    <mergeCell ref="G15:I15"/>
    <mergeCell ref="C16:D16"/>
    <mergeCell ref="E16:F16"/>
    <mergeCell ref="G16:I16"/>
    <mergeCell ref="A13:A14"/>
    <mergeCell ref="B13:D13"/>
    <mergeCell ref="E13:I13"/>
    <mergeCell ref="C14:D14"/>
    <mergeCell ref="E14:F14"/>
    <mergeCell ref="G14:I14"/>
    <mergeCell ref="C17:D17"/>
    <mergeCell ref="E17:F17"/>
    <mergeCell ref="G17:I17"/>
    <mergeCell ref="AB17:AE17"/>
    <mergeCell ref="AO17:AS17"/>
    <mergeCell ref="AO21:AO22"/>
    <mergeCell ref="AP21:AP22"/>
    <mergeCell ref="AQ21:AQ22"/>
    <mergeCell ref="AR21:AR22"/>
    <mergeCell ref="AS21:AS22"/>
    <mergeCell ref="B24:B25"/>
    <mergeCell ref="C24:D24"/>
    <mergeCell ref="E24:F25"/>
    <mergeCell ref="G24:G25"/>
    <mergeCell ref="H24:H25"/>
    <mergeCell ref="I24:I25"/>
    <mergeCell ref="C25:D25"/>
    <mergeCell ref="BA21:BA22"/>
    <mergeCell ref="A22:A23"/>
    <mergeCell ref="B22:B23"/>
    <mergeCell ref="C22:D23"/>
    <mergeCell ref="E22:F23"/>
    <mergeCell ref="G22:I22"/>
    <mergeCell ref="AT21:AT22"/>
    <mergeCell ref="AV21:AV22"/>
    <mergeCell ref="AW21:AW22"/>
    <mergeCell ref="AX21:AX22"/>
    <mergeCell ref="AY21:AY22"/>
    <mergeCell ref="AZ21:AZ22"/>
    <mergeCell ref="B26:B28"/>
    <mergeCell ref="C26:D26"/>
    <mergeCell ref="E26:F27"/>
    <mergeCell ref="G26:G28"/>
    <mergeCell ref="H26:H28"/>
    <mergeCell ref="I26:I28"/>
    <mergeCell ref="C27:D27"/>
    <mergeCell ref="C28:D28"/>
    <mergeCell ref="E28:F28"/>
    <mergeCell ref="B29:B31"/>
    <mergeCell ref="C29:D29"/>
    <mergeCell ref="E29:F30"/>
    <mergeCell ref="G29:G31"/>
    <mergeCell ref="H29:H31"/>
    <mergeCell ref="I29:I31"/>
    <mergeCell ref="C30:D30"/>
    <mergeCell ref="C31:D31"/>
    <mergeCell ref="E31:F31"/>
    <mergeCell ref="A39:A40"/>
    <mergeCell ref="C39:D39"/>
    <mergeCell ref="E39:H39"/>
    <mergeCell ref="I39:I40"/>
    <mergeCell ref="C40:D40"/>
    <mergeCell ref="G40:H40"/>
    <mergeCell ref="C32:D32"/>
    <mergeCell ref="E32:F32"/>
    <mergeCell ref="C33:D33"/>
    <mergeCell ref="E33:F33"/>
    <mergeCell ref="C34:D34"/>
    <mergeCell ref="E34:F34"/>
    <mergeCell ref="C44:D44"/>
    <mergeCell ref="G44:H44"/>
    <mergeCell ref="C45:D45"/>
    <mergeCell ref="G45:H45"/>
    <mergeCell ref="C46:D46"/>
    <mergeCell ref="G46:H46"/>
    <mergeCell ref="C41:D41"/>
    <mergeCell ref="G41:H41"/>
    <mergeCell ref="C42:D42"/>
    <mergeCell ref="G42:H42"/>
    <mergeCell ref="C43:D43"/>
    <mergeCell ref="G43:H43"/>
    <mergeCell ref="H52:I52"/>
    <mergeCell ref="H53:I53"/>
    <mergeCell ref="O74:P74"/>
    <mergeCell ref="Q74:R74"/>
    <mergeCell ref="S74:T74"/>
    <mergeCell ref="U74:V74"/>
    <mergeCell ref="A49:A50"/>
    <mergeCell ref="B49:C49"/>
    <mergeCell ref="D49:E49"/>
    <mergeCell ref="F49:G49"/>
    <mergeCell ref="H49:I50"/>
    <mergeCell ref="H51:I51"/>
    <mergeCell ref="O77:P77"/>
    <mergeCell ref="Q77:R77"/>
    <mergeCell ref="S77:T77"/>
    <mergeCell ref="U77:V77"/>
    <mergeCell ref="O78:P78"/>
    <mergeCell ref="Q78:R78"/>
    <mergeCell ref="S78:T78"/>
    <mergeCell ref="U78:V78"/>
    <mergeCell ref="O75:P75"/>
    <mergeCell ref="Q75:R75"/>
    <mergeCell ref="S75:T75"/>
    <mergeCell ref="U75:V75"/>
    <mergeCell ref="O76:P76"/>
    <mergeCell ref="Q76:R76"/>
    <mergeCell ref="S76:T76"/>
    <mergeCell ref="U76:V76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59"/>
  <sheetViews>
    <sheetView workbookViewId="0">
      <selection activeCell="B17" sqref="B17"/>
    </sheetView>
  </sheetViews>
  <sheetFormatPr defaultColWidth="8.69921875" defaultRowHeight="18.2"/>
  <cols>
    <col min="1" max="1" width="15.19921875" style="13" customWidth="1"/>
    <col min="2" max="2" width="10.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22" width="9.19921875" style="13" bestFit="1" customWidth="1"/>
    <col min="23" max="23" width="8.69921875" style="13"/>
    <col min="24" max="24" width="10.296875" style="13" customWidth="1"/>
    <col min="25" max="25" width="9.296875" style="13" customWidth="1"/>
    <col min="26" max="26" width="9.59765625" style="13" bestFit="1" customWidth="1"/>
    <col min="27" max="27" width="8.69921875" style="13"/>
    <col min="28" max="28" width="9.69921875" style="13" customWidth="1"/>
    <col min="29" max="32" width="8.69921875" style="13"/>
    <col min="33" max="33" width="0.69921875" style="13" customWidth="1"/>
    <col min="34" max="34" width="9.796875" style="13" customWidth="1"/>
    <col min="35" max="38" width="8.69921875" style="13"/>
    <col min="39" max="39" width="4.5" style="13" customWidth="1"/>
    <col min="40" max="41" width="8" style="13" customWidth="1"/>
    <col min="42" max="43" width="7.796875" style="13" customWidth="1"/>
    <col min="44" max="44" width="7.8984375" style="13" customWidth="1"/>
    <col min="45" max="45" width="7.19921875" style="13" customWidth="1"/>
    <col min="46" max="46" width="6.5" style="13" customWidth="1"/>
    <col min="47" max="47" width="0.5" style="13" customWidth="1"/>
    <col min="48" max="48" width="8.69921875" style="13"/>
    <col min="49" max="50" width="7.59765625" style="13" customWidth="1"/>
    <col min="51" max="51" width="8.59765625" style="13" customWidth="1"/>
    <col min="52" max="52" width="7.59765625" style="13" customWidth="1"/>
    <col min="53" max="53" width="6.796875" style="13" customWidth="1"/>
    <col min="54" max="56" width="8.69921875" style="13"/>
    <col min="57" max="57" width="9.3984375" style="13" bestFit="1" customWidth="1"/>
    <col min="58" max="16384" width="8.69921875" style="13"/>
  </cols>
  <sheetData>
    <row r="1" spans="1:44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  <c r="W1" s="142"/>
      <c r="X1" s="46"/>
      <c r="Y1" s="42"/>
    </row>
    <row r="2" spans="1:44" ht="14.4" customHeight="1">
      <c r="A2" s="498"/>
      <c r="B2" s="498"/>
      <c r="C2" s="498"/>
      <c r="D2" s="498"/>
      <c r="E2" s="498"/>
      <c r="F2" s="498"/>
      <c r="G2" s="498"/>
      <c r="H2" s="498"/>
      <c r="I2" s="498"/>
      <c r="W2" s="142"/>
      <c r="X2" s="46"/>
      <c r="Y2" s="42"/>
    </row>
    <row r="3" spans="1:44">
      <c r="J3" s="14"/>
      <c r="K3" s="14"/>
      <c r="L3" s="14"/>
      <c r="M3" s="14"/>
      <c r="W3" s="142"/>
      <c r="X3" s="46"/>
      <c r="Y3" s="42"/>
      <c r="AM3" s="757" t="s">
        <v>229</v>
      </c>
      <c r="AN3" s="244" t="s">
        <v>230</v>
      </c>
      <c r="AO3" s="244" t="s">
        <v>231</v>
      </c>
      <c r="AP3" s="244" t="s">
        <v>232</v>
      </c>
    </row>
    <row r="4" spans="1:44">
      <c r="A4" s="15" t="s">
        <v>9</v>
      </c>
      <c r="H4" s="930" t="s">
        <v>536</v>
      </c>
      <c r="I4" s="893"/>
      <c r="N4" s="16"/>
      <c r="O4" s="81"/>
      <c r="W4" s="142"/>
      <c r="X4" s="48"/>
      <c r="Y4" s="42"/>
      <c r="AM4" s="758"/>
      <c r="AN4" s="734"/>
      <c r="AO4" s="734"/>
      <c r="AP4" s="734"/>
    </row>
    <row r="5" spans="1:44" ht="17.399999999999999" customHeight="1">
      <c r="A5" s="736" t="s">
        <v>10</v>
      </c>
      <c r="B5" s="738" t="s">
        <v>11</v>
      </c>
      <c r="C5" s="736" t="s">
        <v>12</v>
      </c>
      <c r="D5" s="740"/>
      <c r="E5" s="742" t="s">
        <v>39</v>
      </c>
      <c r="F5" s="743"/>
      <c r="G5" s="931" t="s">
        <v>527</v>
      </c>
      <c r="H5" s="747"/>
      <c r="I5" s="747"/>
      <c r="J5" s="75"/>
      <c r="K5" s="75"/>
      <c r="M5" s="359"/>
      <c r="N5" s="360"/>
      <c r="O5" s="497"/>
      <c r="P5" s="497"/>
      <c r="Q5" s="748"/>
      <c r="R5" s="748"/>
      <c r="S5" s="497"/>
      <c r="T5" s="497"/>
      <c r="W5" s="142"/>
      <c r="X5" s="48"/>
      <c r="Y5" s="42"/>
      <c r="Z5" s="48"/>
      <c r="AM5" s="735"/>
      <c r="AN5" s="735"/>
      <c r="AO5" s="735"/>
      <c r="AP5" s="735"/>
    </row>
    <row r="6" spans="1:44" ht="18.8" thickBot="1">
      <c r="A6" s="737"/>
      <c r="B6" s="739"/>
      <c r="C6" s="737"/>
      <c r="D6" s="741"/>
      <c r="E6" s="744"/>
      <c r="F6" s="745"/>
      <c r="G6" s="87" t="s">
        <v>13</v>
      </c>
      <c r="H6" s="932" t="s">
        <v>239</v>
      </c>
      <c r="I6" s="750"/>
      <c r="L6" s="353"/>
      <c r="N6" s="360"/>
      <c r="O6" s="497"/>
      <c r="P6" s="82"/>
      <c r="Q6" s="497"/>
      <c r="R6" s="82"/>
      <c r="S6" s="82"/>
      <c r="T6" s="293"/>
      <c r="U6" s="107"/>
      <c r="V6" s="107"/>
      <c r="W6" s="142"/>
      <c r="X6" s="42"/>
      <c r="Y6" s="42"/>
    </row>
    <row r="7" spans="1:44" ht="18.8" thickTop="1">
      <c r="A7" s="19" t="s">
        <v>14</v>
      </c>
      <c r="B7" s="20">
        <v>24</v>
      </c>
      <c r="C7" s="751">
        <v>1991</v>
      </c>
      <c r="D7" s="752"/>
      <c r="E7" s="753">
        <f>(C7/B7)</f>
        <v>82.958333333333329</v>
      </c>
      <c r="F7" s="754"/>
      <c r="G7" s="88"/>
      <c r="H7" s="755"/>
      <c r="I7" s="755"/>
      <c r="J7" s="13">
        <f>50/60</f>
        <v>0.83333333333333337</v>
      </c>
      <c r="K7" s="13">
        <f>1863/84</f>
        <v>22.178571428571427</v>
      </c>
      <c r="L7" s="353"/>
      <c r="M7" s="49"/>
      <c r="N7" s="361"/>
      <c r="O7" s="497"/>
      <c r="P7" s="22"/>
      <c r="Q7" s="17"/>
      <c r="R7" s="17"/>
      <c r="S7" s="17"/>
      <c r="U7" s="369"/>
      <c r="V7" s="145"/>
      <c r="W7" s="143"/>
      <c r="X7" s="42"/>
      <c r="Y7" s="42"/>
    </row>
    <row r="8" spans="1:44">
      <c r="A8" s="23" t="s">
        <v>15</v>
      </c>
      <c r="B8" s="74">
        <f>169.13+24+15.66+15.67+22.13+15.7+3.78+22.17+24+15.67+15.66+24+15.67+15.7+24+24+15.67+15.66+24+20+15.66+24</f>
        <v>561.92999999999995</v>
      </c>
      <c r="C8" s="769">
        <v>46949.09</v>
      </c>
      <c r="D8" s="770"/>
      <c r="E8" s="771">
        <f>C8/B8</f>
        <v>83.549712597654519</v>
      </c>
      <c r="F8" s="772"/>
      <c r="G8" s="86">
        <v>48100</v>
      </c>
      <c r="H8" s="773">
        <f>C8</f>
        <v>46949.09</v>
      </c>
      <c r="I8" s="773"/>
      <c r="L8" s="446"/>
      <c r="N8" s="361"/>
      <c r="O8" s="497"/>
      <c r="P8" s="22"/>
      <c r="Q8" s="14"/>
      <c r="T8" s="107"/>
      <c r="U8" s="107"/>
      <c r="V8" s="42"/>
      <c r="W8" s="143"/>
      <c r="X8" s="48"/>
      <c r="Y8" s="42"/>
      <c r="AP8" s="13">
        <v>86200</v>
      </c>
      <c r="AQ8" s="13">
        <v>846</v>
      </c>
      <c r="AR8" s="13">
        <f>AQ8*AP8/10000</f>
        <v>7292.52</v>
      </c>
    </row>
    <row r="9" spans="1:44">
      <c r="A9" s="23" t="s">
        <v>16</v>
      </c>
      <c r="B9" s="24">
        <f>2051.7+B8</f>
        <v>2613.6299999999997</v>
      </c>
      <c r="C9" s="774">
        <f>163540+C8</f>
        <v>210489.09</v>
      </c>
      <c r="D9" s="775"/>
      <c r="E9" s="771">
        <f>C9/B9</f>
        <v>80.53515225950116</v>
      </c>
      <c r="F9" s="772"/>
      <c r="G9" s="21"/>
      <c r="H9" s="776"/>
      <c r="I9" s="777"/>
      <c r="J9" s="368" t="s">
        <v>389</v>
      </c>
      <c r="M9" s="359"/>
      <c r="N9" s="360"/>
      <c r="O9" s="497"/>
      <c r="P9" s="362"/>
      <c r="Q9" s="123"/>
      <c r="S9" s="379"/>
      <c r="T9" s="219"/>
      <c r="U9" s="216"/>
      <c r="V9" s="395"/>
      <c r="W9" s="143"/>
      <c r="X9" s="48"/>
      <c r="Y9" s="42"/>
      <c r="Z9" s="144"/>
      <c r="AP9" s="13">
        <v>90700</v>
      </c>
      <c r="AQ9" s="13">
        <v>924</v>
      </c>
      <c r="AR9" s="13">
        <f>AQ9*AP9/10000</f>
        <v>8380.68</v>
      </c>
    </row>
    <row r="10" spans="1:44">
      <c r="A10" s="494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353"/>
      <c r="N10" s="360"/>
      <c r="O10" s="85"/>
      <c r="P10" s="362"/>
      <c r="Q10" s="14"/>
      <c r="T10" s="92"/>
      <c r="U10" s="107"/>
      <c r="V10" s="400"/>
      <c r="W10" s="143"/>
      <c r="X10" s="48"/>
      <c r="Y10" s="42"/>
      <c r="AP10" s="13">
        <f>SUM(AP8:AP9)</f>
        <v>176900</v>
      </c>
      <c r="AQ10" s="13">
        <v>88700</v>
      </c>
      <c r="AR10" s="13">
        <f>SUM(AR8:AR9)</f>
        <v>15673.2</v>
      </c>
    </row>
    <row r="11" spans="1:44" ht="18" customHeight="1">
      <c r="A11" s="491"/>
      <c r="B11" s="25"/>
      <c r="C11" s="26"/>
      <c r="D11" s="26"/>
      <c r="E11" s="26"/>
      <c r="F11" s="515" t="s">
        <v>537</v>
      </c>
      <c r="G11" s="54">
        <f>G8</f>
        <v>48100</v>
      </c>
      <c r="H11" s="54">
        <f>C8</f>
        <v>46949.09</v>
      </c>
      <c r="I11" s="490">
        <f>H11/G11*100</f>
        <v>97.607255717255711</v>
      </c>
      <c r="L11" s="353"/>
      <c r="M11" s="49"/>
      <c r="N11" s="361"/>
      <c r="O11" s="85"/>
      <c r="P11" s="22"/>
      <c r="Q11" s="14"/>
      <c r="T11" s="92"/>
      <c r="U11" s="107"/>
      <c r="V11" s="400"/>
      <c r="W11" s="141"/>
      <c r="X11" s="48"/>
      <c r="Y11" s="42"/>
    </row>
    <row r="12" spans="1:44">
      <c r="A12" s="31" t="s">
        <v>17</v>
      </c>
      <c r="J12" s="32"/>
      <c r="K12" s="32"/>
      <c r="L12" s="446"/>
      <c r="M12" s="363"/>
      <c r="N12" s="146"/>
      <c r="O12" s="29"/>
      <c r="P12" s="102"/>
      <c r="T12" s="92"/>
      <c r="U12" s="92"/>
      <c r="V12" s="401"/>
      <c r="W12" s="141"/>
      <c r="X12" s="42"/>
      <c r="Y12" s="42"/>
    </row>
    <row r="13" spans="1:44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  <c r="V13" s="318"/>
      <c r="W13" s="141"/>
      <c r="X13" s="42"/>
      <c r="Y13" s="42"/>
    </row>
    <row r="14" spans="1:44" ht="18.8" thickBot="1">
      <c r="A14" s="762"/>
      <c r="B14" s="501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/>
      <c r="L14" s="18"/>
      <c r="M14" s="18"/>
      <c r="N14" s="146"/>
      <c r="O14" s="29"/>
      <c r="P14" s="102"/>
      <c r="T14" s="92"/>
      <c r="U14" s="92"/>
      <c r="V14" s="370"/>
      <c r="W14" s="287"/>
      <c r="X14" s="42"/>
      <c r="Y14" s="42"/>
    </row>
    <row r="15" spans="1:44" ht="18.8" thickTop="1">
      <c r="A15" s="19" t="s">
        <v>14</v>
      </c>
      <c r="B15" s="37">
        <v>69480</v>
      </c>
      <c r="C15" s="771">
        <f>(B15/C7)</f>
        <v>34.897036664992463</v>
      </c>
      <c r="D15" s="772"/>
      <c r="E15" s="779">
        <v>10630</v>
      </c>
      <c r="F15" s="779"/>
      <c r="G15" s="780">
        <f>E15/C7</f>
        <v>5.3390256152687092</v>
      </c>
      <c r="H15" s="780"/>
      <c r="I15" s="780"/>
      <c r="J15" s="414"/>
      <c r="K15" s="365"/>
      <c r="L15" s="365"/>
      <c r="M15" s="507"/>
      <c r="N15" s="147"/>
      <c r="O15" s="147"/>
      <c r="P15" s="34"/>
      <c r="Q15" s="33"/>
      <c r="R15" s="33"/>
      <c r="T15" s="92"/>
      <c r="U15" s="92"/>
      <c r="V15" s="368"/>
      <c r="W15" s="51"/>
    </row>
    <row r="16" spans="1:44">
      <c r="A16" s="23" t="s">
        <v>15</v>
      </c>
      <c r="B16" s="38">
        <f>45540+65700+70080+46440+32760+66300+45840+46140+66180+68040+46500+45900+61500+46920+14160+62820+71640+46620+46980+67560+46260+47880+69900+70260+47580+47280+69600+61200+44880+69480</f>
        <v>1637940</v>
      </c>
      <c r="C16" s="771">
        <f>B16/C8</f>
        <v>34.887577160707487</v>
      </c>
      <c r="D16" s="772"/>
      <c r="E16" s="781">
        <f>157933+7214+7322+10853+10790+6963+5927+10352+9463+6944+10630</f>
        <v>244391</v>
      </c>
      <c r="F16" s="781"/>
      <c r="G16" s="782">
        <f>E16/C8</f>
        <v>5.205447006534099</v>
      </c>
      <c r="H16" s="782"/>
      <c r="I16" s="782"/>
      <c r="K16" s="479"/>
      <c r="N16" s="33"/>
      <c r="O16" s="33"/>
      <c r="P16" s="33"/>
      <c r="Q16" s="33"/>
      <c r="T16" s="107"/>
      <c r="U16" s="92"/>
      <c r="V16" s="368"/>
    </row>
    <row r="17" spans="1:53" ht="21.3">
      <c r="A17" s="23" t="s">
        <v>16</v>
      </c>
      <c r="B17" s="39">
        <f>5963913+B16</f>
        <v>7601853</v>
      </c>
      <c r="C17" s="797">
        <f>B17/C9</f>
        <v>36.115187727781993</v>
      </c>
      <c r="D17" s="798"/>
      <c r="E17" s="799">
        <f>901719+E16</f>
        <v>1146110</v>
      </c>
      <c r="F17" s="799"/>
      <c r="G17" s="800">
        <f>E17/C9</f>
        <v>5.4449852959124865</v>
      </c>
      <c r="H17" s="800"/>
      <c r="I17" s="800"/>
      <c r="J17" s="368" t="s">
        <v>389</v>
      </c>
      <c r="N17" s="289"/>
      <c r="O17" s="33"/>
      <c r="R17" s="33"/>
      <c r="T17" s="92"/>
      <c r="U17" s="92"/>
      <c r="V17" s="353"/>
      <c r="AB17" s="854" t="s">
        <v>225</v>
      </c>
      <c r="AC17" s="854"/>
      <c r="AD17" s="854"/>
      <c r="AE17" s="854"/>
      <c r="AO17" s="868" t="s">
        <v>241</v>
      </c>
      <c r="AP17" s="868"/>
      <c r="AQ17" s="868"/>
      <c r="AR17" s="868"/>
      <c r="AS17" s="868"/>
    </row>
    <row r="18" spans="1:53">
      <c r="A18" s="460" t="s">
        <v>493</v>
      </c>
      <c r="J18" s="41"/>
      <c r="K18" s="457"/>
      <c r="L18" s="41"/>
      <c r="M18" s="41"/>
      <c r="N18" s="42"/>
      <c r="Q18" s="133"/>
      <c r="T18" s="92"/>
      <c r="U18" s="92"/>
      <c r="V18" s="364"/>
    </row>
    <row r="19" spans="1:53" ht="26.3" thickBot="1">
      <c r="A19" s="186" t="s">
        <v>145</v>
      </c>
      <c r="J19" s="43"/>
      <c r="K19" s="458"/>
      <c r="L19" s="43"/>
      <c r="M19" s="929"/>
      <c r="N19" s="929"/>
      <c r="O19" s="929"/>
      <c r="P19" s="929"/>
      <c r="Q19" s="929"/>
      <c r="R19" s="929"/>
      <c r="S19" s="929"/>
      <c r="T19" s="929"/>
      <c r="U19" s="929"/>
      <c r="V19" s="929"/>
      <c r="W19" s="929"/>
      <c r="X19" s="929"/>
      <c r="Y19" s="929"/>
    </row>
    <row r="20" spans="1:53" ht="16.75" customHeight="1" thickBot="1">
      <c r="A20" s="40"/>
      <c r="B20" s="44"/>
      <c r="C20" s="36"/>
      <c r="D20" s="36"/>
      <c r="E20" s="36"/>
      <c r="F20" s="36"/>
      <c r="J20" s="45"/>
      <c r="K20" s="492"/>
      <c r="L20" s="45"/>
      <c r="M20" s="511"/>
      <c r="N20" s="924"/>
      <c r="O20" s="925"/>
      <c r="P20" s="925"/>
      <c r="Q20" s="925"/>
      <c r="R20" s="925"/>
      <c r="S20" s="925"/>
      <c r="T20" s="926"/>
      <c r="U20" s="926"/>
      <c r="V20" s="927"/>
      <c r="W20" s="927"/>
      <c r="X20" s="927"/>
      <c r="Y20" s="928"/>
      <c r="AB20" s="32" t="s">
        <v>222</v>
      </c>
      <c r="AH20" s="32" t="s">
        <v>224</v>
      </c>
      <c r="AO20" s="32" t="s">
        <v>222</v>
      </c>
      <c r="AP20" s="32"/>
      <c r="AV20" s="32" t="s">
        <v>224</v>
      </c>
      <c r="AW20" s="32"/>
    </row>
    <row r="21" spans="1:53" ht="18.8" thickTop="1">
      <c r="A21" s="15" t="s">
        <v>49</v>
      </c>
      <c r="J21" s="43"/>
      <c r="K21" s="458"/>
      <c r="L21" s="43"/>
      <c r="M21" s="512"/>
      <c r="N21" s="915"/>
      <c r="O21" s="916"/>
      <c r="P21" s="916"/>
      <c r="Q21" s="916"/>
      <c r="R21" s="916"/>
      <c r="S21" s="916"/>
      <c r="T21" s="917"/>
      <c r="U21" s="917"/>
      <c r="V21" s="918"/>
      <c r="W21" s="918"/>
      <c r="X21" s="918"/>
      <c r="Y21" s="919"/>
      <c r="AB21" s="225" t="s">
        <v>153</v>
      </c>
      <c r="AC21" s="225" t="s">
        <v>217</v>
      </c>
      <c r="AD21" s="225" t="s">
        <v>218</v>
      </c>
      <c r="AE21" s="225" t="s">
        <v>219</v>
      </c>
      <c r="AF21" s="225" t="s">
        <v>31</v>
      </c>
      <c r="AH21" s="225" t="s">
        <v>153</v>
      </c>
      <c r="AI21" s="225" t="s">
        <v>217</v>
      </c>
      <c r="AJ21" s="225" t="s">
        <v>218</v>
      </c>
      <c r="AK21" s="225" t="s">
        <v>219</v>
      </c>
      <c r="AL21" s="225" t="s">
        <v>31</v>
      </c>
      <c r="AO21" s="869" t="s">
        <v>153</v>
      </c>
      <c r="AP21" s="871" t="s">
        <v>251</v>
      </c>
      <c r="AQ21" s="871" t="s">
        <v>252</v>
      </c>
      <c r="AR21" s="871" t="s">
        <v>254</v>
      </c>
      <c r="AS21" s="871" t="s">
        <v>253</v>
      </c>
      <c r="AT21" s="749" t="s">
        <v>245</v>
      </c>
      <c r="AV21" s="869" t="s">
        <v>153</v>
      </c>
      <c r="AW21" s="871" t="s">
        <v>251</v>
      </c>
      <c r="AX21" s="871" t="s">
        <v>252</v>
      </c>
      <c r="AY21" s="871" t="s">
        <v>254</v>
      </c>
      <c r="AZ21" s="871" t="s">
        <v>253</v>
      </c>
      <c r="BA21" s="749" t="s">
        <v>245</v>
      </c>
    </row>
    <row r="22" spans="1:53" ht="15.65" customHeight="1">
      <c r="A22" s="761" t="s">
        <v>0</v>
      </c>
      <c r="B22" s="738" t="s">
        <v>24</v>
      </c>
      <c r="C22" s="736" t="s">
        <v>25</v>
      </c>
      <c r="D22" s="740"/>
      <c r="E22" s="736" t="s">
        <v>26</v>
      </c>
      <c r="F22" s="740"/>
      <c r="G22" s="766" t="s">
        <v>27</v>
      </c>
      <c r="H22" s="766"/>
      <c r="I22" s="766"/>
      <c r="J22" s="382"/>
      <c r="K22" s="389"/>
      <c r="L22" s="403"/>
      <c r="M22" s="513"/>
      <c r="N22" s="913"/>
      <c r="O22" s="914"/>
      <c r="P22" s="914"/>
      <c r="Q22" s="914"/>
      <c r="R22" s="914"/>
      <c r="S22" s="914"/>
      <c r="T22" s="920"/>
      <c r="U22" s="920"/>
      <c r="V22" s="921"/>
      <c r="W22" s="921"/>
      <c r="X22" s="921"/>
      <c r="Y22" s="922"/>
      <c r="AB22" s="226" t="s">
        <v>190</v>
      </c>
      <c r="AC22" s="500">
        <v>0</v>
      </c>
      <c r="AD22" s="500">
        <v>0</v>
      </c>
      <c r="AE22" s="500">
        <v>0</v>
      </c>
      <c r="AF22" s="500">
        <f>SUM(AC22:AE22)</f>
        <v>0</v>
      </c>
      <c r="AH22" s="226" t="s">
        <v>190</v>
      </c>
      <c r="AI22" s="500">
        <v>0</v>
      </c>
      <c r="AJ22" s="500">
        <v>0</v>
      </c>
      <c r="AK22" s="500">
        <v>0</v>
      </c>
      <c r="AL22" s="500">
        <f>SUM(AI22:AK22)</f>
        <v>0</v>
      </c>
      <c r="AO22" s="870"/>
      <c r="AP22" s="872"/>
      <c r="AQ22" s="873"/>
      <c r="AR22" s="873"/>
      <c r="AS22" s="873"/>
      <c r="AT22" s="873"/>
      <c r="AV22" s="870"/>
      <c r="AW22" s="872"/>
      <c r="AX22" s="873"/>
      <c r="AY22" s="873"/>
      <c r="AZ22" s="873"/>
      <c r="BA22" s="873"/>
    </row>
    <row r="23" spans="1:53" ht="15.65" customHeight="1" thickBot="1">
      <c r="A23" s="778"/>
      <c r="B23" s="739"/>
      <c r="C23" s="737"/>
      <c r="D23" s="741"/>
      <c r="E23" s="737"/>
      <c r="F23" s="741"/>
      <c r="G23" s="89" t="s">
        <v>53</v>
      </c>
      <c r="H23" s="89" t="s">
        <v>54</v>
      </c>
      <c r="I23" s="89" t="s">
        <v>55</v>
      </c>
      <c r="J23" s="382"/>
      <c r="K23" s="389"/>
      <c r="L23" s="403"/>
      <c r="M23" s="513"/>
      <c r="N23" s="923"/>
      <c r="O23" s="909"/>
      <c r="P23" s="909"/>
      <c r="Q23" s="909"/>
      <c r="R23" s="909"/>
      <c r="S23" s="909"/>
      <c r="T23" s="909"/>
      <c r="U23" s="909"/>
      <c r="V23" s="909"/>
      <c r="W23" s="909"/>
      <c r="X23" s="909"/>
      <c r="Y23" s="910"/>
      <c r="AB23" s="226" t="s">
        <v>191</v>
      </c>
      <c r="AC23" s="500">
        <v>7.7</v>
      </c>
      <c r="AD23" s="500">
        <v>0</v>
      </c>
      <c r="AE23" s="500">
        <v>0</v>
      </c>
      <c r="AF23" s="500">
        <f t="shared" ref="AB23:AF53" si="0">SUM(AC23:AE23)</f>
        <v>7.7</v>
      </c>
      <c r="AH23" s="226" t="s">
        <v>191</v>
      </c>
      <c r="AI23" s="500">
        <v>10</v>
      </c>
      <c r="AJ23" s="500">
        <v>8</v>
      </c>
      <c r="AK23" s="500">
        <v>6</v>
      </c>
      <c r="AL23" s="500">
        <f t="shared" ref="AL23:AL33" si="1">SUM(AI23:AK23)</f>
        <v>24</v>
      </c>
      <c r="AO23" s="226" t="s">
        <v>191</v>
      </c>
      <c r="AP23" s="229">
        <v>7.7</v>
      </c>
      <c r="AQ23" s="274">
        <v>6.31</v>
      </c>
      <c r="AR23" s="500">
        <v>700</v>
      </c>
      <c r="AS23" s="500">
        <v>77</v>
      </c>
      <c r="AT23" s="274">
        <v>5.3</v>
      </c>
      <c r="AV23" s="226" t="s">
        <v>191</v>
      </c>
      <c r="AW23" s="229">
        <v>24</v>
      </c>
      <c r="AX23" s="274">
        <v>7.17</v>
      </c>
      <c r="AY23" s="500">
        <v>650</v>
      </c>
      <c r="AZ23" s="500">
        <v>79</v>
      </c>
      <c r="BA23" s="274">
        <v>5.99</v>
      </c>
    </row>
    <row r="24" spans="1:53" ht="16.75" customHeight="1" thickTop="1" thickBot="1">
      <c r="A24" s="95" t="s">
        <v>57</v>
      </c>
      <c r="B24" s="783">
        <v>4768</v>
      </c>
      <c r="C24" s="785"/>
      <c r="D24" s="786"/>
      <c r="E24" s="787"/>
      <c r="F24" s="788"/>
      <c r="G24" s="791">
        <v>4768</v>
      </c>
      <c r="H24" s="793">
        <f>B24+C24+C25-E24</f>
        <v>4768</v>
      </c>
      <c r="I24" s="793">
        <f>G24-H24</f>
        <v>0</v>
      </c>
      <c r="J24" s="383"/>
      <c r="K24" s="385"/>
      <c r="L24" s="385"/>
      <c r="M24" s="514"/>
      <c r="N24" s="911"/>
      <c r="O24" s="912"/>
      <c r="P24" s="912"/>
      <c r="Q24" s="912"/>
      <c r="R24" s="912"/>
      <c r="S24" s="912"/>
      <c r="T24" s="906"/>
      <c r="U24" s="906"/>
      <c r="V24" s="907"/>
      <c r="W24" s="907"/>
      <c r="X24" s="907"/>
      <c r="Y24" s="908"/>
      <c r="AB24" s="226" t="s">
        <v>192</v>
      </c>
      <c r="AC24" s="500">
        <v>10</v>
      </c>
      <c r="AD24" s="500">
        <v>3.8</v>
      </c>
      <c r="AE24" s="500">
        <v>2</v>
      </c>
      <c r="AF24" s="500">
        <f t="shared" si="0"/>
        <v>15.8</v>
      </c>
      <c r="AH24" s="226" t="s">
        <v>192</v>
      </c>
      <c r="AI24" s="500">
        <v>10</v>
      </c>
      <c r="AJ24" s="500">
        <v>8</v>
      </c>
      <c r="AK24" s="500">
        <v>6</v>
      </c>
      <c r="AL24" s="500">
        <f t="shared" si="1"/>
        <v>24</v>
      </c>
      <c r="AO24" s="226" t="s">
        <v>192</v>
      </c>
      <c r="AP24" s="229">
        <v>15.8</v>
      </c>
      <c r="AQ24" s="274">
        <v>5.93</v>
      </c>
      <c r="AR24" s="500">
        <v>700</v>
      </c>
      <c r="AS24" s="500">
        <v>78</v>
      </c>
      <c r="AT24" s="274">
        <v>5.64</v>
      </c>
      <c r="AV24" s="226" t="s">
        <v>192</v>
      </c>
      <c r="AW24" s="229">
        <v>24</v>
      </c>
      <c r="AX24" s="274">
        <v>7.15</v>
      </c>
      <c r="AY24" s="500">
        <v>700</v>
      </c>
      <c r="AZ24" s="500">
        <v>83</v>
      </c>
      <c r="BA24" s="274">
        <v>6.19</v>
      </c>
    </row>
    <row r="25" spans="1:53" ht="16.75" customHeight="1">
      <c r="A25" s="96" t="s">
        <v>58</v>
      </c>
      <c r="B25" s="784"/>
      <c r="C25" s="795"/>
      <c r="D25" s="796"/>
      <c r="E25" s="789"/>
      <c r="F25" s="790"/>
      <c r="G25" s="792"/>
      <c r="H25" s="794"/>
      <c r="I25" s="794"/>
      <c r="J25" s="383"/>
      <c r="K25" s="383"/>
      <c r="L25" s="383"/>
      <c r="M25" s="376"/>
      <c r="N25" s="405"/>
      <c r="O25" s="293"/>
      <c r="P25" s="377"/>
      <c r="Q25" s="293"/>
      <c r="R25" s="293"/>
      <c r="S25" s="137"/>
      <c r="T25" s="92"/>
      <c r="U25" s="92"/>
      <c r="X25" s="381" t="s">
        <v>186</v>
      </c>
      <c r="Y25" s="399">
        <v>24.2</v>
      </c>
      <c r="AB25" s="226" t="s">
        <v>193</v>
      </c>
      <c r="AC25" s="500">
        <v>10</v>
      </c>
      <c r="AD25" s="500">
        <v>3</v>
      </c>
      <c r="AE25" s="500">
        <v>2</v>
      </c>
      <c r="AF25" s="500">
        <f t="shared" si="0"/>
        <v>15</v>
      </c>
      <c r="AH25" s="226" t="s">
        <v>193</v>
      </c>
      <c r="AI25" s="500">
        <v>10</v>
      </c>
      <c r="AJ25" s="500">
        <v>8</v>
      </c>
      <c r="AK25" s="500">
        <v>2.4</v>
      </c>
      <c r="AL25" s="500">
        <f t="shared" si="1"/>
        <v>20.399999999999999</v>
      </c>
      <c r="AO25" s="226" t="s">
        <v>193</v>
      </c>
      <c r="AP25" s="229">
        <v>15</v>
      </c>
      <c r="AQ25" s="274">
        <v>7.05</v>
      </c>
      <c r="AR25" s="500">
        <v>700</v>
      </c>
      <c r="AS25" s="500">
        <v>75</v>
      </c>
      <c r="AT25" s="274">
        <v>5.79</v>
      </c>
      <c r="AV25" s="226" t="s">
        <v>193</v>
      </c>
      <c r="AW25" s="229">
        <v>20.399999999999999</v>
      </c>
      <c r="AX25" s="274">
        <v>7.14</v>
      </c>
      <c r="AY25" s="500">
        <v>700</v>
      </c>
      <c r="AZ25" s="500">
        <v>79</v>
      </c>
      <c r="BA25" s="274">
        <v>6.22</v>
      </c>
    </row>
    <row r="26" spans="1:53" ht="16.75" customHeight="1">
      <c r="A26" s="97" t="s">
        <v>59</v>
      </c>
      <c r="B26" s="811">
        <v>2643</v>
      </c>
      <c r="C26" s="813">
        <v>1991</v>
      </c>
      <c r="D26" s="814"/>
      <c r="E26" s="815"/>
      <c r="F26" s="816"/>
      <c r="G26" s="801">
        <v>4536</v>
      </c>
      <c r="H26" s="803">
        <f>B26+C26+C27-E26-E28</f>
        <v>4634</v>
      </c>
      <c r="I26" s="803">
        <f>G26-H26</f>
        <v>-98</v>
      </c>
      <c r="J26" s="384"/>
      <c r="K26" s="384"/>
      <c r="L26" s="384"/>
      <c r="M26" s="50"/>
      <c r="N26" s="60"/>
      <c r="Q26" s="378"/>
      <c r="R26" s="129"/>
      <c r="S26" s="129"/>
      <c r="T26" s="92"/>
      <c r="U26" s="92"/>
      <c r="X26" s="294"/>
      <c r="Y26" s="51"/>
      <c r="AB26" s="226" t="s">
        <v>194</v>
      </c>
      <c r="AC26" s="500">
        <v>10</v>
      </c>
      <c r="AD26" s="500">
        <v>3.7</v>
      </c>
      <c r="AE26" s="500">
        <v>2</v>
      </c>
      <c r="AF26" s="500">
        <f t="shared" si="0"/>
        <v>15.7</v>
      </c>
      <c r="AH26" s="226" t="s">
        <v>194</v>
      </c>
      <c r="AI26" s="500">
        <v>10</v>
      </c>
      <c r="AJ26" s="500">
        <v>7.5</v>
      </c>
      <c r="AK26" s="500">
        <v>6</v>
      </c>
      <c r="AL26" s="500">
        <f t="shared" si="1"/>
        <v>23.5</v>
      </c>
      <c r="AO26" s="226" t="s">
        <v>194</v>
      </c>
      <c r="AP26" s="229">
        <v>15.7</v>
      </c>
      <c r="AQ26" s="274">
        <v>6.56</v>
      </c>
      <c r="AR26" s="500">
        <v>700</v>
      </c>
      <c r="AS26" s="500">
        <v>77</v>
      </c>
      <c r="AT26" s="274">
        <v>5.58</v>
      </c>
      <c r="AV26" s="226" t="s">
        <v>194</v>
      </c>
      <c r="AW26" s="229">
        <v>23.5</v>
      </c>
      <c r="AX26" s="274">
        <v>7.1</v>
      </c>
      <c r="AY26" s="500">
        <v>700</v>
      </c>
      <c r="AZ26" s="500">
        <v>79</v>
      </c>
      <c r="BA26" s="274">
        <v>6.02</v>
      </c>
    </row>
    <row r="27" spans="1:53" ht="16.75" customHeight="1">
      <c r="A27" s="174" t="s">
        <v>60</v>
      </c>
      <c r="B27" s="812"/>
      <c r="C27" s="819"/>
      <c r="D27" s="820"/>
      <c r="E27" s="817"/>
      <c r="F27" s="818"/>
      <c r="G27" s="802"/>
      <c r="H27" s="804"/>
      <c r="I27" s="804"/>
      <c r="J27" s="384"/>
      <c r="K27" s="406"/>
      <c r="L27" s="384"/>
      <c r="M27" s="50"/>
      <c r="Q27" s="92"/>
      <c r="R27" s="130"/>
      <c r="S27" s="35"/>
      <c r="T27" s="92"/>
      <c r="U27" s="92"/>
      <c r="V27" s="92"/>
      <c r="X27" s="291"/>
      <c r="AB27" s="227" t="s">
        <v>88</v>
      </c>
      <c r="AC27" s="500">
        <v>24</v>
      </c>
      <c r="AD27" s="500">
        <v>0</v>
      </c>
      <c r="AE27" s="500">
        <v>0</v>
      </c>
      <c r="AF27" s="500">
        <f t="shared" si="0"/>
        <v>24</v>
      </c>
      <c r="AH27" s="229" t="s">
        <v>88</v>
      </c>
      <c r="AI27" s="500">
        <v>10</v>
      </c>
      <c r="AJ27" s="500">
        <v>8</v>
      </c>
      <c r="AK27" s="500">
        <v>6</v>
      </c>
      <c r="AL27" s="500">
        <f t="shared" si="1"/>
        <v>24</v>
      </c>
      <c r="AO27" s="227" t="s">
        <v>88</v>
      </c>
      <c r="AP27" s="229">
        <v>24</v>
      </c>
      <c r="AQ27" s="274">
        <v>6.4</v>
      </c>
      <c r="AR27" s="500">
        <v>450</v>
      </c>
      <c r="AS27" s="500">
        <v>77</v>
      </c>
      <c r="AT27" s="274">
        <v>5.9</v>
      </c>
      <c r="AV27" s="229" t="s">
        <v>88</v>
      </c>
      <c r="AW27" s="229">
        <v>24</v>
      </c>
      <c r="AX27" s="274">
        <v>7.03</v>
      </c>
      <c r="AY27" s="500">
        <v>600</v>
      </c>
      <c r="AZ27" s="500">
        <v>78</v>
      </c>
      <c r="BA27" s="274">
        <v>6</v>
      </c>
    </row>
    <row r="28" spans="1:53" ht="16.75" customHeight="1">
      <c r="A28" s="175" t="s">
        <v>43</v>
      </c>
      <c r="B28" s="812"/>
      <c r="C28" s="807"/>
      <c r="D28" s="808"/>
      <c r="E28" s="809"/>
      <c r="F28" s="810"/>
      <c r="G28" s="802"/>
      <c r="H28" s="804"/>
      <c r="I28" s="804"/>
      <c r="J28" s="14"/>
      <c r="K28" s="14"/>
      <c r="L28" s="14"/>
      <c r="M28" s="14"/>
      <c r="O28" s="188"/>
      <c r="P28" s="358"/>
      <c r="Q28" s="92"/>
      <c r="R28" s="132"/>
      <c r="S28" s="294"/>
      <c r="T28" s="92"/>
      <c r="U28" s="92"/>
      <c r="V28" s="387"/>
      <c r="AB28" s="226" t="s">
        <v>195</v>
      </c>
      <c r="AC28" s="500">
        <v>0</v>
      </c>
      <c r="AD28" s="500">
        <v>0</v>
      </c>
      <c r="AE28" s="500">
        <v>0</v>
      </c>
      <c r="AF28" s="500">
        <f t="shared" si="0"/>
        <v>0</v>
      </c>
      <c r="AH28" s="227" t="s">
        <v>89</v>
      </c>
      <c r="AI28" s="500">
        <v>24</v>
      </c>
      <c r="AJ28" s="500">
        <v>0</v>
      </c>
      <c r="AK28" s="500">
        <v>0</v>
      </c>
      <c r="AL28" s="500">
        <f t="shared" si="1"/>
        <v>24</v>
      </c>
      <c r="AO28" s="226" t="s">
        <v>202</v>
      </c>
      <c r="AP28" s="229">
        <v>6.8</v>
      </c>
      <c r="AQ28" s="274">
        <v>4.8</v>
      </c>
      <c r="AR28" s="500">
        <v>250</v>
      </c>
      <c r="AS28" s="500">
        <v>83</v>
      </c>
      <c r="AT28" s="274">
        <v>12.2</v>
      </c>
      <c r="AV28" s="227" t="s">
        <v>89</v>
      </c>
      <c r="AW28" s="229">
        <v>24</v>
      </c>
      <c r="AX28" s="274">
        <v>7.02</v>
      </c>
      <c r="AY28" s="500">
        <v>700</v>
      </c>
      <c r="AZ28" s="500">
        <v>77</v>
      </c>
      <c r="BA28" s="274">
        <v>6.44</v>
      </c>
    </row>
    <row r="29" spans="1:53" ht="16.75" customHeight="1">
      <c r="A29" s="172" t="s">
        <v>141</v>
      </c>
      <c r="B29" s="811">
        <v>7930</v>
      </c>
      <c r="C29" s="829"/>
      <c r="D29" s="830"/>
      <c r="E29" s="815"/>
      <c r="F29" s="816"/>
      <c r="G29" s="801">
        <v>8930</v>
      </c>
      <c r="H29" s="803">
        <v>8930</v>
      </c>
      <c r="I29" s="803">
        <f>G29-H29</f>
        <v>0</v>
      </c>
      <c r="J29" s="14"/>
      <c r="K29" s="327"/>
      <c r="M29" s="14"/>
      <c r="O29" s="188"/>
      <c r="P29" s="358"/>
      <c r="Q29" s="92"/>
      <c r="R29" s="35"/>
      <c r="S29" s="284"/>
      <c r="T29" s="92"/>
      <c r="U29" s="92"/>
      <c r="V29" s="92"/>
      <c r="W29" s="381"/>
      <c r="AB29" s="226" t="s">
        <v>196</v>
      </c>
      <c r="AC29" s="500">
        <v>0</v>
      </c>
      <c r="AD29" s="500">
        <v>0</v>
      </c>
      <c r="AE29" s="500">
        <v>0</v>
      </c>
      <c r="AF29" s="500">
        <f t="shared" si="0"/>
        <v>0</v>
      </c>
      <c r="AH29" s="229" t="s">
        <v>90</v>
      </c>
      <c r="AI29" s="500">
        <v>10</v>
      </c>
      <c r="AJ29" s="500">
        <v>8</v>
      </c>
      <c r="AK29" s="500">
        <v>6</v>
      </c>
      <c r="AL29" s="500">
        <f t="shared" si="1"/>
        <v>24</v>
      </c>
      <c r="AO29" s="226" t="s">
        <v>203</v>
      </c>
      <c r="AP29" s="229">
        <v>14.8</v>
      </c>
      <c r="AQ29" s="274">
        <v>5.09</v>
      </c>
      <c r="AR29" s="500">
        <v>70</v>
      </c>
      <c r="AS29" s="500">
        <v>90</v>
      </c>
      <c r="AT29" s="274">
        <v>5.39</v>
      </c>
      <c r="AV29" s="229" t="s">
        <v>90</v>
      </c>
      <c r="AW29" s="229">
        <v>24</v>
      </c>
      <c r="AX29" s="274">
        <v>6.94</v>
      </c>
      <c r="AY29" s="500">
        <v>700</v>
      </c>
      <c r="AZ29" s="500">
        <v>77</v>
      </c>
      <c r="BA29" s="274">
        <v>5.98</v>
      </c>
    </row>
    <row r="30" spans="1:53" ht="16.75" customHeight="1">
      <c r="A30" s="173" t="s">
        <v>142</v>
      </c>
      <c r="B30" s="812"/>
      <c r="C30" s="805"/>
      <c r="D30" s="806"/>
      <c r="E30" s="831"/>
      <c r="F30" s="832"/>
      <c r="G30" s="802"/>
      <c r="H30" s="804"/>
      <c r="I30" s="804"/>
      <c r="J30" s="14"/>
      <c r="K30" s="392"/>
      <c r="L30" s="14"/>
      <c r="M30" s="14"/>
      <c r="O30" s="188"/>
      <c r="P30" s="358"/>
      <c r="Q30" s="92"/>
      <c r="R30" s="35"/>
      <c r="T30" s="219"/>
      <c r="U30" s="386"/>
      <c r="V30" s="219"/>
      <c r="AB30" s="226" t="s">
        <v>197</v>
      </c>
      <c r="AC30" s="500">
        <v>0</v>
      </c>
      <c r="AD30" s="500">
        <v>0</v>
      </c>
      <c r="AE30" s="500">
        <v>0</v>
      </c>
      <c r="AF30" s="500">
        <f t="shared" si="0"/>
        <v>0</v>
      </c>
      <c r="AH30" s="229" t="s">
        <v>92</v>
      </c>
      <c r="AI30" s="500">
        <v>8.9</v>
      </c>
      <c r="AJ30" s="500">
        <v>1</v>
      </c>
      <c r="AK30" s="500">
        <v>3.7</v>
      </c>
      <c r="AL30" s="500">
        <f t="shared" si="1"/>
        <v>13.600000000000001</v>
      </c>
      <c r="AO30" s="226" t="s">
        <v>204</v>
      </c>
      <c r="AP30" s="229">
        <v>16.7</v>
      </c>
      <c r="AQ30" s="274">
        <v>5.33</v>
      </c>
      <c r="AR30" s="500">
        <v>80</v>
      </c>
      <c r="AS30" s="500">
        <v>89</v>
      </c>
      <c r="AT30" s="274">
        <v>5.62</v>
      </c>
      <c r="AV30" s="229" t="s">
        <v>92</v>
      </c>
      <c r="AW30" s="229">
        <v>13.600000000000001</v>
      </c>
      <c r="AX30" s="274">
        <v>7.01</v>
      </c>
      <c r="AY30" s="500">
        <v>700</v>
      </c>
      <c r="AZ30" s="500">
        <v>77</v>
      </c>
      <c r="BA30" s="274">
        <v>6.43</v>
      </c>
    </row>
    <row r="31" spans="1:53" ht="16.75" customHeight="1">
      <c r="A31" s="176" t="s">
        <v>143</v>
      </c>
      <c r="B31" s="784"/>
      <c r="C31" s="807"/>
      <c r="D31" s="808"/>
      <c r="E31" s="809"/>
      <c r="F31" s="810"/>
      <c r="G31" s="792"/>
      <c r="H31" s="794"/>
      <c r="I31" s="804"/>
      <c r="J31" s="242"/>
      <c r="K31" s="17"/>
      <c r="L31" s="17"/>
      <c r="M31" s="242"/>
      <c r="O31" s="92"/>
      <c r="P31" s="211"/>
      <c r="Q31" s="92"/>
      <c r="R31" s="366"/>
      <c r="T31" s="219"/>
      <c r="V31" s="297"/>
      <c r="AB31" s="226" t="s">
        <v>198</v>
      </c>
      <c r="AC31" s="500">
        <v>0</v>
      </c>
      <c r="AD31" s="500">
        <v>0</v>
      </c>
      <c r="AE31" s="500">
        <v>0</v>
      </c>
      <c r="AF31" s="500">
        <f t="shared" si="0"/>
        <v>0</v>
      </c>
      <c r="AH31" s="229" t="s">
        <v>93</v>
      </c>
      <c r="AI31" s="500">
        <v>10</v>
      </c>
      <c r="AJ31" s="500">
        <v>8</v>
      </c>
      <c r="AK31" s="500">
        <v>6</v>
      </c>
      <c r="AL31" s="500">
        <f t="shared" si="1"/>
        <v>24</v>
      </c>
      <c r="AO31" s="226" t="s">
        <v>205</v>
      </c>
      <c r="AP31" s="229">
        <v>16.3</v>
      </c>
      <c r="AQ31" s="274">
        <v>5.8</v>
      </c>
      <c r="AR31" s="500">
        <v>70</v>
      </c>
      <c r="AS31" s="500">
        <v>81</v>
      </c>
      <c r="AT31" s="274">
        <v>5.84</v>
      </c>
      <c r="AV31" s="229" t="s">
        <v>93</v>
      </c>
      <c r="AW31" s="229">
        <v>24</v>
      </c>
      <c r="AX31" s="274">
        <v>6.85</v>
      </c>
      <c r="AY31" s="500">
        <v>700</v>
      </c>
      <c r="AZ31" s="500">
        <v>77</v>
      </c>
      <c r="BA31" s="274">
        <v>6.02</v>
      </c>
    </row>
    <row r="32" spans="1:53" ht="16.75" customHeight="1" thickBot="1">
      <c r="A32" s="53" t="s">
        <v>28</v>
      </c>
      <c r="B32" s="78">
        <f>SUM(B24:B31)</f>
        <v>15341</v>
      </c>
      <c r="C32" s="821">
        <f>SUM(C24:D31)</f>
        <v>1991</v>
      </c>
      <c r="D32" s="822"/>
      <c r="E32" s="821">
        <f>SUM(E24:F31)</f>
        <v>0</v>
      </c>
      <c r="F32" s="822"/>
      <c r="G32" s="502">
        <f>G24+G26+G29</f>
        <v>18234</v>
      </c>
      <c r="H32" s="502">
        <f>H24+H26+H29</f>
        <v>18332</v>
      </c>
      <c r="I32" s="502">
        <f>I24+I26+I29</f>
        <v>-98</v>
      </c>
      <c r="J32" s="327">
        <f>E32-E28</f>
        <v>0</v>
      </c>
      <c r="K32" s="14"/>
      <c r="L32" s="14"/>
      <c r="M32" s="14"/>
      <c r="N32" s="140"/>
      <c r="O32" s="261"/>
      <c r="P32" s="261"/>
      <c r="T32" s="219"/>
      <c r="U32" s="219"/>
      <c r="AB32" s="226" t="s">
        <v>199</v>
      </c>
      <c r="AC32" s="500">
        <v>0</v>
      </c>
      <c r="AD32" s="500">
        <v>0</v>
      </c>
      <c r="AE32" s="500">
        <v>0</v>
      </c>
      <c r="AF32" s="500">
        <f t="shared" si="0"/>
        <v>0</v>
      </c>
      <c r="AH32" s="229" t="s">
        <v>94</v>
      </c>
      <c r="AI32" s="500">
        <v>10</v>
      </c>
      <c r="AJ32" s="500">
        <v>1.5</v>
      </c>
      <c r="AK32" s="500">
        <v>0</v>
      </c>
      <c r="AL32" s="500">
        <f t="shared" si="1"/>
        <v>11.5</v>
      </c>
      <c r="AO32" s="226" t="s">
        <v>206</v>
      </c>
      <c r="AP32" s="229">
        <v>10.8</v>
      </c>
      <c r="AQ32" s="274">
        <v>5.39</v>
      </c>
      <c r="AR32" s="500">
        <v>280</v>
      </c>
      <c r="AS32" s="500">
        <v>82</v>
      </c>
      <c r="AT32" s="274">
        <v>5.34</v>
      </c>
      <c r="AV32" s="229" t="s">
        <v>94</v>
      </c>
      <c r="AW32" s="229">
        <v>11.5</v>
      </c>
      <c r="AX32" s="274">
        <v>6.93</v>
      </c>
      <c r="AY32" s="500">
        <v>700</v>
      </c>
      <c r="AZ32" s="500">
        <v>76</v>
      </c>
      <c r="BA32" s="274">
        <v>6.17</v>
      </c>
    </row>
    <row r="33" spans="1:53" ht="16.75" customHeight="1" thickBot="1">
      <c r="A33" s="177" t="s">
        <v>44</v>
      </c>
      <c r="B33" s="178">
        <v>839</v>
      </c>
      <c r="C33" s="823">
        <f>E28+E34</f>
        <v>0</v>
      </c>
      <c r="D33" s="824"/>
      <c r="E33" s="823"/>
      <c r="F33" s="824"/>
      <c r="G33" s="183">
        <f>422+417</f>
        <v>839</v>
      </c>
      <c r="H33" s="183">
        <f>B33+C33-E33</f>
        <v>839</v>
      </c>
      <c r="I33" s="183">
        <f>G33-H33</f>
        <v>0</v>
      </c>
      <c r="J33" s="94"/>
      <c r="K33" s="436"/>
      <c r="L33" s="94"/>
      <c r="M33" s="94"/>
      <c r="P33" s="107"/>
      <c r="Q33" s="22"/>
      <c r="R33" s="22"/>
      <c r="S33" s="22"/>
      <c r="X33" s="222" t="s">
        <v>187</v>
      </c>
      <c r="AB33" s="226" t="s">
        <v>200</v>
      </c>
      <c r="AC33" s="500">
        <v>0</v>
      </c>
      <c r="AD33" s="500">
        <v>0</v>
      </c>
      <c r="AE33" s="500">
        <v>0</v>
      </c>
      <c r="AF33" s="500">
        <f t="shared" si="0"/>
        <v>0</v>
      </c>
      <c r="AH33" s="229" t="s">
        <v>95</v>
      </c>
      <c r="AI33" s="500">
        <v>10</v>
      </c>
      <c r="AJ33" s="500">
        <v>5.6</v>
      </c>
      <c r="AK33" s="500">
        <v>4</v>
      </c>
      <c r="AL33" s="500">
        <f t="shared" si="1"/>
        <v>19.600000000000001</v>
      </c>
      <c r="AO33" s="227" t="s">
        <v>103</v>
      </c>
      <c r="AP33" s="229">
        <v>24</v>
      </c>
      <c r="AQ33" s="274">
        <v>6.67</v>
      </c>
      <c r="AR33" s="500">
        <v>100</v>
      </c>
      <c r="AS33" s="500">
        <v>80</v>
      </c>
      <c r="AT33" s="274">
        <v>5.75</v>
      </c>
      <c r="AV33" s="229" t="s">
        <v>95</v>
      </c>
      <c r="AW33" s="229">
        <v>19.600000000000001</v>
      </c>
      <c r="AX33" s="274">
        <v>6.96</v>
      </c>
      <c r="AY33" s="500">
        <v>700</v>
      </c>
      <c r="AZ33" s="500">
        <v>76</v>
      </c>
      <c r="BA33" s="274">
        <v>6.1</v>
      </c>
    </row>
    <row r="34" spans="1:53" ht="16.75" customHeight="1">
      <c r="A34" s="179" t="s">
        <v>29</v>
      </c>
      <c r="B34" s="180">
        <v>3564</v>
      </c>
      <c r="C34" s="825"/>
      <c r="D34" s="826"/>
      <c r="E34" s="827"/>
      <c r="F34" s="828"/>
      <c r="G34" s="181">
        <v>3564</v>
      </c>
      <c r="H34" s="182">
        <f>B34+C34-E34</f>
        <v>3564</v>
      </c>
      <c r="I34" s="182">
        <f>G34-H34</f>
        <v>0</v>
      </c>
      <c r="J34" s="52"/>
      <c r="K34" s="52"/>
      <c r="L34" s="71" t="s">
        <v>41</v>
      </c>
      <c r="M34" s="7"/>
      <c r="N34" s="93"/>
      <c r="O34" s="93"/>
      <c r="P34" s="93"/>
      <c r="Q34" s="480" t="s">
        <v>529</v>
      </c>
      <c r="X34" s="227" t="s">
        <v>96</v>
      </c>
      <c r="Y34" s="500">
        <v>0</v>
      </c>
      <c r="Z34" s="500">
        <v>0</v>
      </c>
      <c r="AA34" s="500">
        <v>0</v>
      </c>
      <c r="AB34" s="500">
        <f>SUM(Y34:AA34)</f>
        <v>0</v>
      </c>
      <c r="AD34" s="229" t="s">
        <v>96</v>
      </c>
      <c r="AE34" s="500">
        <v>10</v>
      </c>
      <c r="AF34" s="500">
        <v>8</v>
      </c>
      <c r="AG34" s="500">
        <v>6</v>
      </c>
      <c r="AH34" s="500">
        <f>SUM(AE34:AG34)</f>
        <v>24</v>
      </c>
      <c r="AK34" s="226" t="s">
        <v>207</v>
      </c>
      <c r="AL34" s="229">
        <v>10.3</v>
      </c>
      <c r="AM34" s="274">
        <v>6.43</v>
      </c>
      <c r="AN34" s="500">
        <v>350</v>
      </c>
      <c r="AO34" s="500">
        <v>79</v>
      </c>
      <c r="AP34" s="274">
        <v>5.8</v>
      </c>
      <c r="AR34" s="229" t="s">
        <v>96</v>
      </c>
      <c r="AS34" s="229">
        <v>24</v>
      </c>
      <c r="AT34" s="274">
        <v>7.08</v>
      </c>
      <c r="AU34" s="500">
        <v>700</v>
      </c>
      <c r="AV34" s="500">
        <v>76</v>
      </c>
      <c r="AW34" s="274">
        <v>6.08</v>
      </c>
    </row>
    <row r="35" spans="1:53">
      <c r="A35" s="30" t="s">
        <v>45</v>
      </c>
      <c r="C35" s="313" t="s">
        <v>285</v>
      </c>
      <c r="D35" s="46">
        <v>13216.3</v>
      </c>
      <c r="E35" s="79" t="s">
        <v>47</v>
      </c>
      <c r="F35" s="80" t="s">
        <v>46</v>
      </c>
      <c r="G35" s="55">
        <f>33781+D35</f>
        <v>46997.3</v>
      </c>
      <c r="H35" s="79" t="s">
        <v>47</v>
      </c>
      <c r="I35" s="79"/>
      <c r="J35" s="220"/>
      <c r="K35" s="220"/>
      <c r="L35" s="10"/>
      <c r="M35" s="10" t="s">
        <v>148</v>
      </c>
      <c r="N35" s="10" t="s">
        <v>32</v>
      </c>
      <c r="O35" s="10" t="s">
        <v>61</v>
      </c>
      <c r="P35" s="155" t="s">
        <v>67</v>
      </c>
      <c r="Q35" s="10" t="s">
        <v>315</v>
      </c>
      <c r="R35" s="54" t="s">
        <v>30</v>
      </c>
      <c r="S35" s="54" t="s">
        <v>33</v>
      </c>
      <c r="T35" s="112"/>
      <c r="U35" s="68"/>
      <c r="V35" s="68"/>
      <c r="X35" s="226" t="s">
        <v>201</v>
      </c>
      <c r="Y35" s="500">
        <v>0</v>
      </c>
      <c r="Z35" s="500">
        <v>0</v>
      </c>
      <c r="AA35" s="500">
        <v>0</v>
      </c>
      <c r="AB35" s="500">
        <f t="shared" si="0"/>
        <v>0</v>
      </c>
      <c r="AD35" s="227" t="s">
        <v>97</v>
      </c>
      <c r="AE35" s="500">
        <v>23</v>
      </c>
      <c r="AF35" s="500">
        <v>0</v>
      </c>
      <c r="AG35" s="500">
        <v>0</v>
      </c>
      <c r="AH35" s="500">
        <f t="shared" ref="AH35:AH46" si="2">SUM(AE35:AG35)</f>
        <v>23</v>
      </c>
      <c r="AK35" s="226" t="s">
        <v>208</v>
      </c>
      <c r="AL35" s="229">
        <v>10.5</v>
      </c>
      <c r="AM35" s="274">
        <v>6.45</v>
      </c>
      <c r="AN35" s="500">
        <v>200</v>
      </c>
      <c r="AO35" s="500">
        <v>77</v>
      </c>
      <c r="AP35" s="274">
        <v>5.74</v>
      </c>
      <c r="AR35" s="227" t="s">
        <v>97</v>
      </c>
      <c r="AS35" s="229">
        <v>23</v>
      </c>
      <c r="AT35" s="274">
        <v>7.09</v>
      </c>
      <c r="AU35" s="500">
        <v>700</v>
      </c>
      <c r="AV35" s="500">
        <v>77</v>
      </c>
      <c r="AW35" s="274">
        <v>6.25</v>
      </c>
    </row>
    <row r="36" spans="1:53">
      <c r="A36" s="30" t="s">
        <v>48</v>
      </c>
      <c r="C36" s="313" t="s">
        <v>285</v>
      </c>
      <c r="D36" s="46">
        <v>7633.8</v>
      </c>
      <c r="E36" s="79" t="s">
        <v>47</v>
      </c>
      <c r="F36" s="80" t="s">
        <v>46</v>
      </c>
      <c r="G36" s="55">
        <f>17406+D36</f>
        <v>25039.8</v>
      </c>
      <c r="H36" s="79" t="s">
        <v>47</v>
      </c>
      <c r="I36" s="79"/>
      <c r="J36" s="355"/>
      <c r="K36" s="188"/>
      <c r="L36" s="100" t="s">
        <v>494</v>
      </c>
      <c r="M36" s="11"/>
      <c r="N36" s="67">
        <v>1308</v>
      </c>
      <c r="O36" s="76">
        <v>53</v>
      </c>
      <c r="P36" s="76">
        <f t="shared" ref="P36:P65" si="3">N36-O36</f>
        <v>1255</v>
      </c>
      <c r="Q36" s="10">
        <f t="shared" ref="Q36:Q68" si="4">P36*(1-S36)*1.057</f>
        <v>1326.5349999999999</v>
      </c>
      <c r="R36" s="54">
        <f t="shared" ref="R36:R67" si="5">P36*S36*1.2</f>
        <v>0</v>
      </c>
      <c r="S36" s="103"/>
      <c r="T36" s="36">
        <v>0.02</v>
      </c>
      <c r="U36" s="46" t="e">
        <f t="shared" ref="U36:U44" si="6">Q36/$V$68</f>
        <v>#DIV/0!</v>
      </c>
      <c r="X36" s="226" t="s">
        <v>202</v>
      </c>
      <c r="Y36" s="500">
        <v>5.8</v>
      </c>
      <c r="Z36" s="500">
        <v>0</v>
      </c>
      <c r="AA36" s="500">
        <v>1</v>
      </c>
      <c r="AB36" s="500">
        <f t="shared" si="0"/>
        <v>6.8</v>
      </c>
      <c r="AD36" s="229" t="s">
        <v>98</v>
      </c>
      <c r="AE36" s="500">
        <v>0</v>
      </c>
      <c r="AF36" s="500">
        <v>0</v>
      </c>
      <c r="AG36" s="500">
        <v>0</v>
      </c>
      <c r="AH36" s="500">
        <f t="shared" si="2"/>
        <v>0</v>
      </c>
      <c r="AK36" s="226" t="s">
        <v>209</v>
      </c>
      <c r="AL36" s="229">
        <v>9.1</v>
      </c>
      <c r="AM36" s="274">
        <v>6.62</v>
      </c>
      <c r="AN36" s="500">
        <v>700</v>
      </c>
      <c r="AO36" s="500">
        <v>74</v>
      </c>
      <c r="AP36" s="274">
        <v>5.92</v>
      </c>
      <c r="AR36" s="229" t="s">
        <v>101</v>
      </c>
      <c r="AS36" s="229">
        <v>23.5</v>
      </c>
      <c r="AT36" s="274">
        <v>6.09</v>
      </c>
      <c r="AU36" s="500">
        <v>400</v>
      </c>
      <c r="AV36" s="500">
        <v>85</v>
      </c>
      <c r="AW36" s="274">
        <v>5.65</v>
      </c>
    </row>
    <row r="37" spans="1:53" ht="15.65" customHeight="1">
      <c r="A37" s="30"/>
      <c r="B37" s="15"/>
      <c r="C37" s="99"/>
      <c r="D37" s="452"/>
      <c r="E37" s="452"/>
      <c r="F37" s="452"/>
      <c r="G37" s="452"/>
      <c r="H37" s="79"/>
      <c r="I37" s="79"/>
      <c r="J37" s="188"/>
      <c r="K37" s="188"/>
      <c r="L37" s="100" t="s">
        <v>495</v>
      </c>
      <c r="M37" s="11"/>
      <c r="N37" s="67">
        <v>2002</v>
      </c>
      <c r="O37" s="76">
        <v>51</v>
      </c>
      <c r="P37" s="76">
        <f t="shared" si="3"/>
        <v>1951</v>
      </c>
      <c r="Q37" s="10">
        <f t="shared" si="4"/>
        <v>2062.2069999999999</v>
      </c>
      <c r="R37" s="54">
        <f t="shared" si="5"/>
        <v>0</v>
      </c>
      <c r="S37" s="103"/>
      <c r="T37" s="36">
        <f t="shared" ref="T37:T43" si="7">R37*0.6</f>
        <v>0</v>
      </c>
      <c r="U37" s="46" t="e">
        <f t="shared" si="6"/>
        <v>#DIV/0!</v>
      </c>
      <c r="X37" s="226" t="s">
        <v>203</v>
      </c>
      <c r="Y37" s="500">
        <v>10</v>
      </c>
      <c r="Z37" s="500">
        <v>2.8</v>
      </c>
      <c r="AA37" s="500">
        <v>2</v>
      </c>
      <c r="AB37" s="500">
        <f t="shared" si="0"/>
        <v>14.8</v>
      </c>
      <c r="AD37" s="229" t="s">
        <v>99</v>
      </c>
      <c r="AE37" s="500">
        <v>0</v>
      </c>
      <c r="AF37" s="500">
        <v>0</v>
      </c>
      <c r="AG37" s="500">
        <v>0</v>
      </c>
      <c r="AH37" s="500">
        <f t="shared" si="2"/>
        <v>0</v>
      </c>
      <c r="AK37" s="226" t="s">
        <v>210</v>
      </c>
      <c r="AL37" s="229">
        <v>10.1</v>
      </c>
      <c r="AM37" s="274">
        <v>6.84</v>
      </c>
      <c r="AN37" s="500">
        <v>650</v>
      </c>
      <c r="AO37" s="500">
        <v>72</v>
      </c>
      <c r="AP37" s="274">
        <v>5.84</v>
      </c>
      <c r="AR37" s="229" t="s">
        <v>102</v>
      </c>
      <c r="AS37" s="229">
        <v>20.3</v>
      </c>
      <c r="AT37" s="274">
        <v>5.86</v>
      </c>
      <c r="AU37" s="500">
        <v>400</v>
      </c>
      <c r="AV37" s="500">
        <v>83</v>
      </c>
      <c r="AW37" s="274">
        <v>5.91</v>
      </c>
    </row>
    <row r="38" spans="1:53">
      <c r="A38" s="31" t="s">
        <v>50</v>
      </c>
      <c r="J38" s="34"/>
      <c r="K38" s="34"/>
      <c r="L38" s="100" t="s">
        <v>463</v>
      </c>
      <c r="M38" s="11"/>
      <c r="N38" s="67">
        <v>2054.6</v>
      </c>
      <c r="O38" s="76">
        <v>75</v>
      </c>
      <c r="P38" s="76">
        <f t="shared" si="3"/>
        <v>1979.6</v>
      </c>
      <c r="Q38" s="10">
        <f t="shared" si="4"/>
        <v>2092.4371999999998</v>
      </c>
      <c r="R38" s="54">
        <f t="shared" si="5"/>
        <v>0</v>
      </c>
      <c r="S38" s="103"/>
      <c r="T38" s="36">
        <f t="shared" si="7"/>
        <v>0</v>
      </c>
      <c r="U38" s="46" t="e">
        <f t="shared" si="6"/>
        <v>#DIV/0!</v>
      </c>
      <c r="X38" s="226" t="s">
        <v>204</v>
      </c>
      <c r="Y38" s="500">
        <v>10</v>
      </c>
      <c r="Z38" s="500">
        <v>4.7</v>
      </c>
      <c r="AA38" s="500">
        <v>2</v>
      </c>
      <c r="AB38" s="500">
        <f t="shared" si="0"/>
        <v>16.7</v>
      </c>
      <c r="AD38" s="229" t="s">
        <v>100</v>
      </c>
      <c r="AE38" s="500">
        <v>0</v>
      </c>
      <c r="AF38" s="500">
        <v>0</v>
      </c>
      <c r="AG38" s="500">
        <v>0</v>
      </c>
      <c r="AH38" s="500">
        <f t="shared" si="2"/>
        <v>0</v>
      </c>
      <c r="AK38" s="226" t="s">
        <v>211</v>
      </c>
      <c r="AL38" s="229">
        <v>10.1</v>
      </c>
      <c r="AM38" s="274">
        <v>7.33</v>
      </c>
      <c r="AN38" s="500">
        <v>700</v>
      </c>
      <c r="AO38" s="500">
        <v>73</v>
      </c>
      <c r="AP38" s="274">
        <v>6.29</v>
      </c>
      <c r="AR38" s="229" t="s">
        <v>103</v>
      </c>
      <c r="AS38" s="229">
        <v>24</v>
      </c>
      <c r="AT38" s="274">
        <v>5.0999999999999996</v>
      </c>
      <c r="AU38" s="500">
        <v>350</v>
      </c>
      <c r="AV38" s="500">
        <v>82</v>
      </c>
      <c r="AW38" s="274">
        <v>5.66</v>
      </c>
    </row>
    <row r="39" spans="1:53" ht="15.05" customHeight="1">
      <c r="A39" s="842" t="s">
        <v>1</v>
      </c>
      <c r="B39" s="205" t="s">
        <v>168</v>
      </c>
      <c r="C39" s="842" t="s">
        <v>36</v>
      </c>
      <c r="D39" s="842"/>
      <c r="E39" s="842" t="s">
        <v>37</v>
      </c>
      <c r="F39" s="842"/>
      <c r="G39" s="842"/>
      <c r="H39" s="842"/>
      <c r="I39" s="887" t="s">
        <v>392</v>
      </c>
      <c r="J39" s="409"/>
      <c r="K39" s="238"/>
      <c r="L39" s="100" t="s">
        <v>464</v>
      </c>
      <c r="M39" s="11"/>
      <c r="N39" s="67">
        <v>1308</v>
      </c>
      <c r="O39" s="76">
        <v>52</v>
      </c>
      <c r="P39" s="76">
        <f t="shared" si="3"/>
        <v>1256</v>
      </c>
      <c r="Q39" s="10">
        <f t="shared" si="4"/>
        <v>1327.5919999999999</v>
      </c>
      <c r="R39" s="54">
        <f t="shared" si="5"/>
        <v>0</v>
      </c>
      <c r="S39" s="103"/>
      <c r="T39" s="36">
        <f t="shared" si="7"/>
        <v>0</v>
      </c>
      <c r="U39" s="46" t="e">
        <f t="shared" si="6"/>
        <v>#DIV/0!</v>
      </c>
      <c r="X39" s="226" t="s">
        <v>205</v>
      </c>
      <c r="Y39" s="500">
        <v>10</v>
      </c>
      <c r="Z39" s="500">
        <v>4.3</v>
      </c>
      <c r="AA39" s="500">
        <v>2</v>
      </c>
      <c r="AB39" s="500">
        <f t="shared" si="0"/>
        <v>16.3</v>
      </c>
      <c r="AD39" s="229" t="s">
        <v>101</v>
      </c>
      <c r="AE39" s="500">
        <v>9.5</v>
      </c>
      <c r="AF39" s="500">
        <v>8</v>
      </c>
      <c r="AG39" s="500">
        <v>6</v>
      </c>
      <c r="AH39" s="500">
        <f t="shared" si="2"/>
        <v>23.5</v>
      </c>
      <c r="AK39" s="226" t="s">
        <v>212</v>
      </c>
      <c r="AL39" s="229">
        <v>10.3</v>
      </c>
      <c r="AM39" s="274">
        <v>7.48</v>
      </c>
      <c r="AN39" s="500">
        <v>700</v>
      </c>
      <c r="AO39" s="500">
        <v>73</v>
      </c>
      <c r="AP39" s="274">
        <v>5.74</v>
      </c>
      <c r="AR39" s="227" t="s">
        <v>104</v>
      </c>
      <c r="AS39" s="229">
        <v>24</v>
      </c>
      <c r="AT39" s="274">
        <v>5.0999999999999996</v>
      </c>
      <c r="AU39" s="500">
        <v>300</v>
      </c>
      <c r="AV39" s="500">
        <v>84</v>
      </c>
      <c r="AW39" s="274">
        <v>5.72</v>
      </c>
    </row>
    <row r="40" spans="1:53" ht="15.05" customHeight="1">
      <c r="A40" s="842"/>
      <c r="B40" s="204" t="s">
        <v>35</v>
      </c>
      <c r="C40" s="905" t="s">
        <v>528</v>
      </c>
      <c r="D40" s="889"/>
      <c r="E40" s="504" t="s">
        <v>34</v>
      </c>
      <c r="F40" s="504" t="s">
        <v>38</v>
      </c>
      <c r="G40" s="842" t="s">
        <v>7</v>
      </c>
      <c r="H40" s="842"/>
      <c r="I40" s="888"/>
      <c r="J40" s="56"/>
      <c r="K40" s="56"/>
      <c r="L40" s="100" t="s">
        <v>465</v>
      </c>
      <c r="M40" s="11"/>
      <c r="N40" s="67">
        <v>928</v>
      </c>
      <c r="O40" s="76">
        <v>34</v>
      </c>
      <c r="P40" s="76">
        <f t="shared" si="3"/>
        <v>894</v>
      </c>
      <c r="Q40" s="10">
        <f t="shared" si="4"/>
        <v>944.95799999999997</v>
      </c>
      <c r="R40" s="54">
        <f t="shared" si="5"/>
        <v>0</v>
      </c>
      <c r="S40" s="103"/>
      <c r="T40" s="36">
        <f t="shared" si="7"/>
        <v>0</v>
      </c>
      <c r="U40" s="46" t="e">
        <f t="shared" si="6"/>
        <v>#DIV/0!</v>
      </c>
      <c r="V40" s="36"/>
      <c r="X40" s="226" t="s">
        <v>206</v>
      </c>
      <c r="Y40" s="500">
        <v>10</v>
      </c>
      <c r="Z40" s="500">
        <v>0.8</v>
      </c>
      <c r="AA40" s="500">
        <v>0</v>
      </c>
      <c r="AB40" s="500">
        <f t="shared" si="0"/>
        <v>10.8</v>
      </c>
      <c r="AD40" s="229" t="s">
        <v>102</v>
      </c>
      <c r="AE40" s="500">
        <v>10</v>
      </c>
      <c r="AF40" s="500">
        <v>6.3</v>
      </c>
      <c r="AG40" s="500">
        <v>4</v>
      </c>
      <c r="AH40" s="500">
        <f t="shared" si="2"/>
        <v>20.3</v>
      </c>
      <c r="AK40" s="227" t="s">
        <v>110</v>
      </c>
      <c r="AL40" s="229">
        <v>24</v>
      </c>
      <c r="AM40" s="274">
        <v>6.48</v>
      </c>
      <c r="AN40" s="500">
        <v>250</v>
      </c>
      <c r="AO40" s="500">
        <v>76</v>
      </c>
      <c r="AP40" s="274">
        <v>5.66</v>
      </c>
      <c r="AR40" s="226" t="s">
        <v>208</v>
      </c>
      <c r="AS40" s="229">
        <v>20.3</v>
      </c>
      <c r="AT40" s="274">
        <v>6.48</v>
      </c>
      <c r="AU40" s="500">
        <v>700</v>
      </c>
      <c r="AV40" s="500">
        <v>77</v>
      </c>
      <c r="AW40" s="274">
        <v>6.13</v>
      </c>
    </row>
    <row r="41" spans="1:53" ht="16.75" customHeight="1" thickBot="1">
      <c r="A41" s="449" t="s">
        <v>491</v>
      </c>
      <c r="B41" s="447">
        <v>6545</v>
      </c>
      <c r="C41" s="903">
        <f>240+1983+117</f>
        <v>2340</v>
      </c>
      <c r="D41" s="904"/>
      <c r="E41" s="447">
        <v>3903</v>
      </c>
      <c r="F41" s="447">
        <f t="shared" ref="F41:F42" si="8">B41-C41-E41</f>
        <v>302</v>
      </c>
      <c r="G41" s="903">
        <f t="shared" ref="G41" si="9">SUM(E41:F41)</f>
        <v>4205</v>
      </c>
      <c r="H41" s="904"/>
      <c r="I41" s="444"/>
      <c r="J41" s="57">
        <f>B41-C41-G41</f>
        <v>0</v>
      </c>
      <c r="K41" s="440"/>
      <c r="L41" s="100" t="s">
        <v>466</v>
      </c>
      <c r="M41" s="11"/>
      <c r="N41" s="67">
        <v>1977</v>
      </c>
      <c r="O41" s="76">
        <v>83</v>
      </c>
      <c r="P41" s="76">
        <f t="shared" si="3"/>
        <v>1894</v>
      </c>
      <c r="Q41" s="10">
        <f t="shared" si="4"/>
        <v>2001.9579999999999</v>
      </c>
      <c r="R41" s="54">
        <f t="shared" si="5"/>
        <v>0</v>
      </c>
      <c r="S41" s="103"/>
      <c r="T41" s="36">
        <f t="shared" si="7"/>
        <v>0</v>
      </c>
      <c r="U41" s="46" t="e">
        <f t="shared" si="6"/>
        <v>#DIV/0!</v>
      </c>
      <c r="V41" s="36"/>
      <c r="X41" s="227" t="s">
        <v>103</v>
      </c>
      <c r="Y41" s="500">
        <v>24</v>
      </c>
      <c r="Z41" s="500">
        <v>0</v>
      </c>
      <c r="AA41" s="500">
        <v>0</v>
      </c>
      <c r="AB41" s="500">
        <f t="shared" si="0"/>
        <v>24</v>
      </c>
      <c r="AD41" s="229" t="s">
        <v>103</v>
      </c>
      <c r="AE41" s="500">
        <v>10</v>
      </c>
      <c r="AF41" s="500">
        <v>8</v>
      </c>
      <c r="AG41" s="500">
        <v>6</v>
      </c>
      <c r="AH41" s="500">
        <f t="shared" si="2"/>
        <v>24</v>
      </c>
      <c r="AK41" s="226" t="s">
        <v>213</v>
      </c>
      <c r="AL41" s="229">
        <v>10.5</v>
      </c>
      <c r="AM41" s="274">
        <v>6.3</v>
      </c>
      <c r="AN41" s="500">
        <v>400</v>
      </c>
      <c r="AO41" s="500">
        <v>76</v>
      </c>
      <c r="AP41" s="274">
        <v>5.77</v>
      </c>
      <c r="AR41" s="226" t="s">
        <v>216</v>
      </c>
      <c r="AS41" s="229">
        <v>13.3</v>
      </c>
      <c r="AT41" s="274">
        <v>8.25</v>
      </c>
      <c r="AU41" s="500">
        <v>700</v>
      </c>
      <c r="AV41" s="500">
        <v>70</v>
      </c>
      <c r="AW41" s="274">
        <v>7.45</v>
      </c>
    </row>
    <row r="42" spans="1:53" ht="16.75" customHeight="1" thickTop="1">
      <c r="A42" s="484" t="s">
        <v>530</v>
      </c>
      <c r="B42" s="510">
        <v>27000</v>
      </c>
      <c r="C42" s="883">
        <f>1341+1879+1374+328+1901+2064+1343+1329+1236+1356+676+450+2067-666</f>
        <v>16678</v>
      </c>
      <c r="D42" s="884"/>
      <c r="E42" s="509">
        <v>3801</v>
      </c>
      <c r="F42" s="447">
        <f t="shared" si="8"/>
        <v>6521</v>
      </c>
      <c r="G42" s="883">
        <f t="shared" ref="G42" si="10">SUM(E42:F42)</f>
        <v>10322</v>
      </c>
      <c r="H42" s="884"/>
      <c r="I42" s="444" t="s">
        <v>534</v>
      </c>
      <c r="J42" s="57"/>
      <c r="K42" s="57"/>
      <c r="L42" s="100" t="s">
        <v>467</v>
      </c>
      <c r="M42" s="11"/>
      <c r="N42" s="67">
        <v>1278</v>
      </c>
      <c r="O42" s="76">
        <v>53</v>
      </c>
      <c r="P42" s="76">
        <f t="shared" si="3"/>
        <v>1225</v>
      </c>
      <c r="Q42" s="10">
        <f t="shared" si="4"/>
        <v>1294.8249999999998</v>
      </c>
      <c r="R42" s="54">
        <f t="shared" si="5"/>
        <v>0</v>
      </c>
      <c r="S42" s="103"/>
      <c r="T42" s="36">
        <f t="shared" si="7"/>
        <v>0</v>
      </c>
      <c r="U42" s="46" t="e">
        <f t="shared" si="6"/>
        <v>#DIV/0!</v>
      </c>
      <c r="V42" s="36"/>
      <c r="X42" s="226" t="s">
        <v>207</v>
      </c>
      <c r="Y42" s="500">
        <v>10</v>
      </c>
      <c r="Z42" s="500">
        <v>0.3</v>
      </c>
      <c r="AA42" s="500">
        <v>0</v>
      </c>
      <c r="AB42" s="500">
        <f t="shared" si="0"/>
        <v>10.3</v>
      </c>
      <c r="AD42" s="227" t="s">
        <v>104</v>
      </c>
      <c r="AE42" s="500">
        <v>24</v>
      </c>
      <c r="AF42" s="500">
        <v>0</v>
      </c>
      <c r="AG42" s="500">
        <v>0</v>
      </c>
      <c r="AH42" s="500">
        <f t="shared" si="2"/>
        <v>24</v>
      </c>
      <c r="AK42" s="226" t="s">
        <v>214</v>
      </c>
      <c r="AL42" s="229">
        <v>10.5</v>
      </c>
      <c r="AM42" s="274">
        <v>6.53</v>
      </c>
      <c r="AN42" s="500">
        <v>400</v>
      </c>
      <c r="AO42" s="500">
        <v>76</v>
      </c>
      <c r="AP42" s="274">
        <v>5.85</v>
      </c>
      <c r="AR42" s="270" t="s">
        <v>250</v>
      </c>
      <c r="AS42" s="269">
        <f>SUM(AW23:AW41)</f>
        <v>281.45000000000005</v>
      </c>
      <c r="AT42" s="271">
        <f>AVERAGE(AX23:AX41)</f>
        <v>7.0272727272727273</v>
      </c>
      <c r="AU42" s="268">
        <f>AVERAGE(AY23:AY41)</f>
        <v>686.36363636363637</v>
      </c>
      <c r="AV42" s="268">
        <f>AVERAGE(AZ23:AZ41)</f>
        <v>78</v>
      </c>
      <c r="AW42" s="269">
        <v>6.06</v>
      </c>
    </row>
    <row r="43" spans="1:53" ht="16.75" customHeight="1">
      <c r="A43" s="493" t="s">
        <v>533</v>
      </c>
      <c r="B43" s="447">
        <v>6046</v>
      </c>
      <c r="C43" s="894"/>
      <c r="D43" s="895"/>
      <c r="E43" s="447">
        <v>6046</v>
      </c>
      <c r="F43" s="447"/>
      <c r="G43" s="894"/>
      <c r="H43" s="895"/>
      <c r="I43" s="450"/>
      <c r="J43" s="57">
        <f t="shared" ref="J43:J46" si="11">B43-C43-G43</f>
        <v>6046</v>
      </c>
      <c r="K43" s="260"/>
      <c r="L43" s="100" t="s">
        <v>468</v>
      </c>
      <c r="M43" s="11"/>
      <c r="N43" s="67">
        <v>1313</v>
      </c>
      <c r="O43" s="76">
        <v>54</v>
      </c>
      <c r="P43" s="76">
        <f t="shared" si="3"/>
        <v>1259</v>
      </c>
      <c r="Q43" s="10">
        <f t="shared" si="4"/>
        <v>1330.7629999999999</v>
      </c>
      <c r="R43" s="54">
        <f t="shared" si="5"/>
        <v>0</v>
      </c>
      <c r="S43" s="103"/>
      <c r="T43" s="36">
        <f t="shared" si="7"/>
        <v>0</v>
      </c>
      <c r="U43" s="46" t="e">
        <f t="shared" si="6"/>
        <v>#DIV/0!</v>
      </c>
      <c r="V43" s="36"/>
      <c r="X43" s="226" t="s">
        <v>208</v>
      </c>
      <c r="Y43" s="500">
        <v>10</v>
      </c>
      <c r="Z43" s="500">
        <v>0.5</v>
      </c>
      <c r="AA43" s="500">
        <v>0</v>
      </c>
      <c r="AB43" s="500">
        <f t="shared" si="0"/>
        <v>10.5</v>
      </c>
      <c r="AD43" s="226" t="s">
        <v>208</v>
      </c>
      <c r="AE43" s="500">
        <v>6.3</v>
      </c>
      <c r="AF43" s="500">
        <v>8</v>
      </c>
      <c r="AG43" s="500">
        <v>6</v>
      </c>
      <c r="AH43" s="500">
        <f t="shared" si="2"/>
        <v>20.3</v>
      </c>
      <c r="AK43" s="226" t="s">
        <v>215</v>
      </c>
      <c r="AL43" s="229">
        <v>10.5</v>
      </c>
      <c r="AM43" s="274">
        <v>8.6</v>
      </c>
      <c r="AN43" s="500">
        <v>700</v>
      </c>
      <c r="AO43" s="500">
        <v>72</v>
      </c>
      <c r="AP43" s="274">
        <v>5.49</v>
      </c>
    </row>
    <row r="44" spans="1:53" ht="16.75" customHeight="1">
      <c r="A44" s="517" t="s">
        <v>538</v>
      </c>
      <c r="B44" s="447">
        <v>5607</v>
      </c>
      <c r="C44" s="894"/>
      <c r="D44" s="895"/>
      <c r="E44" s="447">
        <v>5607</v>
      </c>
      <c r="F44" s="447"/>
      <c r="G44" s="894"/>
      <c r="H44" s="895"/>
      <c r="I44" s="450"/>
      <c r="J44" s="57">
        <f t="shared" si="11"/>
        <v>5607</v>
      </c>
      <c r="K44" s="57"/>
      <c r="L44" s="100" t="s">
        <v>469</v>
      </c>
      <c r="M44" s="11"/>
      <c r="N44" s="67">
        <v>1994</v>
      </c>
      <c r="O44" s="76">
        <v>86</v>
      </c>
      <c r="P44" s="76">
        <f t="shared" si="3"/>
        <v>1908</v>
      </c>
      <c r="Q44" s="10">
        <f t="shared" si="4"/>
        <v>2016.7559999999999</v>
      </c>
      <c r="R44" s="54">
        <f t="shared" si="5"/>
        <v>0</v>
      </c>
      <c r="S44" s="103"/>
      <c r="T44" s="36">
        <f>R44*0.6</f>
        <v>0</v>
      </c>
      <c r="U44" s="46" t="e">
        <f t="shared" si="6"/>
        <v>#DIV/0!</v>
      </c>
      <c r="V44" s="36"/>
      <c r="X44" s="226" t="s">
        <v>209</v>
      </c>
      <c r="Y44" s="500">
        <v>9.1</v>
      </c>
      <c r="Z44" s="500">
        <v>0</v>
      </c>
      <c r="AA44" s="500">
        <v>0</v>
      </c>
      <c r="AB44" s="500">
        <f t="shared" ref="AB44" si="12">SUM(Y44:AA44)</f>
        <v>9.1</v>
      </c>
      <c r="AD44" s="226" t="s">
        <v>209</v>
      </c>
      <c r="AE44" s="500">
        <v>0</v>
      </c>
      <c r="AF44" s="500">
        <v>0</v>
      </c>
      <c r="AG44" s="500">
        <v>0</v>
      </c>
      <c r="AH44" s="500">
        <f t="shared" si="2"/>
        <v>0</v>
      </c>
      <c r="AK44" s="266" t="s">
        <v>216</v>
      </c>
      <c r="AL44" s="267">
        <v>10.6</v>
      </c>
      <c r="AM44" s="275">
        <v>6.74</v>
      </c>
      <c r="AN44" s="496">
        <v>260</v>
      </c>
      <c r="AO44" s="496">
        <v>77</v>
      </c>
      <c r="AP44" s="275">
        <v>6.1</v>
      </c>
    </row>
    <row r="45" spans="1:53" ht="16.75" customHeight="1" thickBot="1">
      <c r="A45" s="516" t="s">
        <v>535</v>
      </c>
      <c r="B45" s="447">
        <v>5906</v>
      </c>
      <c r="C45" s="894"/>
      <c r="D45" s="895"/>
      <c r="E45" s="447">
        <v>5906</v>
      </c>
      <c r="F45" s="447"/>
      <c r="G45" s="894"/>
      <c r="H45" s="895"/>
      <c r="I45" s="442"/>
      <c r="J45" s="57">
        <f t="shared" si="11"/>
        <v>5906</v>
      </c>
      <c r="K45" s="440"/>
      <c r="L45" s="100" t="s">
        <v>470</v>
      </c>
      <c r="M45" s="11"/>
      <c r="N45" s="67">
        <v>2033</v>
      </c>
      <c r="O45" s="76">
        <v>85</v>
      </c>
      <c r="P45" s="76">
        <f t="shared" si="3"/>
        <v>1948</v>
      </c>
      <c r="Q45" s="10">
        <f t="shared" si="4"/>
        <v>2059.0360000000001</v>
      </c>
      <c r="R45" s="54">
        <f t="shared" si="5"/>
        <v>0</v>
      </c>
      <c r="S45" s="103"/>
      <c r="T45" s="36">
        <f>R45*0.6</f>
        <v>0</v>
      </c>
      <c r="U45" s="46"/>
      <c r="V45" s="36"/>
      <c r="X45" s="226"/>
      <c r="Y45" s="500"/>
      <c r="Z45" s="500"/>
      <c r="AA45" s="500"/>
      <c r="AB45" s="500"/>
      <c r="AD45" s="226"/>
      <c r="AE45" s="500"/>
      <c r="AF45" s="500"/>
      <c r="AG45" s="500"/>
      <c r="AH45" s="500"/>
      <c r="AK45" s="437"/>
      <c r="AL45" s="438"/>
      <c r="AM45" s="439"/>
      <c r="AN45" s="499"/>
      <c r="AO45" s="499"/>
      <c r="AP45" s="439"/>
    </row>
    <row r="46" spans="1:53" ht="18.8" thickTop="1">
      <c r="A46" s="148" t="s">
        <v>31</v>
      </c>
      <c r="B46" s="505">
        <f>SUM(B41:B45)</f>
        <v>51104</v>
      </c>
      <c r="C46" s="845">
        <f>SUM(C41:D45)</f>
        <v>19018</v>
      </c>
      <c r="D46" s="845"/>
      <c r="E46" s="505">
        <f>SUM(E41:E45)</f>
        <v>25263</v>
      </c>
      <c r="F46" s="505">
        <f>SUM(F41:F45)</f>
        <v>6823</v>
      </c>
      <c r="G46" s="845">
        <f>SUM(G41:H45)</f>
        <v>14527</v>
      </c>
      <c r="H46" s="845"/>
      <c r="I46" s="371"/>
      <c r="J46" s="57">
        <f t="shared" si="11"/>
        <v>17559</v>
      </c>
      <c r="K46" s="57"/>
      <c r="L46" s="100" t="s">
        <v>471</v>
      </c>
      <c r="M46" s="11"/>
      <c r="N46" s="67">
        <v>1322</v>
      </c>
      <c r="O46" s="76">
        <v>56</v>
      </c>
      <c r="P46" s="76">
        <f t="shared" si="3"/>
        <v>1266</v>
      </c>
      <c r="Q46" s="10">
        <f t="shared" si="4"/>
        <v>1338.162</v>
      </c>
      <c r="R46" s="54">
        <f t="shared" si="5"/>
        <v>0</v>
      </c>
      <c r="S46" s="103"/>
      <c r="T46" s="36">
        <f t="shared" ref="T46:T56" si="13">R46*0.6</f>
        <v>0</v>
      </c>
      <c r="U46" s="46" t="e">
        <f t="shared" ref="U46:U67" si="14">Q46/$V$68</f>
        <v>#DIV/0!</v>
      </c>
      <c r="V46" s="36"/>
      <c r="W46" s="36"/>
      <c r="X46" s="226" t="s">
        <v>210</v>
      </c>
      <c r="Y46" s="500">
        <v>10</v>
      </c>
      <c r="Z46" s="500">
        <v>0.1</v>
      </c>
      <c r="AA46" s="500">
        <v>0</v>
      </c>
      <c r="AB46" s="500">
        <f t="shared" si="0"/>
        <v>10.1</v>
      </c>
      <c r="AD46" s="226" t="s">
        <v>210</v>
      </c>
      <c r="AE46" s="500">
        <v>0</v>
      </c>
      <c r="AF46" s="500">
        <v>0</v>
      </c>
      <c r="AG46" s="500">
        <v>0</v>
      </c>
      <c r="AH46" s="500">
        <f t="shared" si="2"/>
        <v>0</v>
      </c>
      <c r="AK46" s="270" t="s">
        <v>250</v>
      </c>
      <c r="AL46" s="269">
        <v>294.10000000000002</v>
      </c>
      <c r="AM46" s="271">
        <f>AVERAGE(AQ23:AQ44)</f>
        <v>5.9390909090909085</v>
      </c>
      <c r="AN46" s="268">
        <f>AVERAGE(AR23:AR44)</f>
        <v>372.72727272727275</v>
      </c>
      <c r="AO46" s="268">
        <f>AVERAGE(AS23:AS44)</f>
        <v>67.142499999999998</v>
      </c>
      <c r="AP46" s="269">
        <v>5.75</v>
      </c>
    </row>
    <row r="47" spans="1:53" ht="17.399999999999999" customHeight="1">
      <c r="D47" s="221"/>
      <c r="J47" s="56"/>
      <c r="K47" s="57"/>
      <c r="L47" s="100" t="s">
        <v>472</v>
      </c>
      <c r="M47" s="11"/>
      <c r="N47" s="67">
        <v>1324</v>
      </c>
      <c r="O47" s="76">
        <v>55</v>
      </c>
      <c r="P47" s="76">
        <f t="shared" si="3"/>
        <v>1269</v>
      </c>
      <c r="Q47" s="10">
        <f t="shared" si="4"/>
        <v>1341.3329999999999</v>
      </c>
      <c r="R47" s="54">
        <f t="shared" si="5"/>
        <v>0</v>
      </c>
      <c r="S47" s="103"/>
      <c r="T47" s="36">
        <f t="shared" si="13"/>
        <v>0</v>
      </c>
      <c r="U47" s="46" t="e">
        <f t="shared" si="14"/>
        <v>#DIV/0!</v>
      </c>
      <c r="X47" s="226" t="s">
        <v>211</v>
      </c>
      <c r="Y47" s="500">
        <v>10</v>
      </c>
      <c r="Z47" s="500">
        <v>0.1</v>
      </c>
      <c r="AA47" s="500">
        <v>0</v>
      </c>
      <c r="AB47" s="500">
        <f>SUM(Y47:AA47)</f>
        <v>10.1</v>
      </c>
      <c r="AD47" s="226" t="s">
        <v>211</v>
      </c>
      <c r="AE47" s="500">
        <v>0</v>
      </c>
      <c r="AF47" s="500">
        <v>0</v>
      </c>
      <c r="AG47" s="500">
        <v>0</v>
      </c>
      <c r="AH47" s="500">
        <f>SUM(AE47:AG47)</f>
        <v>0</v>
      </c>
    </row>
    <row r="48" spans="1:53" ht="14.4" customHeight="1">
      <c r="A48" s="15" t="s">
        <v>78</v>
      </c>
      <c r="F48" s="42"/>
      <c r="G48" s="42"/>
      <c r="J48" s="104">
        <f>6823-6157</f>
        <v>666</v>
      </c>
      <c r="K48" s="56"/>
      <c r="L48" s="100" t="s">
        <v>473</v>
      </c>
      <c r="M48" s="11"/>
      <c r="N48" s="67">
        <v>1841</v>
      </c>
      <c r="O48" s="76">
        <v>77</v>
      </c>
      <c r="P48" s="76">
        <f t="shared" si="3"/>
        <v>1764</v>
      </c>
      <c r="Q48" s="10">
        <f>P48*(1-S48)*1.065</f>
        <v>1878.6599999999999</v>
      </c>
      <c r="R48" s="54">
        <f t="shared" si="5"/>
        <v>0</v>
      </c>
      <c r="S48" s="103"/>
      <c r="T48" s="36">
        <f t="shared" si="13"/>
        <v>0</v>
      </c>
      <c r="U48" s="46" t="e">
        <f t="shared" si="14"/>
        <v>#DIV/0!</v>
      </c>
      <c r="X48" s="226" t="s">
        <v>212</v>
      </c>
      <c r="Y48" s="500">
        <v>10</v>
      </c>
      <c r="Z48" s="500">
        <v>0.3</v>
      </c>
      <c r="AA48" s="500">
        <v>0</v>
      </c>
      <c r="AB48" s="500">
        <f t="shared" si="0"/>
        <v>10.3</v>
      </c>
      <c r="AD48" s="226" t="s">
        <v>212</v>
      </c>
      <c r="AE48" s="500">
        <v>0</v>
      </c>
      <c r="AF48" s="500">
        <v>0</v>
      </c>
      <c r="AG48" s="500">
        <v>0</v>
      </c>
      <c r="AH48" s="500">
        <f t="shared" ref="AH48:AH53" si="15">SUM(AE48:AG48)</f>
        <v>0</v>
      </c>
    </row>
    <row r="49" spans="1:47" ht="16.3" customHeight="1">
      <c r="A49" s="833" t="s">
        <v>1</v>
      </c>
      <c r="B49" s="835" t="s">
        <v>37</v>
      </c>
      <c r="C49" s="836"/>
      <c r="D49" s="837" t="s">
        <v>35</v>
      </c>
      <c r="E49" s="838"/>
      <c r="F49" s="837" t="s">
        <v>36</v>
      </c>
      <c r="G49" s="838"/>
      <c r="H49" s="839" t="s">
        <v>6</v>
      </c>
      <c r="I49" s="836"/>
      <c r="J49" s="104"/>
      <c r="K49" s="104"/>
      <c r="L49" s="100" t="s">
        <v>474</v>
      </c>
      <c r="M49" s="11"/>
      <c r="N49" s="67">
        <v>1348</v>
      </c>
      <c r="O49" s="76">
        <v>58</v>
      </c>
      <c r="P49" s="76">
        <f t="shared" si="3"/>
        <v>1290</v>
      </c>
      <c r="Q49" s="10">
        <f t="shared" ref="Q49:Q66" si="16">P49*(1-S49)*1.065</f>
        <v>1373.85</v>
      </c>
      <c r="R49" s="54">
        <f t="shared" si="5"/>
        <v>0</v>
      </c>
      <c r="S49" s="103"/>
      <c r="T49" s="36">
        <f t="shared" si="13"/>
        <v>0</v>
      </c>
      <c r="U49" s="46" t="e">
        <f t="shared" si="14"/>
        <v>#DIV/0!</v>
      </c>
      <c r="X49" s="227" t="s">
        <v>110</v>
      </c>
      <c r="Y49" s="500">
        <v>24</v>
      </c>
      <c r="Z49" s="500">
        <v>0</v>
      </c>
      <c r="AA49" s="500">
        <v>0</v>
      </c>
      <c r="AB49" s="500">
        <f t="shared" si="0"/>
        <v>24</v>
      </c>
      <c r="AD49" s="229" t="s">
        <v>110</v>
      </c>
      <c r="AE49" s="500">
        <v>0</v>
      </c>
      <c r="AF49" s="500">
        <v>0</v>
      </c>
      <c r="AG49" s="500">
        <v>0</v>
      </c>
      <c r="AH49" s="500">
        <f t="shared" si="15"/>
        <v>0</v>
      </c>
    </row>
    <row r="50" spans="1:47" ht="16.3" customHeight="1">
      <c r="A50" s="834"/>
      <c r="B50" s="503" t="s">
        <v>3</v>
      </c>
      <c r="C50" s="152" t="s">
        <v>82</v>
      </c>
      <c r="D50" s="503" t="s">
        <v>80</v>
      </c>
      <c r="E50" s="152" t="s">
        <v>81</v>
      </c>
      <c r="F50" s="152" t="s">
        <v>80</v>
      </c>
      <c r="G50" s="151" t="s">
        <v>81</v>
      </c>
      <c r="H50" s="840"/>
      <c r="I50" s="841"/>
      <c r="J50" s="104"/>
      <c r="K50" s="104"/>
      <c r="L50" s="100" t="s">
        <v>475</v>
      </c>
      <c r="M50" s="11"/>
      <c r="N50" s="67">
        <v>322</v>
      </c>
      <c r="O50" s="76">
        <v>14</v>
      </c>
      <c r="P50" s="76">
        <f t="shared" si="3"/>
        <v>308</v>
      </c>
      <c r="Q50" s="10">
        <f t="shared" si="16"/>
        <v>328.02</v>
      </c>
      <c r="R50" s="54">
        <f t="shared" si="5"/>
        <v>0</v>
      </c>
      <c r="S50" s="103"/>
      <c r="T50" s="36">
        <f t="shared" si="13"/>
        <v>0</v>
      </c>
      <c r="U50" s="46" t="e">
        <f t="shared" si="14"/>
        <v>#DIV/0!</v>
      </c>
      <c r="X50" s="226" t="s">
        <v>213</v>
      </c>
      <c r="Y50" s="500">
        <v>10</v>
      </c>
      <c r="Z50" s="500">
        <v>0.5</v>
      </c>
      <c r="AA50" s="500">
        <v>0</v>
      </c>
      <c r="AB50" s="500">
        <f t="shared" si="0"/>
        <v>10.5</v>
      </c>
      <c r="AD50" s="227" t="s">
        <v>111</v>
      </c>
      <c r="AE50" s="500">
        <v>0</v>
      </c>
      <c r="AF50" s="500">
        <v>0</v>
      </c>
      <c r="AG50" s="500">
        <v>0</v>
      </c>
      <c r="AH50" s="500">
        <f t="shared" si="15"/>
        <v>0</v>
      </c>
    </row>
    <row r="51" spans="1:47" ht="16.3" customHeight="1">
      <c r="A51" s="160" t="s">
        <v>85</v>
      </c>
      <c r="B51" s="149">
        <v>208</v>
      </c>
      <c r="C51" s="154">
        <v>86</v>
      </c>
      <c r="D51" s="184">
        <v>0</v>
      </c>
      <c r="E51" s="153">
        <v>1150.3</v>
      </c>
      <c r="F51" s="153">
        <v>47</v>
      </c>
      <c r="G51" s="185">
        <v>1106</v>
      </c>
      <c r="H51" s="846">
        <f>B51+D51-F51</f>
        <v>161</v>
      </c>
      <c r="I51" s="847"/>
      <c r="J51" s="240"/>
      <c r="K51" s="104"/>
      <c r="L51" s="100" t="s">
        <v>476</v>
      </c>
      <c r="M51" s="11"/>
      <c r="N51" s="67">
        <v>1863</v>
      </c>
      <c r="O51" s="76">
        <v>78</v>
      </c>
      <c r="P51" s="76">
        <f t="shared" si="3"/>
        <v>1785</v>
      </c>
      <c r="Q51" s="10">
        <f t="shared" si="16"/>
        <v>1901.0249999999999</v>
      </c>
      <c r="R51" s="54">
        <f t="shared" si="5"/>
        <v>0</v>
      </c>
      <c r="S51" s="103"/>
      <c r="T51" s="36">
        <f t="shared" si="13"/>
        <v>0</v>
      </c>
      <c r="U51" s="46" t="e">
        <f t="shared" si="14"/>
        <v>#DIV/0!</v>
      </c>
      <c r="X51" s="226" t="s">
        <v>214</v>
      </c>
      <c r="Y51" s="500">
        <v>10</v>
      </c>
      <c r="Z51" s="500">
        <v>0.5</v>
      </c>
      <c r="AA51" s="500">
        <v>0</v>
      </c>
      <c r="AB51" s="500">
        <f t="shared" si="0"/>
        <v>10.5</v>
      </c>
      <c r="AD51" s="226" t="s">
        <v>214</v>
      </c>
      <c r="AE51" s="500">
        <v>0</v>
      </c>
      <c r="AF51" s="500">
        <v>0</v>
      </c>
      <c r="AG51" s="500">
        <v>0</v>
      </c>
      <c r="AH51" s="500">
        <f t="shared" si="15"/>
        <v>0</v>
      </c>
    </row>
    <row r="52" spans="1:47" ht="16.3" customHeight="1">
      <c r="A52" s="149" t="s">
        <v>79</v>
      </c>
      <c r="B52" s="149">
        <v>99</v>
      </c>
      <c r="C52" s="500">
        <v>0</v>
      </c>
      <c r="D52" s="184">
        <v>0</v>
      </c>
      <c r="E52" s="153">
        <v>882</v>
      </c>
      <c r="F52" s="153">
        <v>6</v>
      </c>
      <c r="G52" s="185">
        <v>788</v>
      </c>
      <c r="H52" s="846">
        <f>B52+D52-F52</f>
        <v>93</v>
      </c>
      <c r="I52" s="847"/>
      <c r="J52" s="241"/>
      <c r="K52" s="240"/>
      <c r="L52" s="100" t="s">
        <v>477</v>
      </c>
      <c r="M52" s="11"/>
      <c r="N52" s="67">
        <v>2018</v>
      </c>
      <c r="O52" s="76">
        <v>80</v>
      </c>
      <c r="P52" s="76">
        <f t="shared" si="3"/>
        <v>1938</v>
      </c>
      <c r="Q52" s="10">
        <f t="shared" si="16"/>
        <v>2063.9699999999998</v>
      </c>
      <c r="R52" s="54">
        <f t="shared" si="5"/>
        <v>0</v>
      </c>
      <c r="S52" s="103"/>
      <c r="T52" s="36">
        <f t="shared" si="13"/>
        <v>0</v>
      </c>
      <c r="U52" s="46" t="e">
        <f t="shared" si="14"/>
        <v>#DIV/0!</v>
      </c>
      <c r="X52" s="226" t="s">
        <v>215</v>
      </c>
      <c r="Y52" s="500">
        <v>10</v>
      </c>
      <c r="Z52" s="500">
        <v>0.5</v>
      </c>
      <c r="AA52" s="500">
        <v>0</v>
      </c>
      <c r="AB52" s="500">
        <f t="shared" si="0"/>
        <v>10.5</v>
      </c>
      <c r="AD52" s="226" t="s">
        <v>215</v>
      </c>
      <c r="AE52" s="500">
        <v>0</v>
      </c>
      <c r="AF52" s="500">
        <v>0</v>
      </c>
      <c r="AG52" s="500">
        <v>0</v>
      </c>
      <c r="AH52" s="500">
        <f t="shared" si="15"/>
        <v>0</v>
      </c>
    </row>
    <row r="53" spans="1:47" ht="16.3" customHeight="1">
      <c r="A53" s="149" t="s">
        <v>77</v>
      </c>
      <c r="B53" s="149">
        <f>SUM(B51:B52)</f>
        <v>307</v>
      </c>
      <c r="C53" s="149">
        <f>SUM(C51:C52)</f>
        <v>86</v>
      </c>
      <c r="D53" s="149">
        <f t="shared" ref="D53:G53" si="17">SUM(D51:D52)</f>
        <v>0</v>
      </c>
      <c r="E53" s="149">
        <f t="shared" si="17"/>
        <v>2032.3</v>
      </c>
      <c r="F53" s="149">
        <f t="shared" si="17"/>
        <v>53</v>
      </c>
      <c r="G53" s="149">
        <f t="shared" si="17"/>
        <v>1894</v>
      </c>
      <c r="H53" s="846">
        <f t="shared" ref="H53" si="18">B53+D53-F53</f>
        <v>254</v>
      </c>
      <c r="I53" s="847"/>
      <c r="J53" s="495"/>
      <c r="K53" s="241"/>
      <c r="L53" s="100" t="s">
        <v>478</v>
      </c>
      <c r="M53" s="67"/>
      <c r="N53" s="67">
        <v>1310</v>
      </c>
      <c r="O53" s="76">
        <v>49</v>
      </c>
      <c r="P53" s="76">
        <f t="shared" si="3"/>
        <v>1261</v>
      </c>
      <c r="Q53" s="10">
        <f t="shared" si="16"/>
        <v>1342.9649999999999</v>
      </c>
      <c r="R53" s="54">
        <f t="shared" si="5"/>
        <v>0</v>
      </c>
      <c r="S53" s="103"/>
      <c r="T53" s="36">
        <f t="shared" si="13"/>
        <v>0</v>
      </c>
      <c r="U53" s="46" t="e">
        <f t="shared" si="14"/>
        <v>#DIV/0!</v>
      </c>
      <c r="X53" s="226" t="s">
        <v>216</v>
      </c>
      <c r="Y53" s="500">
        <v>10</v>
      </c>
      <c r="Z53" s="500">
        <v>0.6</v>
      </c>
      <c r="AA53" s="500">
        <v>0</v>
      </c>
      <c r="AB53" s="500">
        <f t="shared" si="0"/>
        <v>10.6</v>
      </c>
      <c r="AD53" s="226" t="s">
        <v>216</v>
      </c>
      <c r="AE53" s="500">
        <v>8</v>
      </c>
      <c r="AF53" s="500">
        <v>1.3</v>
      </c>
      <c r="AG53" s="500">
        <v>4</v>
      </c>
      <c r="AH53" s="500">
        <f t="shared" si="15"/>
        <v>13.3</v>
      </c>
      <c r="AR53" s="13">
        <v>34900</v>
      </c>
      <c r="AS53" s="13">
        <v>200</v>
      </c>
      <c r="AT53" s="13">
        <f>AS53*AR53</f>
        <v>6980000</v>
      </c>
    </row>
    <row r="54" spans="1:47" ht="16.75" customHeight="1">
      <c r="K54" s="127"/>
      <c r="L54" s="100" t="s">
        <v>479</v>
      </c>
      <c r="M54" s="11"/>
      <c r="N54" s="67">
        <v>1300</v>
      </c>
      <c r="O54" s="76">
        <v>52</v>
      </c>
      <c r="P54" s="76">
        <f t="shared" si="3"/>
        <v>1248</v>
      </c>
      <c r="Q54" s="10">
        <f t="shared" si="16"/>
        <v>1329.12</v>
      </c>
      <c r="R54" s="54">
        <f t="shared" si="5"/>
        <v>0</v>
      </c>
      <c r="S54" s="103"/>
      <c r="T54" s="36">
        <f t="shared" si="13"/>
        <v>0</v>
      </c>
      <c r="U54" s="46" t="e">
        <f t="shared" si="14"/>
        <v>#DIV/0!</v>
      </c>
      <c r="X54" s="226" t="s">
        <v>31</v>
      </c>
      <c r="Y54" s="500">
        <f>SUM(AC22:AC53)</f>
        <v>61.7</v>
      </c>
      <c r="Z54" s="500">
        <f>SUM(AD22:AD53)</f>
        <v>10.5</v>
      </c>
      <c r="AA54" s="500">
        <f>SUM(AE22:AE53)</f>
        <v>106.8</v>
      </c>
      <c r="AB54" s="154">
        <f>SUM(AF22:AF53)</f>
        <v>117.8</v>
      </c>
      <c r="AD54" s="226" t="s">
        <v>31</v>
      </c>
      <c r="AE54" s="500">
        <f>SUM(AI22:AI53)</f>
        <v>122.9</v>
      </c>
      <c r="AF54" s="500">
        <f>SUM(AJ22:AJ53)</f>
        <v>63.6</v>
      </c>
      <c r="AG54" s="500">
        <f>SUM(AK22:AK53)</f>
        <v>46.1</v>
      </c>
      <c r="AH54" s="154">
        <f>SUM(AL22:AL53)</f>
        <v>653.20000000000005</v>
      </c>
      <c r="AR54" s="13">
        <v>34950</v>
      </c>
      <c r="AS54" s="13">
        <v>800</v>
      </c>
      <c r="AT54" s="13">
        <f t="shared" ref="AT54:AT59" si="19">AS54*AR54</f>
        <v>27960000</v>
      </c>
    </row>
    <row r="55" spans="1:47" ht="19.899999999999999" customHeight="1">
      <c r="A55" s="15" t="s">
        <v>321</v>
      </c>
      <c r="B55" s="115"/>
      <c r="F55" s="115"/>
      <c r="H55" s="150"/>
      <c r="J55" s="396"/>
      <c r="L55" s="100" t="s">
        <v>480</v>
      </c>
      <c r="M55" s="11"/>
      <c r="N55" s="67">
        <v>1947</v>
      </c>
      <c r="O55" s="76">
        <v>85</v>
      </c>
      <c r="P55" s="76">
        <f t="shared" si="3"/>
        <v>1862</v>
      </c>
      <c r="Q55" s="10">
        <f t="shared" si="16"/>
        <v>1983.03</v>
      </c>
      <c r="R55" s="54">
        <f t="shared" si="5"/>
        <v>0</v>
      </c>
      <c r="S55" s="103"/>
      <c r="T55" s="36">
        <f t="shared" si="13"/>
        <v>0</v>
      </c>
      <c r="U55" s="46" t="e">
        <f t="shared" si="14"/>
        <v>#DIV/0!</v>
      </c>
      <c r="X55" s="226" t="s">
        <v>220</v>
      </c>
      <c r="Y55" s="500">
        <v>63.1</v>
      </c>
      <c r="Z55" s="500">
        <v>109.2</v>
      </c>
      <c r="AA55" s="500">
        <v>166.7</v>
      </c>
      <c r="AB55" s="230">
        <f>AB57/AB54</f>
        <v>193.91706281833618</v>
      </c>
      <c r="AC55" s="51"/>
      <c r="AD55" s="226" t="s">
        <v>220</v>
      </c>
      <c r="AE55" s="500">
        <v>63.1</v>
      </c>
      <c r="AF55" s="500">
        <v>109.2</v>
      </c>
      <c r="AG55" s="500">
        <v>166.7</v>
      </c>
      <c r="AH55" s="230">
        <f>AH57/AH54</f>
        <v>34.269718309859151</v>
      </c>
      <c r="AR55" s="13">
        <v>34600</v>
      </c>
      <c r="AS55" s="13">
        <v>16</v>
      </c>
      <c r="AT55" s="13">
        <f t="shared" si="19"/>
        <v>553600</v>
      </c>
    </row>
    <row r="56" spans="1:47" ht="19.899999999999999" customHeight="1">
      <c r="A56" s="194" t="s">
        <v>153</v>
      </c>
      <c r="B56" s="194" t="s">
        <v>154</v>
      </c>
      <c r="C56" s="194" t="s">
        <v>155</v>
      </c>
      <c r="D56" s="194" t="s">
        <v>156</v>
      </c>
      <c r="E56" s="194" t="s">
        <v>54</v>
      </c>
      <c r="F56" s="194" t="s">
        <v>161</v>
      </c>
      <c r="G56" s="116"/>
      <c r="H56" s="394" t="s">
        <v>403</v>
      </c>
      <c r="J56" s="59"/>
      <c r="K56" s="127"/>
      <c r="L56" s="100" t="s">
        <v>481</v>
      </c>
      <c r="M56" s="11"/>
      <c r="N56" s="67">
        <v>1325</v>
      </c>
      <c r="O56" s="76">
        <v>55</v>
      </c>
      <c r="P56" s="76">
        <f t="shared" si="3"/>
        <v>1270</v>
      </c>
      <c r="Q56" s="10">
        <f t="shared" si="16"/>
        <v>1352.55</v>
      </c>
      <c r="R56" s="54">
        <f t="shared" si="5"/>
        <v>0</v>
      </c>
      <c r="S56" s="103"/>
      <c r="T56" s="36">
        <f t="shared" si="13"/>
        <v>0</v>
      </c>
      <c r="U56" s="46" t="e">
        <f t="shared" si="14"/>
        <v>#DIV/0!</v>
      </c>
      <c r="X56" s="225" t="s">
        <v>221</v>
      </c>
      <c r="Y56" s="228">
        <f>Y54/$AB$54</f>
        <v>0.52376910016977929</v>
      </c>
      <c r="Z56" s="228">
        <f t="shared" ref="Z56:AA56" si="20">Z54/$AB$54</f>
        <v>8.9134125636672334E-2</v>
      </c>
      <c r="AA56" s="228">
        <f t="shared" si="20"/>
        <v>0.90662139219015281</v>
      </c>
      <c r="AB56" s="228">
        <f>SUM(Y56:AA56)</f>
        <v>1.5195246179966044</v>
      </c>
      <c r="AC56" s="51"/>
      <c r="AD56" s="225" t="s">
        <v>221</v>
      </c>
      <c r="AE56" s="228">
        <f>AE54/$AH$54</f>
        <v>0.18815064298836498</v>
      </c>
      <c r="AF56" s="228">
        <f t="shared" ref="AF56:AG56" si="21">AF54/$AH$54</f>
        <v>9.7366809552969988E-2</v>
      </c>
      <c r="AG56" s="228">
        <f t="shared" si="21"/>
        <v>7.057562767911818E-2</v>
      </c>
      <c r="AH56" s="228">
        <f>SUM(AE56:AG56)</f>
        <v>0.35609308022045316</v>
      </c>
      <c r="AR56" s="13">
        <v>34750</v>
      </c>
      <c r="AS56" s="13">
        <v>340</v>
      </c>
      <c r="AT56" s="13">
        <f t="shared" si="19"/>
        <v>11815000</v>
      </c>
    </row>
    <row r="57" spans="1:47" ht="19.899999999999999" customHeight="1">
      <c r="A57" s="195" t="s">
        <v>160</v>
      </c>
      <c r="B57" s="196">
        <v>0</v>
      </c>
      <c r="C57" s="196">
        <v>0</v>
      </c>
      <c r="D57" s="196">
        <v>1320</v>
      </c>
      <c r="E57" s="505">
        <v>1320</v>
      </c>
      <c r="F57" s="505">
        <f>D57-E57</f>
        <v>0</v>
      </c>
      <c r="G57" s="51"/>
      <c r="H57" s="51"/>
      <c r="J57" s="59"/>
      <c r="K57" s="59"/>
      <c r="L57" s="100" t="s">
        <v>482</v>
      </c>
      <c r="M57" s="11"/>
      <c r="N57" s="67">
        <v>1322</v>
      </c>
      <c r="O57" s="76">
        <v>49</v>
      </c>
      <c r="P57" s="76">
        <f t="shared" si="3"/>
        <v>1273</v>
      </c>
      <c r="Q57" s="10">
        <f t="shared" si="16"/>
        <v>1355.7449999999999</v>
      </c>
      <c r="R57" s="54">
        <f t="shared" si="5"/>
        <v>0</v>
      </c>
      <c r="S57" s="103"/>
      <c r="T57" s="36">
        <f t="shared" ref="T57:T67" si="22">R57*0.75</f>
        <v>0</v>
      </c>
      <c r="U57" s="46" t="e">
        <f t="shared" si="14"/>
        <v>#DIV/0!</v>
      </c>
      <c r="X57" s="231" t="s">
        <v>223</v>
      </c>
      <c r="Y57" s="54">
        <f>Y54*Y55</f>
        <v>3893.2700000000004</v>
      </c>
      <c r="Z57" s="54">
        <f>Z54*Z55</f>
        <v>1146.6000000000001</v>
      </c>
      <c r="AA57" s="54">
        <f>AA54*AA55</f>
        <v>17803.559999999998</v>
      </c>
      <c r="AB57" s="61">
        <f>SUM(Y57:AA57)</f>
        <v>22843.43</v>
      </c>
      <c r="AC57" s="51"/>
      <c r="AD57" s="231" t="s">
        <v>223</v>
      </c>
      <c r="AE57" s="54">
        <f>AE54*AE55</f>
        <v>7754.9900000000007</v>
      </c>
      <c r="AF57" s="54">
        <f>AF54*AF55</f>
        <v>6945.12</v>
      </c>
      <c r="AG57" s="54">
        <f>AG54*AG55</f>
        <v>7684.87</v>
      </c>
      <c r="AH57" s="61">
        <f>SUM(AE57:AG57)</f>
        <v>22384.98</v>
      </c>
      <c r="AR57" s="13">
        <v>34800</v>
      </c>
      <c r="AS57" s="13">
        <v>186</v>
      </c>
      <c r="AT57" s="13">
        <f t="shared" si="19"/>
        <v>6472800</v>
      </c>
    </row>
    <row r="58" spans="1:47" ht="19.899999999999999" customHeight="1">
      <c r="A58" s="195" t="s">
        <v>157</v>
      </c>
      <c r="B58" s="90">
        <v>1300</v>
      </c>
      <c r="C58" s="90"/>
      <c r="D58" s="90">
        <v>2164</v>
      </c>
      <c r="E58" s="505">
        <f>D57+B58</f>
        <v>2620</v>
      </c>
      <c r="F58" s="505">
        <f t="shared" ref="F58:F117" si="23">D58-E58</f>
        <v>-456</v>
      </c>
      <c r="G58" s="51"/>
      <c r="H58" s="117">
        <v>56</v>
      </c>
      <c r="I58" s="13">
        <v>10</v>
      </c>
      <c r="J58" s="13">
        <f>I58*H58</f>
        <v>560</v>
      </c>
      <c r="K58" s="59"/>
      <c r="L58" s="100" t="s">
        <v>483</v>
      </c>
      <c r="M58" s="11"/>
      <c r="N58" s="67">
        <v>1999</v>
      </c>
      <c r="O58" s="76">
        <v>72</v>
      </c>
      <c r="P58" s="76">
        <f t="shared" si="3"/>
        <v>1927</v>
      </c>
      <c r="Q58" s="10">
        <f t="shared" si="16"/>
        <v>2052.2550000000001</v>
      </c>
      <c r="R58" s="54">
        <f t="shared" si="5"/>
        <v>0</v>
      </c>
      <c r="S58" s="103"/>
      <c r="T58" s="36">
        <f t="shared" si="22"/>
        <v>0</v>
      </c>
      <c r="U58" s="46" t="e">
        <f t="shared" si="14"/>
        <v>#DIV/0!</v>
      </c>
      <c r="X58" s="46"/>
      <c r="AH58" s="232">
        <f>AB55-AH55</f>
        <v>159.64734450847703</v>
      </c>
      <c r="AR58" s="13">
        <v>35000</v>
      </c>
      <c r="AS58" s="13">
        <v>850</v>
      </c>
      <c r="AT58" s="13">
        <f t="shared" si="19"/>
        <v>29750000</v>
      </c>
    </row>
    <row r="59" spans="1:47" ht="19.899999999999999" customHeight="1">
      <c r="A59" s="195" t="s">
        <v>73</v>
      </c>
      <c r="B59" s="90">
        <v>1800</v>
      </c>
      <c r="C59" s="90"/>
      <c r="D59" s="90">
        <v>4094</v>
      </c>
      <c r="E59" s="505">
        <f>E58+B59</f>
        <v>4420</v>
      </c>
      <c r="F59" s="505">
        <f t="shared" si="23"/>
        <v>-326</v>
      </c>
      <c r="G59" s="51"/>
      <c r="H59" s="117">
        <v>109</v>
      </c>
      <c r="I59" s="13">
        <v>8</v>
      </c>
      <c r="J59" s="13">
        <f t="shared" ref="J59:J60" si="24">I59*H59</f>
        <v>872</v>
      </c>
      <c r="L59" s="100" t="s">
        <v>484</v>
      </c>
      <c r="M59" s="11"/>
      <c r="N59" s="67">
        <v>1979</v>
      </c>
      <c r="O59" s="76">
        <v>78</v>
      </c>
      <c r="P59" s="76">
        <f t="shared" si="3"/>
        <v>1901</v>
      </c>
      <c r="Q59" s="10">
        <f t="shared" si="16"/>
        <v>2024.5649999999998</v>
      </c>
      <c r="R59" s="54">
        <f t="shared" si="5"/>
        <v>0</v>
      </c>
      <c r="S59" s="103"/>
      <c r="T59" s="36">
        <f t="shared" si="22"/>
        <v>0</v>
      </c>
      <c r="U59" s="46" t="e">
        <f t="shared" si="14"/>
        <v>#DIV/0!</v>
      </c>
      <c r="X59" s="233" t="s">
        <v>226</v>
      </c>
      <c r="Y59" s="233" t="s">
        <v>220</v>
      </c>
      <c r="Z59" s="233" t="s">
        <v>227</v>
      </c>
      <c r="AA59" s="22"/>
      <c r="AB59" s="51"/>
      <c r="AC59" s="51"/>
      <c r="AD59" s="233" t="s">
        <v>226</v>
      </c>
      <c r="AE59" s="233" t="s">
        <v>220</v>
      </c>
      <c r="AF59" s="233" t="s">
        <v>227</v>
      </c>
      <c r="AG59" s="224" t="s">
        <v>161</v>
      </c>
      <c r="AH59" s="51"/>
      <c r="AR59" s="13">
        <v>35050</v>
      </c>
      <c r="AS59" s="13">
        <v>150</v>
      </c>
      <c r="AT59" s="13">
        <f t="shared" si="19"/>
        <v>5257500</v>
      </c>
    </row>
    <row r="60" spans="1:47" ht="19.899999999999999" customHeight="1">
      <c r="A60" s="195" t="s">
        <v>158</v>
      </c>
      <c r="B60" s="90">
        <v>1200</v>
      </c>
      <c r="C60" s="90"/>
      <c r="D60" s="90">
        <v>5448</v>
      </c>
      <c r="E60" s="505">
        <f>E59+B60</f>
        <v>5620</v>
      </c>
      <c r="F60" s="505">
        <f t="shared" si="23"/>
        <v>-172</v>
      </c>
      <c r="G60" s="118"/>
      <c r="H60" s="117">
        <v>191</v>
      </c>
      <c r="I60" s="13">
        <v>6</v>
      </c>
      <c r="J60" s="13">
        <f t="shared" si="24"/>
        <v>1146</v>
      </c>
      <c r="L60" s="100" t="s">
        <v>485</v>
      </c>
      <c r="M60" s="11"/>
      <c r="N60" s="67">
        <v>1319</v>
      </c>
      <c r="O60" s="76">
        <v>53</v>
      </c>
      <c r="P60" s="76">
        <f t="shared" si="3"/>
        <v>1266</v>
      </c>
      <c r="Q60" s="10">
        <f t="shared" si="16"/>
        <v>1348.29</v>
      </c>
      <c r="R60" s="54">
        <f t="shared" si="5"/>
        <v>0</v>
      </c>
      <c r="S60" s="103"/>
      <c r="T60" s="36">
        <f t="shared" si="22"/>
        <v>0</v>
      </c>
      <c r="U60" s="46" t="e">
        <f t="shared" si="14"/>
        <v>#DIV/0!</v>
      </c>
      <c r="X60" s="234">
        <f>C17</f>
        <v>36.115187727781993</v>
      </c>
      <c r="Y60" s="234">
        <f>AB55</f>
        <v>193.91706281833618</v>
      </c>
      <c r="Z60" s="107">
        <f>Y60*X60</f>
        <v>7003.351127304305</v>
      </c>
      <c r="AA60" s="92"/>
      <c r="AB60" s="92"/>
      <c r="AC60" s="92"/>
      <c r="AD60" s="234">
        <v>36.5</v>
      </c>
      <c r="AE60" s="234">
        <f>AH55</f>
        <v>34.269718309859151</v>
      </c>
      <c r="AF60" s="107">
        <f>AE60*AD60</f>
        <v>1250.844718309859</v>
      </c>
      <c r="AG60" s="235">
        <f>Z60-AF60</f>
        <v>5752.5064089944462</v>
      </c>
      <c r="AH60" s="51"/>
      <c r="AS60" s="13">
        <f>SUM(AS53:AS59)</f>
        <v>2542</v>
      </c>
      <c r="AT60" s="13">
        <f>SUM(AT53:AT59)</f>
        <v>88788900</v>
      </c>
      <c r="AU60" s="13">
        <f>AT60/AS60</f>
        <v>34928.756884343034</v>
      </c>
    </row>
    <row r="61" spans="1:47" ht="19.899999999999999" customHeight="1">
      <c r="A61" s="195" t="s">
        <v>159</v>
      </c>
      <c r="B61" s="90">
        <v>614</v>
      </c>
      <c r="C61" s="90">
        <v>88</v>
      </c>
      <c r="D61" s="90">
        <v>5673</v>
      </c>
      <c r="E61" s="505">
        <f>E60+B61-C61</f>
        <v>6146</v>
      </c>
      <c r="F61" s="505">
        <f t="shared" si="23"/>
        <v>-473</v>
      </c>
      <c r="G61" s="119"/>
      <c r="H61" s="118">
        <f>J61/I61</f>
        <v>107.41666666666667</v>
      </c>
      <c r="I61" s="461">
        <f t="shared" ref="I61:J61" si="25">SUM(I58:I60)</f>
        <v>24</v>
      </c>
      <c r="J61" s="60">
        <f t="shared" si="25"/>
        <v>2578</v>
      </c>
      <c r="L61" s="100" t="s">
        <v>486</v>
      </c>
      <c r="M61" s="11"/>
      <c r="N61" s="67">
        <v>1300</v>
      </c>
      <c r="O61" s="76">
        <v>54</v>
      </c>
      <c r="P61" s="76">
        <f t="shared" si="3"/>
        <v>1246</v>
      </c>
      <c r="Q61" s="10">
        <f t="shared" si="16"/>
        <v>1326.99</v>
      </c>
      <c r="R61" s="54">
        <f t="shared" si="5"/>
        <v>0</v>
      </c>
      <c r="S61" s="103"/>
      <c r="T61" s="36">
        <f t="shared" si="22"/>
        <v>0</v>
      </c>
      <c r="U61" s="46" t="e">
        <f t="shared" si="14"/>
        <v>#DIV/0!</v>
      </c>
      <c r="X61" s="46"/>
      <c r="Y61" s="46"/>
      <c r="Z61" s="46"/>
    </row>
    <row r="62" spans="1:47">
      <c r="A62" s="195" t="s">
        <v>162</v>
      </c>
      <c r="B62" s="90">
        <v>1248</v>
      </c>
      <c r="C62" s="90"/>
      <c r="D62" s="90">
        <v>7027</v>
      </c>
      <c r="E62" s="505">
        <f>E61+B62-C62</f>
        <v>7394</v>
      </c>
      <c r="F62" s="505">
        <f t="shared" si="23"/>
        <v>-367</v>
      </c>
      <c r="G62" s="119"/>
      <c r="H62" s="118"/>
      <c r="L62" s="100" t="s">
        <v>487</v>
      </c>
      <c r="M62" s="11"/>
      <c r="N62" s="67">
        <v>1982</v>
      </c>
      <c r="O62" s="76">
        <v>78</v>
      </c>
      <c r="P62" s="76">
        <f t="shared" si="3"/>
        <v>1904</v>
      </c>
      <c r="Q62" s="10">
        <f t="shared" si="16"/>
        <v>2027.76</v>
      </c>
      <c r="R62" s="54">
        <f t="shared" si="5"/>
        <v>0</v>
      </c>
      <c r="S62" s="103"/>
      <c r="T62" s="36">
        <f t="shared" si="22"/>
        <v>0</v>
      </c>
      <c r="U62" s="46" t="e">
        <f t="shared" si="14"/>
        <v>#DIV/0!</v>
      </c>
      <c r="X62" s="9"/>
      <c r="Y62" s="9"/>
      <c r="Z62" s="9"/>
      <c r="AA62" s="35"/>
    </row>
    <row r="63" spans="1:47">
      <c r="A63" s="195" t="s">
        <v>163</v>
      </c>
      <c r="B63" s="505">
        <v>943</v>
      </c>
      <c r="C63" s="505">
        <v>58</v>
      </c>
      <c r="D63" s="505">
        <v>8155</v>
      </c>
      <c r="E63" s="505">
        <f>E62+B63-C63</f>
        <v>8279</v>
      </c>
      <c r="F63" s="505">
        <f t="shared" si="23"/>
        <v>-124</v>
      </c>
      <c r="L63" s="100" t="s">
        <v>488</v>
      </c>
      <c r="M63" s="11"/>
      <c r="N63" s="67">
        <v>1667</v>
      </c>
      <c r="O63" s="76">
        <v>65</v>
      </c>
      <c r="P63" s="76">
        <f t="shared" si="3"/>
        <v>1602</v>
      </c>
      <c r="Q63" s="10">
        <f t="shared" si="16"/>
        <v>1706.1299999999999</v>
      </c>
      <c r="R63" s="54">
        <f t="shared" si="5"/>
        <v>0</v>
      </c>
      <c r="S63" s="103"/>
      <c r="T63" s="36">
        <f t="shared" si="22"/>
        <v>0</v>
      </c>
      <c r="U63" s="46" t="e">
        <f t="shared" si="14"/>
        <v>#DIV/0!</v>
      </c>
      <c r="V63" s="18"/>
    </row>
    <row r="64" spans="1:47">
      <c r="A64" s="195" t="s">
        <v>164</v>
      </c>
      <c r="B64" s="505">
        <v>0</v>
      </c>
      <c r="C64" s="197"/>
      <c r="D64" s="198">
        <v>8155</v>
      </c>
      <c r="E64" s="505">
        <f t="shared" ref="E64:E117" si="26">E63+B64-C64</f>
        <v>8279</v>
      </c>
      <c r="F64" s="505">
        <f t="shared" si="23"/>
        <v>-124</v>
      </c>
      <c r="L64" s="100" t="s">
        <v>489</v>
      </c>
      <c r="M64" s="11"/>
      <c r="N64" s="67">
        <v>1273</v>
      </c>
      <c r="O64" s="76">
        <v>53</v>
      </c>
      <c r="P64" s="76">
        <f t="shared" si="3"/>
        <v>1220</v>
      </c>
      <c r="Q64" s="10">
        <f t="shared" si="16"/>
        <v>1299.3</v>
      </c>
      <c r="R64" s="54">
        <f t="shared" si="5"/>
        <v>0</v>
      </c>
      <c r="S64" s="103"/>
      <c r="T64" s="36">
        <f t="shared" si="22"/>
        <v>0</v>
      </c>
      <c r="U64" s="46" t="e">
        <f t="shared" si="14"/>
        <v>#DIV/0!</v>
      </c>
      <c r="V64" s="14"/>
      <c r="W64" s="46"/>
      <c r="X64" s="46"/>
    </row>
    <row r="65" spans="1:30">
      <c r="A65" s="195" t="s">
        <v>165</v>
      </c>
      <c r="B65" s="505">
        <v>1111</v>
      </c>
      <c r="C65" s="197"/>
      <c r="D65" s="198">
        <v>9058</v>
      </c>
      <c r="E65" s="505">
        <f t="shared" si="26"/>
        <v>9390</v>
      </c>
      <c r="F65" s="505">
        <f t="shared" si="23"/>
        <v>-332</v>
      </c>
      <c r="L65" s="100" t="s">
        <v>490</v>
      </c>
      <c r="M65" s="11"/>
      <c r="N65" s="76">
        <v>1991</v>
      </c>
      <c r="O65" s="76">
        <v>50</v>
      </c>
      <c r="P65" s="76">
        <f t="shared" si="3"/>
        <v>1941</v>
      </c>
      <c r="Q65" s="10">
        <f t="shared" si="16"/>
        <v>2067.165</v>
      </c>
      <c r="R65" s="54">
        <f t="shared" si="5"/>
        <v>0</v>
      </c>
      <c r="S65" s="103"/>
      <c r="T65" s="36">
        <f t="shared" si="22"/>
        <v>0</v>
      </c>
      <c r="U65" s="46" t="e">
        <f t="shared" si="14"/>
        <v>#DIV/0!</v>
      </c>
      <c r="W65" s="46"/>
      <c r="X65" s="46"/>
    </row>
    <row r="66" spans="1:30">
      <c r="A66" s="277" t="s">
        <v>258</v>
      </c>
      <c r="B66" s="90">
        <v>0</v>
      </c>
      <c r="C66" s="90">
        <v>147</v>
      </c>
      <c r="D66" s="198">
        <v>8832</v>
      </c>
      <c r="E66" s="505">
        <f t="shared" si="26"/>
        <v>9243</v>
      </c>
      <c r="F66" s="505">
        <f t="shared" si="23"/>
        <v>-411</v>
      </c>
      <c r="L66" s="100"/>
      <c r="M66" s="11"/>
      <c r="N66" s="67"/>
      <c r="O66" s="76"/>
      <c r="P66" s="76"/>
      <c r="Q66" s="10">
        <f t="shared" si="16"/>
        <v>0</v>
      </c>
      <c r="R66" s="54">
        <f t="shared" si="5"/>
        <v>0</v>
      </c>
      <c r="S66" s="103"/>
      <c r="T66" s="36">
        <f t="shared" si="22"/>
        <v>0</v>
      </c>
      <c r="U66" s="46" t="e">
        <f t="shared" si="14"/>
        <v>#DIV/0!</v>
      </c>
      <c r="W66" s="46"/>
      <c r="X66" s="46"/>
      <c r="Y66" s="46"/>
    </row>
    <row r="67" spans="1:30">
      <c r="A67" s="277" t="s">
        <v>124</v>
      </c>
      <c r="B67" s="90">
        <v>0</v>
      </c>
      <c r="C67" s="90">
        <v>138</v>
      </c>
      <c r="D67" s="198">
        <v>8742</v>
      </c>
      <c r="E67" s="505">
        <f t="shared" si="26"/>
        <v>9105</v>
      </c>
      <c r="F67" s="505">
        <f t="shared" si="23"/>
        <v>-363</v>
      </c>
      <c r="L67" s="100"/>
      <c r="M67" s="11"/>
      <c r="N67" s="67"/>
      <c r="O67" s="76"/>
      <c r="P67" s="76"/>
      <c r="Q67" s="10">
        <f t="shared" si="4"/>
        <v>0</v>
      </c>
      <c r="R67" s="54">
        <f t="shared" si="5"/>
        <v>0</v>
      </c>
      <c r="S67" s="103"/>
      <c r="T67" s="36">
        <f t="shared" si="22"/>
        <v>0</v>
      </c>
      <c r="U67" s="46" t="e">
        <f t="shared" si="14"/>
        <v>#DIV/0!</v>
      </c>
      <c r="X67" s="46"/>
    </row>
    <row r="68" spans="1:30">
      <c r="A68" s="277" t="s">
        <v>125</v>
      </c>
      <c r="B68" s="90">
        <v>0</v>
      </c>
      <c r="C68" s="90">
        <v>555</v>
      </c>
      <c r="D68" s="198">
        <v>8291</v>
      </c>
      <c r="E68" s="505">
        <f t="shared" si="26"/>
        <v>8550</v>
      </c>
      <c r="F68" s="505">
        <f t="shared" si="23"/>
        <v>-259</v>
      </c>
      <c r="L68" s="11" t="s">
        <v>7</v>
      </c>
      <c r="M68" s="120">
        <f t="shared" ref="M68:R68" si="27">SUM(M36:M67)</f>
        <v>0</v>
      </c>
      <c r="N68" s="120">
        <f t="shared" si="27"/>
        <v>46947.6</v>
      </c>
      <c r="O68" s="61">
        <f t="shared" si="27"/>
        <v>1837</v>
      </c>
      <c r="P68" s="61">
        <f t="shared" si="27"/>
        <v>45110.6</v>
      </c>
      <c r="Q68" s="10">
        <f t="shared" si="4"/>
        <v>47681.904199999997</v>
      </c>
      <c r="R68" s="61">
        <f t="shared" si="27"/>
        <v>0</v>
      </c>
      <c r="S68" s="62"/>
      <c r="T68" s="113">
        <f>SUM(T38:T67)</f>
        <v>0</v>
      </c>
      <c r="U68" s="46" t="e">
        <f>SUM(U36:U67)</f>
        <v>#DIV/0!</v>
      </c>
      <c r="V68" s="136" t="e">
        <f>Q68/M68</f>
        <v>#DIV/0!</v>
      </c>
      <c r="W68" s="36"/>
      <c r="Z68" s="48"/>
      <c r="AA68" s="15"/>
      <c r="AC68" s="35"/>
      <c r="AD68" s="35"/>
    </row>
    <row r="69" spans="1:30">
      <c r="A69" s="277" t="s">
        <v>126</v>
      </c>
      <c r="B69" s="90">
        <v>0</v>
      </c>
      <c r="C69" s="90">
        <v>113</v>
      </c>
      <c r="D69" s="198">
        <v>8155</v>
      </c>
      <c r="E69" s="505">
        <f t="shared" si="26"/>
        <v>8437</v>
      </c>
      <c r="F69" s="505">
        <f t="shared" si="23"/>
        <v>-282</v>
      </c>
      <c r="L69" s="101" t="s">
        <v>56</v>
      </c>
      <c r="M69" s="9"/>
      <c r="Q69" s="36"/>
      <c r="S69" s="63"/>
      <c r="T69" s="70"/>
      <c r="U69" s="69"/>
      <c r="V69" s="46"/>
    </row>
    <row r="70" spans="1:30">
      <c r="A70" s="277" t="s">
        <v>127</v>
      </c>
      <c r="B70" s="90">
        <v>0</v>
      </c>
      <c r="C70" s="90">
        <v>197</v>
      </c>
      <c r="D70" s="198">
        <v>7930</v>
      </c>
      <c r="E70" s="505">
        <f t="shared" si="26"/>
        <v>8240</v>
      </c>
      <c r="F70" s="505">
        <f t="shared" si="23"/>
        <v>-310</v>
      </c>
      <c r="Q70" s="49"/>
      <c r="R70" s="64"/>
    </row>
    <row r="71" spans="1:30">
      <c r="A71" s="277" t="s">
        <v>128</v>
      </c>
      <c r="B71" s="90">
        <v>225</v>
      </c>
      <c r="C71" s="90">
        <v>0</v>
      </c>
      <c r="D71" s="198">
        <v>7930</v>
      </c>
      <c r="E71" s="505">
        <f t="shared" si="26"/>
        <v>8465</v>
      </c>
      <c r="F71" s="505">
        <f t="shared" si="23"/>
        <v>-535</v>
      </c>
      <c r="M71" s="114"/>
      <c r="Q71" s="111"/>
    </row>
    <row r="72" spans="1:30">
      <c r="A72" s="277" t="s">
        <v>129</v>
      </c>
      <c r="B72" s="90">
        <v>1803</v>
      </c>
      <c r="C72" s="90">
        <v>0</v>
      </c>
      <c r="D72" s="198">
        <v>9509</v>
      </c>
      <c r="E72" s="505">
        <f t="shared" si="26"/>
        <v>10268</v>
      </c>
      <c r="F72" s="505">
        <f t="shared" si="23"/>
        <v>-759</v>
      </c>
      <c r="J72" s="13">
        <v>32</v>
      </c>
      <c r="Q72" s="110"/>
      <c r="R72" s="109"/>
      <c r="W72" s="46"/>
    </row>
    <row r="73" spans="1:30">
      <c r="A73" s="277" t="s">
        <v>130</v>
      </c>
      <c r="B73" s="90">
        <v>245</v>
      </c>
      <c r="C73" s="90">
        <v>88</v>
      </c>
      <c r="D73" s="198">
        <v>10006</v>
      </c>
      <c r="E73" s="505">
        <f t="shared" si="26"/>
        <v>10425</v>
      </c>
      <c r="F73" s="505">
        <f t="shared" si="23"/>
        <v>-419</v>
      </c>
      <c r="J73" s="13">
        <v>75</v>
      </c>
      <c r="L73" s="201" t="s">
        <v>175</v>
      </c>
      <c r="M73"/>
      <c r="N73"/>
      <c r="O73"/>
      <c r="P73"/>
      <c r="Q73"/>
      <c r="R73"/>
      <c r="S73"/>
      <c r="T73"/>
      <c r="U73"/>
      <c r="V73"/>
      <c r="W73"/>
    </row>
    <row r="74" spans="1:30">
      <c r="A74" s="277" t="s">
        <v>131</v>
      </c>
      <c r="B74" s="90">
        <v>0</v>
      </c>
      <c r="C74" s="90">
        <v>189</v>
      </c>
      <c r="D74" s="198">
        <v>9870</v>
      </c>
      <c r="E74" s="505">
        <f t="shared" si="26"/>
        <v>10236</v>
      </c>
      <c r="F74" s="505">
        <f t="shared" si="23"/>
        <v>-366</v>
      </c>
      <c r="J74" s="13">
        <f>J73*J72</f>
        <v>2400</v>
      </c>
      <c r="L74" s="506" t="s">
        <v>1</v>
      </c>
      <c r="M74" s="506"/>
      <c r="N74" s="506"/>
      <c r="O74" s="849" t="s">
        <v>169</v>
      </c>
      <c r="P74" s="850"/>
      <c r="Q74" s="851" t="s">
        <v>170</v>
      </c>
      <c r="R74" s="848"/>
      <c r="S74" s="849" t="s">
        <v>176</v>
      </c>
      <c r="T74" s="852"/>
      <c r="U74" s="858" t="s">
        <v>177</v>
      </c>
      <c r="V74" s="848"/>
      <c r="W74"/>
      <c r="X74" s="46"/>
    </row>
    <row r="75" spans="1:30">
      <c r="A75" s="277" t="s">
        <v>132</v>
      </c>
      <c r="B75" s="90">
        <v>0</v>
      </c>
      <c r="C75" s="90">
        <v>58</v>
      </c>
      <c r="D75" s="198">
        <v>9735</v>
      </c>
      <c r="E75" s="505">
        <f t="shared" si="26"/>
        <v>10178</v>
      </c>
      <c r="F75" s="505">
        <f t="shared" si="23"/>
        <v>-443</v>
      </c>
      <c r="L75" s="506" t="s">
        <v>171</v>
      </c>
      <c r="M75" s="506"/>
      <c r="N75" s="506"/>
      <c r="O75" s="859">
        <v>32509</v>
      </c>
      <c r="P75" s="860"/>
      <c r="Q75" s="861">
        <v>33756</v>
      </c>
      <c r="R75" s="859"/>
      <c r="S75" s="859">
        <v>27950</v>
      </c>
      <c r="T75" s="862"/>
      <c r="U75" s="863">
        <v>33920</v>
      </c>
      <c r="V75" s="859"/>
      <c r="W75"/>
      <c r="X75" s="46"/>
    </row>
    <row r="76" spans="1:30">
      <c r="A76" s="277" t="s">
        <v>133</v>
      </c>
      <c r="B76" s="90">
        <v>0</v>
      </c>
      <c r="C76" s="90">
        <v>91</v>
      </c>
      <c r="D76" s="198">
        <v>9645</v>
      </c>
      <c r="E76" s="505">
        <f t="shared" si="26"/>
        <v>10087</v>
      </c>
      <c r="F76" s="505">
        <f t="shared" si="23"/>
        <v>-442</v>
      </c>
      <c r="L76" s="506" t="s">
        <v>172</v>
      </c>
      <c r="M76" s="506"/>
      <c r="N76" s="506"/>
      <c r="O76" s="848">
        <v>80.3</v>
      </c>
      <c r="P76" s="850"/>
      <c r="Q76" s="851">
        <v>77.400000000000006</v>
      </c>
      <c r="R76" s="848"/>
      <c r="S76" s="855">
        <v>80</v>
      </c>
      <c r="T76" s="856"/>
      <c r="U76" s="857">
        <v>80</v>
      </c>
      <c r="V76" s="855"/>
      <c r="W76"/>
      <c r="X76" s="46"/>
    </row>
    <row r="77" spans="1:30">
      <c r="A77" s="310" t="s">
        <v>282</v>
      </c>
      <c r="B77" s="90">
        <v>0</v>
      </c>
      <c r="C77" s="90">
        <v>118</v>
      </c>
      <c r="D77" s="198">
        <v>9527</v>
      </c>
      <c r="E77" s="505">
        <f t="shared" si="26"/>
        <v>9969</v>
      </c>
      <c r="F77" s="505">
        <f t="shared" si="23"/>
        <v>-442</v>
      </c>
      <c r="L77" s="506" t="s">
        <v>173</v>
      </c>
      <c r="M77" s="506"/>
      <c r="N77" s="506"/>
      <c r="O77" s="848">
        <v>36.5</v>
      </c>
      <c r="P77" s="850"/>
      <c r="Q77" s="851">
        <v>37.9</v>
      </c>
      <c r="R77" s="848"/>
      <c r="S77" s="848">
        <v>36.5</v>
      </c>
      <c r="T77" s="852"/>
      <c r="U77" s="853">
        <v>36.5</v>
      </c>
      <c r="V77" s="848"/>
      <c r="W77"/>
      <c r="X77" s="46"/>
    </row>
    <row r="78" spans="1:30">
      <c r="A78" s="316" t="s">
        <v>318</v>
      </c>
      <c r="B78" s="90">
        <v>856</v>
      </c>
      <c r="C78" s="90">
        <v>0</v>
      </c>
      <c r="D78" s="198">
        <v>10638</v>
      </c>
      <c r="E78" s="505">
        <f t="shared" si="26"/>
        <v>10825</v>
      </c>
      <c r="F78" s="505">
        <f t="shared" si="23"/>
        <v>-187</v>
      </c>
      <c r="L78" s="506" t="s">
        <v>174</v>
      </c>
      <c r="M78" s="506"/>
      <c r="N78" s="506"/>
      <c r="O78" s="848">
        <v>6.08</v>
      </c>
      <c r="P78" s="850"/>
      <c r="Q78" s="851">
        <v>6.36</v>
      </c>
      <c r="R78" s="848"/>
      <c r="S78" s="848">
        <v>5.7</v>
      </c>
      <c r="T78" s="852"/>
      <c r="U78" s="853">
        <v>5.5</v>
      </c>
      <c r="V78" s="848"/>
      <c r="W78"/>
      <c r="X78" s="42"/>
    </row>
    <row r="79" spans="1:30">
      <c r="A79" s="316" t="s">
        <v>319</v>
      </c>
      <c r="B79" s="90">
        <v>0</v>
      </c>
      <c r="C79" s="90">
        <v>88</v>
      </c>
      <c r="D79" s="198">
        <v>10728</v>
      </c>
      <c r="E79" s="505">
        <f t="shared" si="26"/>
        <v>10737</v>
      </c>
      <c r="F79" s="505">
        <f t="shared" si="23"/>
        <v>-9</v>
      </c>
      <c r="O79" s="36"/>
      <c r="P79" s="36"/>
      <c r="Q79" s="36"/>
      <c r="R79" s="18"/>
      <c r="S79" s="18"/>
    </row>
    <row r="80" spans="1:30">
      <c r="A80" s="316" t="s">
        <v>320</v>
      </c>
      <c r="B80" s="90">
        <v>0</v>
      </c>
      <c r="C80" s="90">
        <v>88</v>
      </c>
      <c r="D80" s="198">
        <v>10638</v>
      </c>
      <c r="E80" s="505">
        <f t="shared" si="26"/>
        <v>10649</v>
      </c>
      <c r="F80" s="505">
        <f t="shared" si="23"/>
        <v>-11</v>
      </c>
      <c r="N80" s="46"/>
      <c r="O80" s="46"/>
      <c r="P80" s="46"/>
      <c r="Q80" s="65"/>
      <c r="R80" s="65"/>
    </row>
    <row r="81" spans="1:13">
      <c r="A81" s="316" t="s">
        <v>323</v>
      </c>
      <c r="B81" s="90">
        <v>0</v>
      </c>
      <c r="C81" s="90">
        <v>58</v>
      </c>
      <c r="D81" s="198">
        <v>10593</v>
      </c>
      <c r="E81" s="505">
        <f t="shared" si="26"/>
        <v>10591</v>
      </c>
      <c r="F81" s="505">
        <f t="shared" si="23"/>
        <v>2</v>
      </c>
      <c r="M81" s="72"/>
    </row>
    <row r="82" spans="1:13">
      <c r="A82" s="317" t="s">
        <v>324</v>
      </c>
      <c r="B82" s="90">
        <v>0</v>
      </c>
      <c r="C82" s="90">
        <v>115</v>
      </c>
      <c r="D82" s="198">
        <v>10362</v>
      </c>
      <c r="E82" s="505">
        <f t="shared" si="26"/>
        <v>10476</v>
      </c>
      <c r="F82" s="505">
        <f t="shared" si="23"/>
        <v>-114</v>
      </c>
      <c r="M82" s="72"/>
    </row>
    <row r="83" spans="1:13">
      <c r="A83" s="317" t="s">
        <v>325</v>
      </c>
      <c r="B83" s="90">
        <v>0</v>
      </c>
      <c r="C83" s="90">
        <v>146</v>
      </c>
      <c r="D83" s="198">
        <v>10186</v>
      </c>
      <c r="E83" s="505">
        <f t="shared" si="26"/>
        <v>10330</v>
      </c>
      <c r="F83" s="505">
        <f t="shared" si="23"/>
        <v>-144</v>
      </c>
      <c r="L83" s="284"/>
      <c r="M83" s="72"/>
    </row>
    <row r="84" spans="1:13">
      <c r="A84" s="325" t="s">
        <v>329</v>
      </c>
      <c r="B84" s="90">
        <v>0</v>
      </c>
      <c r="C84" s="90">
        <v>88</v>
      </c>
      <c r="D84" s="198">
        <v>10096</v>
      </c>
      <c r="E84" s="505">
        <f t="shared" si="26"/>
        <v>10242</v>
      </c>
      <c r="F84" s="505">
        <f t="shared" si="23"/>
        <v>-146</v>
      </c>
      <c r="L84" s="284"/>
    </row>
    <row r="85" spans="1:13">
      <c r="A85" s="325" t="s">
        <v>331</v>
      </c>
      <c r="B85" s="90">
        <v>0</v>
      </c>
      <c r="C85" s="90">
        <v>58</v>
      </c>
      <c r="D85" s="198">
        <v>10051</v>
      </c>
      <c r="E85" s="505">
        <f t="shared" si="26"/>
        <v>10184</v>
      </c>
      <c r="F85" s="505">
        <f t="shared" si="23"/>
        <v>-133</v>
      </c>
    </row>
    <row r="86" spans="1:13">
      <c r="A86" s="325" t="s">
        <v>332</v>
      </c>
      <c r="B86" s="90">
        <v>0</v>
      </c>
      <c r="C86" s="90">
        <v>58</v>
      </c>
      <c r="D86" s="198">
        <v>9961</v>
      </c>
      <c r="E86" s="505">
        <f t="shared" si="26"/>
        <v>10126</v>
      </c>
      <c r="F86" s="505">
        <f t="shared" si="23"/>
        <v>-165</v>
      </c>
      <c r="L86" s="284"/>
    </row>
    <row r="87" spans="1:13">
      <c r="A87" s="325" t="s">
        <v>333</v>
      </c>
      <c r="B87" s="90">
        <v>0</v>
      </c>
      <c r="C87" s="90">
        <v>59</v>
      </c>
      <c r="D87" s="198">
        <v>9961</v>
      </c>
      <c r="E87" s="505">
        <f t="shared" si="26"/>
        <v>10067</v>
      </c>
      <c r="F87" s="505">
        <f t="shared" si="23"/>
        <v>-106</v>
      </c>
      <c r="L87" s="284"/>
      <c r="M87" s="284"/>
    </row>
    <row r="88" spans="1:13">
      <c r="A88" s="325" t="s">
        <v>334</v>
      </c>
      <c r="B88" s="90">
        <v>0</v>
      </c>
      <c r="C88" s="90">
        <v>117</v>
      </c>
      <c r="D88" s="198">
        <v>9780</v>
      </c>
      <c r="E88" s="505">
        <f t="shared" si="26"/>
        <v>9950</v>
      </c>
      <c r="F88" s="505">
        <f t="shared" si="23"/>
        <v>-170</v>
      </c>
    </row>
    <row r="89" spans="1:13">
      <c r="A89" s="325" t="s">
        <v>335</v>
      </c>
      <c r="B89" s="90">
        <v>0</v>
      </c>
      <c r="C89" s="90">
        <v>27</v>
      </c>
      <c r="D89" s="198">
        <v>9735</v>
      </c>
      <c r="E89" s="505">
        <f t="shared" si="26"/>
        <v>9923</v>
      </c>
      <c r="F89" s="505">
        <f t="shared" si="23"/>
        <v>-188</v>
      </c>
    </row>
    <row r="90" spans="1:13">
      <c r="A90" s="331" t="s">
        <v>338</v>
      </c>
      <c r="B90" s="90">
        <v>0</v>
      </c>
      <c r="C90" s="90">
        <v>145</v>
      </c>
      <c r="D90" s="198">
        <v>9600</v>
      </c>
      <c r="E90" s="505">
        <f t="shared" si="26"/>
        <v>9778</v>
      </c>
      <c r="F90" s="505">
        <f t="shared" si="23"/>
        <v>-178</v>
      </c>
    </row>
    <row r="91" spans="1:13">
      <c r="A91" s="331" t="s">
        <v>341</v>
      </c>
      <c r="B91" s="90">
        <v>0</v>
      </c>
      <c r="C91" s="90">
        <v>29</v>
      </c>
      <c r="D91" s="198">
        <v>9555</v>
      </c>
      <c r="E91" s="505">
        <f t="shared" si="26"/>
        <v>9749</v>
      </c>
      <c r="F91" s="505">
        <f t="shared" si="23"/>
        <v>-194</v>
      </c>
    </row>
    <row r="92" spans="1:13">
      <c r="A92" s="335" t="s">
        <v>342</v>
      </c>
      <c r="B92" s="90">
        <v>0</v>
      </c>
      <c r="C92" s="90">
        <v>29</v>
      </c>
      <c r="D92" s="198">
        <v>9464</v>
      </c>
      <c r="E92" s="505">
        <f t="shared" si="26"/>
        <v>9720</v>
      </c>
      <c r="F92" s="505">
        <f t="shared" si="23"/>
        <v>-256</v>
      </c>
    </row>
    <row r="93" spans="1:13">
      <c r="A93" s="335" t="s">
        <v>373</v>
      </c>
      <c r="B93" s="90">
        <v>0</v>
      </c>
      <c r="C93" s="90">
        <v>58</v>
      </c>
      <c r="D93" s="198">
        <v>9374</v>
      </c>
      <c r="E93" s="505">
        <f t="shared" si="26"/>
        <v>9662</v>
      </c>
      <c r="F93" s="505">
        <f t="shared" si="23"/>
        <v>-288</v>
      </c>
    </row>
    <row r="94" spans="1:13">
      <c r="A94" s="508" t="s">
        <v>385</v>
      </c>
      <c r="B94" s="90">
        <v>0</v>
      </c>
      <c r="C94" s="90">
        <v>147</v>
      </c>
      <c r="D94" s="198">
        <v>9284</v>
      </c>
      <c r="E94" s="505">
        <f t="shared" si="26"/>
        <v>9515</v>
      </c>
      <c r="F94" s="505">
        <f t="shared" si="23"/>
        <v>-231</v>
      </c>
    </row>
    <row r="95" spans="1:13">
      <c r="A95" s="508" t="s">
        <v>388</v>
      </c>
      <c r="B95" s="90">
        <v>0</v>
      </c>
      <c r="C95" s="90">
        <v>205</v>
      </c>
      <c r="D95" s="198">
        <v>9058</v>
      </c>
      <c r="E95" s="505">
        <f t="shared" si="26"/>
        <v>9310</v>
      </c>
      <c r="F95" s="505">
        <f t="shared" si="23"/>
        <v>-252</v>
      </c>
    </row>
    <row r="96" spans="1:13">
      <c r="A96" s="508" t="s">
        <v>390</v>
      </c>
      <c r="B96" s="90">
        <v>0</v>
      </c>
      <c r="C96" s="90">
        <v>87</v>
      </c>
      <c r="D96" s="198">
        <v>8832</v>
      </c>
      <c r="E96" s="505">
        <f t="shared" si="26"/>
        <v>9223</v>
      </c>
      <c r="F96" s="505">
        <f t="shared" si="23"/>
        <v>-391</v>
      </c>
    </row>
    <row r="97" spans="1:6">
      <c r="A97" s="508" t="s">
        <v>391</v>
      </c>
      <c r="B97" s="90">
        <v>0</v>
      </c>
      <c r="C97" s="90">
        <v>146</v>
      </c>
      <c r="D97" s="198">
        <v>8600</v>
      </c>
      <c r="E97" s="505">
        <f t="shared" si="26"/>
        <v>9077</v>
      </c>
      <c r="F97" s="505">
        <f t="shared" si="23"/>
        <v>-477</v>
      </c>
    </row>
    <row r="98" spans="1:6">
      <c r="A98" s="508" t="s">
        <v>393</v>
      </c>
      <c r="B98" s="90">
        <v>0</v>
      </c>
      <c r="C98" s="90">
        <v>29</v>
      </c>
      <c r="D98" s="198">
        <v>8516</v>
      </c>
      <c r="E98" s="505">
        <f t="shared" si="26"/>
        <v>9048</v>
      </c>
      <c r="F98" s="505">
        <f t="shared" si="23"/>
        <v>-532</v>
      </c>
    </row>
    <row r="99" spans="1:6">
      <c r="A99" s="380" t="s">
        <v>395</v>
      </c>
      <c r="B99" s="90">
        <v>534</v>
      </c>
      <c r="C99" s="90">
        <v>0</v>
      </c>
      <c r="D99" s="198">
        <v>8832</v>
      </c>
      <c r="E99" s="505">
        <f t="shared" si="26"/>
        <v>9582</v>
      </c>
      <c r="F99" s="505">
        <f t="shared" si="23"/>
        <v>-750</v>
      </c>
    </row>
    <row r="100" spans="1:6">
      <c r="A100" s="380" t="s">
        <v>398</v>
      </c>
      <c r="B100" s="90">
        <v>1138</v>
      </c>
      <c r="C100" s="90">
        <v>0</v>
      </c>
      <c r="D100" s="198">
        <v>10186</v>
      </c>
      <c r="E100" s="505">
        <f t="shared" si="26"/>
        <v>10720</v>
      </c>
      <c r="F100" s="505">
        <f t="shared" si="23"/>
        <v>-534</v>
      </c>
    </row>
    <row r="101" spans="1:6">
      <c r="A101" s="393" t="s">
        <v>401</v>
      </c>
      <c r="B101" s="90">
        <v>0</v>
      </c>
      <c r="C101" s="90">
        <v>117</v>
      </c>
      <c r="D101" s="198">
        <v>9961</v>
      </c>
      <c r="E101" s="505">
        <f t="shared" si="26"/>
        <v>10603</v>
      </c>
      <c r="F101" s="505">
        <f t="shared" si="23"/>
        <v>-642</v>
      </c>
    </row>
    <row r="102" spans="1:6">
      <c r="A102" s="393" t="s">
        <v>402</v>
      </c>
      <c r="B102" s="90">
        <v>0</v>
      </c>
      <c r="C102" s="90">
        <v>88</v>
      </c>
      <c r="D102" s="198">
        <v>9870</v>
      </c>
      <c r="E102" s="505">
        <f t="shared" si="26"/>
        <v>10515</v>
      </c>
      <c r="F102" s="505">
        <f t="shared" si="23"/>
        <v>-645</v>
      </c>
    </row>
    <row r="103" spans="1:6">
      <c r="A103" s="402" t="s">
        <v>406</v>
      </c>
      <c r="B103" s="90">
        <v>0</v>
      </c>
      <c r="C103" s="90">
        <v>89</v>
      </c>
      <c r="D103" s="198">
        <v>9735</v>
      </c>
      <c r="E103" s="505">
        <f t="shared" si="26"/>
        <v>10426</v>
      </c>
      <c r="F103" s="505">
        <f t="shared" si="23"/>
        <v>-691</v>
      </c>
    </row>
    <row r="104" spans="1:6">
      <c r="A104" s="402" t="s">
        <v>407</v>
      </c>
      <c r="B104" s="90">
        <v>0</v>
      </c>
      <c r="C104" s="90">
        <v>117</v>
      </c>
      <c r="D104" s="198">
        <v>9600</v>
      </c>
      <c r="E104" s="505">
        <f t="shared" si="26"/>
        <v>10309</v>
      </c>
      <c r="F104" s="505">
        <f t="shared" si="23"/>
        <v>-709</v>
      </c>
    </row>
    <row r="105" spans="1:6">
      <c r="A105" s="402" t="s">
        <v>408</v>
      </c>
      <c r="B105" s="90">
        <v>0</v>
      </c>
      <c r="C105" s="90">
        <v>317</v>
      </c>
      <c r="D105" s="198">
        <v>9284</v>
      </c>
      <c r="E105" s="505">
        <f t="shared" si="26"/>
        <v>9992</v>
      </c>
      <c r="F105" s="505">
        <f t="shared" si="23"/>
        <v>-708</v>
      </c>
    </row>
    <row r="106" spans="1:6">
      <c r="A106" s="402" t="s">
        <v>409</v>
      </c>
      <c r="B106" s="90">
        <v>0</v>
      </c>
      <c r="C106" s="90">
        <v>116</v>
      </c>
      <c r="D106" s="198">
        <v>9148</v>
      </c>
      <c r="E106" s="505">
        <f t="shared" si="26"/>
        <v>9876</v>
      </c>
      <c r="F106" s="505">
        <f t="shared" si="23"/>
        <v>-728</v>
      </c>
    </row>
    <row r="107" spans="1:6">
      <c r="A107" s="402" t="s">
        <v>411</v>
      </c>
      <c r="B107" s="90">
        <v>263</v>
      </c>
      <c r="C107" s="90">
        <v>0</v>
      </c>
      <c r="D107" s="198">
        <v>9400</v>
      </c>
      <c r="E107" s="505">
        <f t="shared" si="26"/>
        <v>10139</v>
      </c>
      <c r="F107" s="505">
        <f t="shared" si="23"/>
        <v>-739</v>
      </c>
    </row>
    <row r="108" spans="1:6">
      <c r="A108" s="412" t="s">
        <v>413</v>
      </c>
      <c r="B108" s="90">
        <v>1000</v>
      </c>
      <c r="C108" s="90">
        <v>145</v>
      </c>
      <c r="D108" s="198">
        <v>10412</v>
      </c>
      <c r="E108" s="505">
        <f t="shared" si="26"/>
        <v>10994</v>
      </c>
      <c r="F108" s="505">
        <f t="shared" si="23"/>
        <v>-582</v>
      </c>
    </row>
    <row r="109" spans="1:6">
      <c r="A109" s="412" t="s">
        <v>414</v>
      </c>
      <c r="B109" s="90">
        <v>0</v>
      </c>
      <c r="C109" s="90">
        <v>177</v>
      </c>
      <c r="D109" s="198">
        <v>10176</v>
      </c>
      <c r="E109" s="505">
        <f t="shared" si="26"/>
        <v>10817</v>
      </c>
      <c r="F109" s="505">
        <f t="shared" si="23"/>
        <v>-641</v>
      </c>
    </row>
    <row r="110" spans="1:6">
      <c r="A110" s="412" t="s">
        <v>415</v>
      </c>
      <c r="B110" s="90">
        <v>0</v>
      </c>
      <c r="C110" s="90">
        <v>87</v>
      </c>
      <c r="D110" s="198">
        <v>9961</v>
      </c>
      <c r="E110" s="505">
        <f t="shared" si="26"/>
        <v>10730</v>
      </c>
      <c r="F110" s="505">
        <f t="shared" si="23"/>
        <v>-769</v>
      </c>
    </row>
    <row r="111" spans="1:6">
      <c r="A111" s="412" t="s">
        <v>417</v>
      </c>
      <c r="B111" s="90">
        <v>0</v>
      </c>
      <c r="C111" s="90">
        <v>359</v>
      </c>
      <c r="D111" s="198">
        <v>9600</v>
      </c>
      <c r="E111" s="505">
        <f t="shared" si="26"/>
        <v>10371</v>
      </c>
      <c r="F111" s="505">
        <f t="shared" si="23"/>
        <v>-771</v>
      </c>
    </row>
    <row r="112" spans="1:6">
      <c r="A112" s="412" t="s">
        <v>419</v>
      </c>
      <c r="B112" s="90">
        <v>0</v>
      </c>
      <c r="C112" s="90">
        <v>87</v>
      </c>
      <c r="D112" s="198">
        <v>9509</v>
      </c>
      <c r="E112" s="505">
        <f t="shared" si="26"/>
        <v>10284</v>
      </c>
      <c r="F112" s="505">
        <f t="shared" si="23"/>
        <v>-775</v>
      </c>
    </row>
    <row r="113" spans="1:13">
      <c r="A113" s="412" t="s">
        <v>420</v>
      </c>
      <c r="B113" s="90">
        <v>0</v>
      </c>
      <c r="C113" s="90">
        <v>59</v>
      </c>
      <c r="D113" s="198">
        <v>9464</v>
      </c>
      <c r="E113" s="505">
        <f t="shared" si="26"/>
        <v>10225</v>
      </c>
      <c r="F113" s="505">
        <f t="shared" si="23"/>
        <v>-761</v>
      </c>
    </row>
    <row r="114" spans="1:13">
      <c r="A114" s="412" t="s">
        <v>451</v>
      </c>
      <c r="B114" s="90">
        <v>511</v>
      </c>
      <c r="C114" s="90">
        <v>0</v>
      </c>
      <c r="D114" s="198">
        <v>9961</v>
      </c>
      <c r="E114" s="505">
        <f t="shared" si="26"/>
        <v>10736</v>
      </c>
      <c r="F114" s="505">
        <f t="shared" si="23"/>
        <v>-775</v>
      </c>
    </row>
    <row r="115" spans="1:13">
      <c r="A115" s="412" t="s">
        <v>452</v>
      </c>
      <c r="B115" s="90">
        <v>300</v>
      </c>
      <c r="C115" s="90">
        <v>117</v>
      </c>
      <c r="D115" s="198">
        <v>10186</v>
      </c>
      <c r="E115" s="505">
        <f t="shared" si="26"/>
        <v>10919</v>
      </c>
      <c r="F115" s="505">
        <f t="shared" si="23"/>
        <v>-733</v>
      </c>
    </row>
    <row r="116" spans="1:13">
      <c r="A116" s="412" t="s">
        <v>457</v>
      </c>
      <c r="B116" s="90">
        <v>0</v>
      </c>
      <c r="C116" s="90">
        <v>146</v>
      </c>
      <c r="D116" s="198">
        <v>9735</v>
      </c>
      <c r="E116" s="505">
        <f t="shared" si="26"/>
        <v>10773</v>
      </c>
      <c r="F116" s="505">
        <f t="shared" si="23"/>
        <v>-1038</v>
      </c>
    </row>
    <row r="117" spans="1:13">
      <c r="A117" s="435" t="s">
        <v>421</v>
      </c>
      <c r="B117" s="90"/>
      <c r="C117" s="90">
        <v>204</v>
      </c>
      <c r="D117" s="198">
        <v>9555</v>
      </c>
      <c r="E117" s="505">
        <f t="shared" si="26"/>
        <v>10569</v>
      </c>
      <c r="F117" s="505">
        <f t="shared" si="23"/>
        <v>-1014</v>
      </c>
    </row>
    <row r="118" spans="1:13">
      <c r="A118" s="412"/>
      <c r="B118" s="90"/>
      <c r="C118" s="90"/>
      <c r="D118" s="198"/>
      <c r="E118" s="505"/>
      <c r="F118" s="505"/>
    </row>
    <row r="119" spans="1:13">
      <c r="A119" s="412"/>
      <c r="B119" s="90"/>
      <c r="C119" s="90"/>
      <c r="D119" s="198"/>
      <c r="E119" s="505"/>
      <c r="F119" s="505"/>
    </row>
    <row r="120" spans="1:13">
      <c r="A120" s="412"/>
      <c r="B120" s="90"/>
      <c r="C120" s="90"/>
      <c r="D120" s="198"/>
      <c r="E120" s="505"/>
      <c r="F120" s="505"/>
    </row>
    <row r="121" spans="1:13">
      <c r="A121" s="412"/>
      <c r="B121" s="90"/>
      <c r="C121" s="90"/>
      <c r="D121" s="198"/>
      <c r="E121" s="505"/>
      <c r="F121" s="505"/>
    </row>
    <row r="122" spans="1:13">
      <c r="A122" s="412"/>
      <c r="B122" s="90"/>
      <c r="C122" s="90"/>
      <c r="D122" s="198"/>
      <c r="E122" s="505"/>
      <c r="F122" s="505"/>
    </row>
    <row r="123" spans="1:13">
      <c r="A123" s="412" t="s">
        <v>459</v>
      </c>
      <c r="B123" s="90"/>
      <c r="C123" s="90"/>
      <c r="D123" s="198"/>
      <c r="E123" s="505"/>
      <c r="F123" s="505"/>
    </row>
    <row r="124" spans="1:13">
      <c r="A124" s="277"/>
      <c r="B124" s="90"/>
      <c r="C124" s="90"/>
      <c r="D124" s="90"/>
      <c r="E124" s="90"/>
      <c r="F124" s="90"/>
    </row>
    <row r="125" spans="1:13">
      <c r="A125" s="194" t="s">
        <v>31</v>
      </c>
      <c r="B125" s="505">
        <f>SUM(B58:B124)</f>
        <v>15091</v>
      </c>
      <c r="C125" s="505">
        <f>SUM(C58:C124)</f>
        <v>5842</v>
      </c>
      <c r="D125" s="197"/>
      <c r="E125" s="505"/>
      <c r="F125" s="505"/>
    </row>
    <row r="127" spans="1:13">
      <c r="L127" s="351" t="s">
        <v>376</v>
      </c>
      <c r="M127" s="379" t="s">
        <v>394</v>
      </c>
    </row>
    <row r="128" spans="1:13">
      <c r="K128" s="100" t="s">
        <v>381</v>
      </c>
      <c r="L128" s="13">
        <v>-146</v>
      </c>
      <c r="M128" s="13">
        <v>-172</v>
      </c>
    </row>
    <row r="129" spans="11:15">
      <c r="K129" s="100" t="s">
        <v>343</v>
      </c>
      <c r="L129" s="13">
        <v>113</v>
      </c>
      <c r="M129" s="13">
        <v>277</v>
      </c>
    </row>
    <row r="130" spans="11:15">
      <c r="K130" s="100" t="s">
        <v>344</v>
      </c>
      <c r="L130" s="13">
        <v>-59</v>
      </c>
      <c r="M130" s="13">
        <v>237</v>
      </c>
    </row>
    <row r="131" spans="11:15">
      <c r="K131" s="100" t="s">
        <v>345</v>
      </c>
      <c r="L131" s="13">
        <v>-135</v>
      </c>
      <c r="M131" s="13">
        <v>14</v>
      </c>
    </row>
    <row r="132" spans="11:15">
      <c r="K132" s="100" t="s">
        <v>346</v>
      </c>
      <c r="L132" s="13">
        <v>175</v>
      </c>
      <c r="M132" s="13">
        <v>95</v>
      </c>
    </row>
    <row r="133" spans="11:15">
      <c r="K133" s="100" t="s">
        <v>347</v>
      </c>
      <c r="L133" s="13">
        <v>-38</v>
      </c>
      <c r="M133" s="13">
        <v>-179</v>
      </c>
    </row>
    <row r="134" spans="11:15">
      <c r="K134" s="100" t="s">
        <v>348</v>
      </c>
      <c r="L134" s="13">
        <v>-232</v>
      </c>
      <c r="M134" s="13">
        <f>SUM(M128:M133)</f>
        <v>272</v>
      </c>
      <c r="N134" s="13">
        <v>4285</v>
      </c>
      <c r="O134" s="13">
        <f>N134-M134</f>
        <v>4013</v>
      </c>
    </row>
    <row r="135" spans="11:15">
      <c r="K135" s="100" t="s">
        <v>349</v>
      </c>
      <c r="L135" s="13">
        <v>304</v>
      </c>
      <c r="M135" s="13">
        <v>177</v>
      </c>
    </row>
    <row r="136" spans="11:15">
      <c r="K136" s="100" t="s">
        <v>350</v>
      </c>
      <c r="L136" s="13">
        <v>32</v>
      </c>
      <c r="M136" s="13">
        <v>-51</v>
      </c>
    </row>
    <row r="137" spans="11:15">
      <c r="K137" s="100" t="s">
        <v>351</v>
      </c>
      <c r="L137" s="13">
        <v>275</v>
      </c>
      <c r="M137" s="13">
        <v>368</v>
      </c>
    </row>
    <row r="138" spans="11:15">
      <c r="K138" s="100" t="s">
        <v>352</v>
      </c>
      <c r="L138" s="13">
        <v>8</v>
      </c>
      <c r="M138" s="13">
        <v>-14</v>
      </c>
    </row>
    <row r="139" spans="11:15">
      <c r="K139" s="100" t="s">
        <v>353</v>
      </c>
      <c r="L139" s="13">
        <v>35</v>
      </c>
      <c r="M139" s="13">
        <v>77</v>
      </c>
    </row>
    <row r="140" spans="11:15">
      <c r="K140" s="100" t="s">
        <v>354</v>
      </c>
      <c r="L140" s="13">
        <v>-24</v>
      </c>
      <c r="M140" s="13">
        <v>-201</v>
      </c>
    </row>
    <row r="141" spans="11:15">
      <c r="K141" s="100" t="s">
        <v>355</v>
      </c>
      <c r="L141" s="13">
        <v>-633</v>
      </c>
      <c r="M141" s="13">
        <v>-96</v>
      </c>
      <c r="N141" s="13">
        <f>SUM(L128:L141)</f>
        <v>-325</v>
      </c>
      <c r="O141" s="13">
        <f>SUM(M128:M141)</f>
        <v>804</v>
      </c>
    </row>
    <row r="142" spans="11:15">
      <c r="K142" s="100" t="s">
        <v>356</v>
      </c>
    </row>
    <row r="143" spans="11:15">
      <c r="K143" s="100" t="s">
        <v>357</v>
      </c>
    </row>
    <row r="144" spans="11:15">
      <c r="K144" s="100" t="s">
        <v>358</v>
      </c>
    </row>
    <row r="145" spans="11:12">
      <c r="K145" s="100" t="s">
        <v>359</v>
      </c>
    </row>
    <row r="146" spans="11:12">
      <c r="K146" s="100" t="s">
        <v>360</v>
      </c>
    </row>
    <row r="147" spans="11:12">
      <c r="K147" s="100" t="s">
        <v>361</v>
      </c>
    </row>
    <row r="148" spans="11:12">
      <c r="K148" s="100" t="s">
        <v>362</v>
      </c>
    </row>
    <row r="149" spans="11:12">
      <c r="K149" s="100" t="s">
        <v>363</v>
      </c>
    </row>
    <row r="150" spans="11:12">
      <c r="K150" s="100" t="s">
        <v>364</v>
      </c>
    </row>
    <row r="151" spans="11:12">
      <c r="K151" s="100" t="s">
        <v>365</v>
      </c>
    </row>
    <row r="152" spans="11:12">
      <c r="K152" s="100" t="s">
        <v>366</v>
      </c>
    </row>
    <row r="153" spans="11:12">
      <c r="K153" s="100" t="s">
        <v>367</v>
      </c>
    </row>
    <row r="154" spans="11:12">
      <c r="K154" s="100" t="s">
        <v>368</v>
      </c>
    </row>
    <row r="155" spans="11:12">
      <c r="K155" s="100" t="s">
        <v>369</v>
      </c>
    </row>
    <row r="156" spans="11:12">
      <c r="K156" s="100" t="s">
        <v>370</v>
      </c>
    </row>
    <row r="157" spans="11:12">
      <c r="K157" s="100" t="s">
        <v>371</v>
      </c>
    </row>
    <row r="158" spans="11:12">
      <c r="K158" s="100"/>
    </row>
    <row r="159" spans="11:12">
      <c r="K159" s="11" t="s">
        <v>7</v>
      </c>
      <c r="L159" s="13">
        <f>SUM(L128:L158)</f>
        <v>-325</v>
      </c>
    </row>
  </sheetData>
  <mergeCells count="164">
    <mergeCell ref="AN4:AN5"/>
    <mergeCell ref="AO4:AO5"/>
    <mergeCell ref="AP4:AP5"/>
    <mergeCell ref="A5:A6"/>
    <mergeCell ref="B5:B6"/>
    <mergeCell ref="C5:D6"/>
    <mergeCell ref="E5:F6"/>
    <mergeCell ref="G5:I5"/>
    <mergeCell ref="Q5:R5"/>
    <mergeCell ref="H6:I6"/>
    <mergeCell ref="C7:D7"/>
    <mergeCell ref="E7:F7"/>
    <mergeCell ref="H7:I7"/>
    <mergeCell ref="A1:I1"/>
    <mergeCell ref="AM3:AM5"/>
    <mergeCell ref="H4:I4"/>
    <mergeCell ref="A13:A14"/>
    <mergeCell ref="B13:D13"/>
    <mergeCell ref="E13:I13"/>
    <mergeCell ref="C14:D14"/>
    <mergeCell ref="E14:F14"/>
    <mergeCell ref="G14:I14"/>
    <mergeCell ref="C8:D8"/>
    <mergeCell ref="E8:F8"/>
    <mergeCell ref="H8:I8"/>
    <mergeCell ref="C9:D9"/>
    <mergeCell ref="E9:F9"/>
    <mergeCell ref="H9:I9"/>
    <mergeCell ref="AB17:AE17"/>
    <mergeCell ref="AO17:AS17"/>
    <mergeCell ref="M19:Y19"/>
    <mergeCell ref="C15:D15"/>
    <mergeCell ref="E15:F15"/>
    <mergeCell ref="G15:I15"/>
    <mergeCell ref="C16:D16"/>
    <mergeCell ref="E16:F16"/>
    <mergeCell ref="G16:I16"/>
    <mergeCell ref="N20:O20"/>
    <mergeCell ref="P20:Q20"/>
    <mergeCell ref="R20:S20"/>
    <mergeCell ref="T20:U20"/>
    <mergeCell ref="V20:W20"/>
    <mergeCell ref="X20:Y20"/>
    <mergeCell ref="C17:D17"/>
    <mergeCell ref="E17:F17"/>
    <mergeCell ref="G17:I17"/>
    <mergeCell ref="AY21:AY22"/>
    <mergeCell ref="AZ21:AZ22"/>
    <mergeCell ref="BA21:BA22"/>
    <mergeCell ref="AO21:AO22"/>
    <mergeCell ref="AP21:AP22"/>
    <mergeCell ref="AQ21:AQ22"/>
    <mergeCell ref="AR21:AR22"/>
    <mergeCell ref="AS21:AS22"/>
    <mergeCell ref="AT21:AT22"/>
    <mergeCell ref="A22:A23"/>
    <mergeCell ref="B22:B23"/>
    <mergeCell ref="C22:D23"/>
    <mergeCell ref="E22:F23"/>
    <mergeCell ref="G22:I22"/>
    <mergeCell ref="N22:O22"/>
    <mergeCell ref="AV21:AV22"/>
    <mergeCell ref="AW21:AW22"/>
    <mergeCell ref="AX21:AX22"/>
    <mergeCell ref="N21:O21"/>
    <mergeCell ref="P21:Q21"/>
    <mergeCell ref="R21:S21"/>
    <mergeCell ref="T21:U21"/>
    <mergeCell ref="V21:W21"/>
    <mergeCell ref="X21:Y21"/>
    <mergeCell ref="P22:Q22"/>
    <mergeCell ref="R22:S22"/>
    <mergeCell ref="T22:U22"/>
    <mergeCell ref="V22:W22"/>
    <mergeCell ref="X22:Y22"/>
    <mergeCell ref="N23:O23"/>
    <mergeCell ref="P23:Q23"/>
    <mergeCell ref="R23:S23"/>
    <mergeCell ref="T23:U23"/>
    <mergeCell ref="V23:W23"/>
    <mergeCell ref="X23:Y23"/>
    <mergeCell ref="B24:B25"/>
    <mergeCell ref="C24:D24"/>
    <mergeCell ref="E24:F25"/>
    <mergeCell ref="G24:G25"/>
    <mergeCell ref="H24:H25"/>
    <mergeCell ref="I24:I25"/>
    <mergeCell ref="N24:O24"/>
    <mergeCell ref="P24:Q24"/>
    <mergeCell ref="R24:S24"/>
    <mergeCell ref="B29:B31"/>
    <mergeCell ref="C29:D29"/>
    <mergeCell ref="E29:F30"/>
    <mergeCell ref="T24:U24"/>
    <mergeCell ref="V24:W24"/>
    <mergeCell ref="X24:Y24"/>
    <mergeCell ref="C25:D25"/>
    <mergeCell ref="B26:B28"/>
    <mergeCell ref="C26:D26"/>
    <mergeCell ref="E26:F27"/>
    <mergeCell ref="G26:G28"/>
    <mergeCell ref="H26:H28"/>
    <mergeCell ref="I26:I28"/>
    <mergeCell ref="G29:G31"/>
    <mergeCell ref="H29:H31"/>
    <mergeCell ref="I29:I31"/>
    <mergeCell ref="C30:D30"/>
    <mergeCell ref="C31:D31"/>
    <mergeCell ref="E31:F31"/>
    <mergeCell ref="C27:D27"/>
    <mergeCell ref="C28:D28"/>
    <mergeCell ref="E28:F28"/>
    <mergeCell ref="A39:A40"/>
    <mergeCell ref="C39:D39"/>
    <mergeCell ref="E39:H39"/>
    <mergeCell ref="I39:I40"/>
    <mergeCell ref="C40:D40"/>
    <mergeCell ref="G40:H40"/>
    <mergeCell ref="C32:D32"/>
    <mergeCell ref="E32:F32"/>
    <mergeCell ref="C33:D33"/>
    <mergeCell ref="E33:F33"/>
    <mergeCell ref="C34:D34"/>
    <mergeCell ref="E34:F34"/>
    <mergeCell ref="C44:D44"/>
    <mergeCell ref="G44:H44"/>
    <mergeCell ref="C45:D45"/>
    <mergeCell ref="G45:H45"/>
    <mergeCell ref="C46:D46"/>
    <mergeCell ref="G46:H46"/>
    <mergeCell ref="C41:D41"/>
    <mergeCell ref="G41:H41"/>
    <mergeCell ref="C42:D42"/>
    <mergeCell ref="G42:H42"/>
    <mergeCell ref="C43:D43"/>
    <mergeCell ref="G43:H43"/>
    <mergeCell ref="H52:I52"/>
    <mergeCell ref="H53:I53"/>
    <mergeCell ref="O74:P74"/>
    <mergeCell ref="Q74:R74"/>
    <mergeCell ref="S74:T74"/>
    <mergeCell ref="U74:V74"/>
    <mergeCell ref="A49:A50"/>
    <mergeCell ref="B49:C49"/>
    <mergeCell ref="D49:E49"/>
    <mergeCell ref="F49:G49"/>
    <mergeCell ref="H49:I50"/>
    <mergeCell ref="H51:I51"/>
    <mergeCell ref="O77:P77"/>
    <mergeCell ref="Q77:R77"/>
    <mergeCell ref="S77:T77"/>
    <mergeCell ref="U77:V77"/>
    <mergeCell ref="O78:P78"/>
    <mergeCell ref="Q78:R78"/>
    <mergeCell ref="S78:T78"/>
    <mergeCell ref="U78:V78"/>
    <mergeCell ref="O75:P75"/>
    <mergeCell ref="Q75:R75"/>
    <mergeCell ref="S75:T75"/>
    <mergeCell ref="U75:V75"/>
    <mergeCell ref="O76:P76"/>
    <mergeCell ref="Q76:R76"/>
    <mergeCell ref="S76:T76"/>
    <mergeCell ref="U76:V76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AEBD-73E7-4227-80E5-12E1CEA403A5}">
  <dimension ref="A1:U161"/>
  <sheetViews>
    <sheetView workbookViewId="0">
      <selection activeCell="N7" sqref="N7"/>
    </sheetView>
  </sheetViews>
  <sheetFormatPr defaultColWidth="8.69921875" defaultRowHeight="18.2"/>
  <cols>
    <col min="1" max="1" width="15.19921875" style="13" customWidth="1"/>
    <col min="2" max="2" width="10.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550"/>
      <c r="B2" s="550"/>
      <c r="C2" s="550"/>
      <c r="D2" s="550"/>
      <c r="E2" s="550"/>
      <c r="F2" s="550"/>
      <c r="G2" s="550"/>
      <c r="H2" s="550"/>
      <c r="I2" s="550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36" t="s">
        <v>622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38" t="s">
        <v>543</v>
      </c>
      <c r="H5" s="747"/>
      <c r="I5" s="747"/>
      <c r="J5" s="75"/>
      <c r="K5" s="75"/>
      <c r="M5" s="359"/>
      <c r="N5" s="360"/>
      <c r="O5" s="549"/>
      <c r="P5" s="549"/>
      <c r="Q5" s="748"/>
      <c r="R5" s="748"/>
      <c r="S5" s="549"/>
      <c r="T5" s="549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35" t="s">
        <v>544</v>
      </c>
      <c r="I6" s="750"/>
      <c r="L6" s="353"/>
      <c r="N6" s="360"/>
      <c r="O6" s="549"/>
      <c r="P6" s="82"/>
      <c r="Q6" s="549"/>
      <c r="R6" s="82"/>
      <c r="S6" s="82"/>
      <c r="T6" s="293"/>
      <c r="U6" s="107"/>
    </row>
    <row r="7" spans="1:21" ht="18.8" thickTop="1">
      <c r="A7" s="19" t="s">
        <v>14</v>
      </c>
      <c r="B7" s="20"/>
      <c r="C7" s="751"/>
      <c r="D7" s="752"/>
      <c r="E7" s="753" t="e">
        <f>(C7/B7)</f>
        <v>#DIV/0!</v>
      </c>
      <c r="F7" s="754"/>
      <c r="G7" s="88"/>
      <c r="H7" s="755"/>
      <c r="I7" s="755"/>
      <c r="J7" s="13">
        <f>40/60</f>
        <v>0.66666666666666663</v>
      </c>
      <c r="L7" s="353"/>
      <c r="M7" s="49"/>
      <c r="N7" s="361"/>
      <c r="O7" s="549"/>
      <c r="P7" s="22"/>
      <c r="Q7" s="17"/>
      <c r="R7" s="17"/>
      <c r="S7" s="17"/>
      <c r="U7" s="369"/>
    </row>
    <row r="8" spans="1:21">
      <c r="A8" s="23" t="s">
        <v>15</v>
      </c>
      <c r="B8" s="74">
        <f>24+15.5+15.67+24+15.67+15+24+24+24+17.2+24+24+15.66+24+24+24+24+24+24+24+22.13</f>
        <v>452.83</v>
      </c>
      <c r="C8" s="769">
        <f>29714.3+2020.7+2029+2074+1894</f>
        <v>37732</v>
      </c>
      <c r="D8" s="770"/>
      <c r="E8" s="771">
        <f>C8/B8</f>
        <v>83.324868052028364</v>
      </c>
      <c r="F8" s="772"/>
      <c r="G8" s="86">
        <v>39500</v>
      </c>
      <c r="H8" s="773">
        <v>37732</v>
      </c>
      <c r="I8" s="773"/>
      <c r="L8" s="446"/>
      <c r="N8" s="361"/>
      <c r="O8" s="549"/>
      <c r="P8" s="22"/>
      <c r="Q8" s="14"/>
      <c r="T8" s="107"/>
      <c r="U8" s="107"/>
    </row>
    <row r="9" spans="1:21">
      <c r="A9" s="23" t="s">
        <v>16</v>
      </c>
      <c r="B9" s="24">
        <f>2613.6+B8</f>
        <v>3066.43</v>
      </c>
      <c r="C9" s="774">
        <f>210489+C8</f>
        <v>248221</v>
      </c>
      <c r="D9" s="775"/>
      <c r="E9" s="771">
        <f>C9/B9</f>
        <v>80.947877499241798</v>
      </c>
      <c r="F9" s="772"/>
      <c r="G9" s="21"/>
      <c r="H9" s="776"/>
      <c r="I9" s="777"/>
      <c r="J9" s="368" t="s">
        <v>389</v>
      </c>
      <c r="L9" s="13">
        <v>248221</v>
      </c>
      <c r="M9" s="359">
        <v>5.3659999999999997</v>
      </c>
      <c r="N9" s="360">
        <f>M9*L9</f>
        <v>1331953.8859999999</v>
      </c>
      <c r="O9" s="549"/>
      <c r="P9" s="362"/>
      <c r="Q9" s="123"/>
      <c r="S9" s="379"/>
      <c r="T9" s="219"/>
      <c r="U9" s="216"/>
    </row>
    <row r="10" spans="1:21">
      <c r="A10" s="547" t="s">
        <v>621</v>
      </c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82000</v>
      </c>
      <c r="M10" s="359">
        <v>5.0999999999999996</v>
      </c>
      <c r="N10" s="360">
        <f>M10*L10</f>
        <v>418199.99999999994</v>
      </c>
      <c r="O10" s="85"/>
      <c r="P10" s="362"/>
      <c r="Q10" s="14"/>
      <c r="T10" s="92"/>
      <c r="U10" s="107"/>
    </row>
    <row r="11" spans="1:21" ht="18" customHeight="1">
      <c r="A11" s="544" t="s">
        <v>614</v>
      </c>
      <c r="B11" s="25"/>
      <c r="C11" s="26"/>
      <c r="D11" s="26"/>
      <c r="E11" s="26"/>
      <c r="F11" s="548" t="s">
        <v>553</v>
      </c>
      <c r="G11" s="54">
        <v>39500</v>
      </c>
      <c r="H11" s="54">
        <f>C8</f>
        <v>37732</v>
      </c>
      <c r="I11" s="490">
        <f>H11/G11*100</f>
        <v>95.524050632911397</v>
      </c>
      <c r="L11" s="353">
        <f t="shared" ref="L11:N11" si="0">SUM(L9:L10)</f>
        <v>330221</v>
      </c>
      <c r="M11" s="237">
        <f>N11/L11</f>
        <v>5.2999472656190854</v>
      </c>
      <c r="N11" s="361">
        <f t="shared" si="0"/>
        <v>1750153.8859999999</v>
      </c>
      <c r="O11" s="85"/>
      <c r="P11" s="22"/>
      <c r="Q11" s="14"/>
      <c r="T11" s="92"/>
      <c r="U11" s="107"/>
    </row>
    <row r="12" spans="1:21">
      <c r="A12" s="31" t="s">
        <v>17</v>
      </c>
      <c r="D12" s="545" t="s">
        <v>615</v>
      </c>
      <c r="E12" s="543"/>
      <c r="J12" s="32"/>
      <c r="K12" s="32"/>
      <c r="L12" s="542" t="s">
        <v>613</v>
      </c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552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/>
      <c r="C15" s="771" t="e">
        <f>(B15/C7)</f>
        <v>#DIV/0!</v>
      </c>
      <c r="D15" s="772"/>
      <c r="E15" s="779"/>
      <c r="F15" s="779"/>
      <c r="G15" s="780" t="e">
        <f>E15/C7</f>
        <v>#DIV/0!</v>
      </c>
      <c r="H15" s="780"/>
      <c r="I15" s="780"/>
      <c r="J15" s="414"/>
      <c r="K15" s="528"/>
      <c r="L15" s="365"/>
      <c r="M15" s="557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68220+47160+46920+67680+47220+42360+67980+68900+71100+50640+70200+70080+45960+69600+70260+69660+68580+69120+71460+70680+63540</f>
        <v>1317320</v>
      </c>
      <c r="C16" s="771">
        <f>B16/C8</f>
        <v>34.912541079190078</v>
      </c>
      <c r="D16" s="772"/>
      <c r="E16" s="781">
        <f>75728+7264+9731+9225+6169+8969+500+9257-300+9876+9314+9896+9849+10563+9703</f>
        <v>185744</v>
      </c>
      <c r="F16" s="781"/>
      <c r="G16" s="782">
        <f>E16/C8</f>
        <v>4.9227181172479595</v>
      </c>
      <c r="H16" s="782"/>
      <c r="I16" s="782"/>
      <c r="J16" s="535" t="s">
        <v>546</v>
      </c>
      <c r="K16" s="479"/>
      <c r="N16" s="33"/>
      <c r="O16" s="33"/>
      <c r="P16" s="33"/>
      <c r="Q16" s="33"/>
      <c r="T16" s="107"/>
      <c r="U16" s="92"/>
    </row>
    <row r="17" spans="1:21">
      <c r="A17" s="23" t="s">
        <v>16</v>
      </c>
      <c r="B17" s="39">
        <f>7601853+B16</f>
        <v>8919173</v>
      </c>
      <c r="C17" s="898">
        <f>B17/C9</f>
        <v>35.932386864930848</v>
      </c>
      <c r="D17" s="899"/>
      <c r="E17" s="799">
        <f>1146110+E16</f>
        <v>1331854</v>
      </c>
      <c r="F17" s="799"/>
      <c r="G17" s="800">
        <f>E17/C9</f>
        <v>5.3655975924680019</v>
      </c>
      <c r="H17" s="800"/>
      <c r="I17" s="800"/>
      <c r="J17" s="368" t="s">
        <v>389</v>
      </c>
      <c r="N17" s="289"/>
      <c r="O17" s="33"/>
      <c r="R17" s="33"/>
      <c r="T17" s="92"/>
      <c r="U17" s="92"/>
    </row>
    <row r="18" spans="1:21">
      <c r="A18" s="539" t="s">
        <v>552</v>
      </c>
      <c r="B18" s="537"/>
      <c r="C18" s="934" t="e">
        <f>-(36.5-C15)*107*C7/10000</f>
        <v>#DIV/0!</v>
      </c>
      <c r="D18" s="934"/>
      <c r="E18" s="540"/>
      <c r="F18" s="540"/>
      <c r="G18" s="934" t="e">
        <f>-(5.3-G15)*593*C7/10000</f>
        <v>#DIV/0!</v>
      </c>
      <c r="H18" s="934"/>
      <c r="I18" s="934"/>
      <c r="J18" s="538" t="s">
        <v>551</v>
      </c>
      <c r="N18" s="289"/>
      <c r="O18" s="33"/>
      <c r="R18" s="33"/>
      <c r="T18" s="92"/>
      <c r="U18" s="92"/>
    </row>
    <row r="19" spans="1:21">
      <c r="A19" s="536" t="s">
        <v>547</v>
      </c>
      <c r="J19" s="41"/>
      <c r="K19" s="457"/>
    </row>
    <row r="20" spans="1:21">
      <c r="A20" s="186" t="s">
        <v>145</v>
      </c>
      <c r="J20" s="43"/>
      <c r="K20" s="458"/>
    </row>
    <row r="21" spans="1:21" ht="16.75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2204</v>
      </c>
      <c r="C25" s="785"/>
      <c r="D25" s="786"/>
      <c r="E25" s="787">
        <v>260</v>
      </c>
      <c r="F25" s="788"/>
      <c r="G25" s="791">
        <v>1944</v>
      </c>
      <c r="H25" s="793">
        <f>B25+C25+C26-E25</f>
        <v>1944</v>
      </c>
      <c r="I25" s="793">
        <f>G25-H25</f>
        <v>0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4325</v>
      </c>
      <c r="C27" s="813"/>
      <c r="D27" s="814"/>
      <c r="E27" s="815">
        <v>58</v>
      </c>
      <c r="F27" s="816"/>
      <c r="G27" s="801">
        <v>4267</v>
      </c>
      <c r="H27" s="803">
        <f>B27+C27+C28-E27-E29</f>
        <v>4267</v>
      </c>
      <c r="I27" s="803">
        <f>G27-H27</f>
        <v>0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4026</v>
      </c>
      <c r="C30" s="829"/>
      <c r="D30" s="830"/>
      <c r="E30" s="815">
        <v>548</v>
      </c>
      <c r="F30" s="816"/>
      <c r="G30" s="801">
        <v>3333</v>
      </c>
      <c r="H30" s="803">
        <f>B30+C30+C31-E30-E32</f>
        <v>3333</v>
      </c>
      <c r="I30" s="803">
        <f>G30-H30</f>
        <v>0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>
        <v>145</v>
      </c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92"/>
      <c r="R32" s="366"/>
      <c r="T32" s="219"/>
    </row>
    <row r="33" spans="1:21" ht="16.75" customHeight="1" thickBot="1">
      <c r="A33" s="53" t="s">
        <v>28</v>
      </c>
      <c r="B33" s="78">
        <f>SUM(B25:B32)</f>
        <v>10555</v>
      </c>
      <c r="C33" s="821">
        <f>SUM(C25:D32)</f>
        <v>0</v>
      </c>
      <c r="D33" s="822"/>
      <c r="E33" s="821">
        <f>SUM(E25:F32)</f>
        <v>1011</v>
      </c>
      <c r="F33" s="822"/>
      <c r="G33" s="553">
        <f>G25+G27+G30</f>
        <v>9544</v>
      </c>
      <c r="H33" s="553">
        <f>H25+H27+H30</f>
        <v>9544</v>
      </c>
      <c r="I33" s="553">
        <f>I25+I27+I30</f>
        <v>0</v>
      </c>
      <c r="J33" s="327">
        <f>E33-E29-E32</f>
        <v>866</v>
      </c>
      <c r="K33" s="533"/>
      <c r="L33" s="14"/>
      <c r="M33" s="14"/>
      <c r="N33" s="140"/>
      <c r="O33" s="261"/>
      <c r="P33" s="261"/>
      <c r="Q33" s="560" t="s">
        <v>623</v>
      </c>
      <c r="T33" s="219"/>
      <c r="U33" s="219"/>
    </row>
    <row r="34" spans="1:21" ht="16.75" customHeight="1" thickBot="1">
      <c r="A34" s="177" t="s">
        <v>44</v>
      </c>
      <c r="B34" s="178">
        <v>737</v>
      </c>
      <c r="C34" s="823">
        <f>E29+E35+E32</f>
        <v>358</v>
      </c>
      <c r="D34" s="824"/>
      <c r="E34" s="823">
        <f>118+114</f>
        <v>232</v>
      </c>
      <c r="F34" s="824"/>
      <c r="G34" s="183">
        <v>863</v>
      </c>
      <c r="H34" s="183">
        <f>B34+C34-E34</f>
        <v>863</v>
      </c>
      <c r="I34" s="183">
        <f>G34-H34</f>
        <v>0</v>
      </c>
      <c r="J34" s="94"/>
      <c r="K34" s="436"/>
      <c r="L34" s="94"/>
      <c r="M34" s="94"/>
      <c r="P34" s="107"/>
      <c r="Q34" s="534"/>
      <c r="R34" s="22"/>
      <c r="S34" s="22"/>
    </row>
    <row r="35" spans="1:21" ht="16.75" customHeight="1">
      <c r="A35" s="179" t="s">
        <v>29</v>
      </c>
      <c r="B35" s="180">
        <v>3531</v>
      </c>
      <c r="C35" s="825"/>
      <c r="D35" s="826"/>
      <c r="E35" s="827">
        <v>213</v>
      </c>
      <c r="F35" s="828"/>
      <c r="G35" s="181">
        <v>3318</v>
      </c>
      <c r="H35" s="182">
        <f>B35+C35-E35</f>
        <v>3318</v>
      </c>
      <c r="I35" s="182">
        <f>G35-H35</f>
        <v>0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v>13480</v>
      </c>
      <c r="E36" s="79" t="s">
        <v>47</v>
      </c>
      <c r="F36" s="80" t="s">
        <v>46</v>
      </c>
      <c r="G36" s="55">
        <f>46998+D36</f>
        <v>60478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v>7691</v>
      </c>
      <c r="E37" s="79" t="s">
        <v>47</v>
      </c>
      <c r="F37" s="80" t="s">
        <v>46</v>
      </c>
      <c r="G37" s="55">
        <f>25042+D37</f>
        <v>32733</v>
      </c>
      <c r="H37" s="79" t="s">
        <v>47</v>
      </c>
      <c r="I37" s="79"/>
      <c r="J37" s="355"/>
      <c r="K37" s="188"/>
      <c r="L37" s="100" t="s">
        <v>616</v>
      </c>
      <c r="M37" s="11"/>
      <c r="N37" s="67"/>
      <c r="O37" s="76"/>
      <c r="P37" s="76">
        <f t="shared" ref="P37:P67" si="1">N37-O37</f>
        <v>0</v>
      </c>
      <c r="Q37" s="10">
        <f>P37*(1-S37)*1.063</f>
        <v>0</v>
      </c>
      <c r="R37" s="54">
        <f t="shared" ref="R37:R69" si="2">P37*S37*1.2</f>
        <v>0</v>
      </c>
      <c r="S37" s="103"/>
      <c r="T37" s="36"/>
      <c r="U37" s="46"/>
    </row>
    <row r="38" spans="1:21" ht="15.65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496</v>
      </c>
      <c r="M38" s="11"/>
      <c r="N38" s="67"/>
      <c r="O38" s="76"/>
      <c r="P38" s="76">
        <f t="shared" si="1"/>
        <v>0</v>
      </c>
      <c r="Q38" s="10">
        <f t="shared" ref="Q38:Q67" si="3">P38*(1-S38)*1.063</f>
        <v>0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497</v>
      </c>
      <c r="M39" s="11"/>
      <c r="N39" s="67"/>
      <c r="O39" s="76"/>
      <c r="P39" s="76">
        <f t="shared" si="1"/>
        <v>0</v>
      </c>
      <c r="Q39" s="10">
        <f t="shared" si="3"/>
        <v>0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205" t="s">
        <v>168</v>
      </c>
      <c r="C40" s="842" t="s">
        <v>36</v>
      </c>
      <c r="D40" s="842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498</v>
      </c>
      <c r="M40" s="11"/>
      <c r="N40" s="67"/>
      <c r="O40" s="76"/>
      <c r="P40" s="76">
        <f t="shared" si="1"/>
        <v>0</v>
      </c>
      <c r="Q40" s="10">
        <f t="shared" si="3"/>
        <v>0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33" t="s">
        <v>545</v>
      </c>
      <c r="D41" s="889"/>
      <c r="E41" s="555" t="s">
        <v>34</v>
      </c>
      <c r="F41" s="555" t="s">
        <v>38</v>
      </c>
      <c r="G41" s="842" t="s">
        <v>7</v>
      </c>
      <c r="H41" s="842"/>
      <c r="I41" s="888"/>
      <c r="J41" s="56"/>
      <c r="K41" s="56"/>
      <c r="L41" s="100" t="s">
        <v>499</v>
      </c>
      <c r="M41" s="11"/>
      <c r="N41" s="67"/>
      <c r="O41" s="76"/>
      <c r="P41" s="76">
        <f t="shared" si="1"/>
        <v>0</v>
      </c>
      <c r="Q41" s="10">
        <f t="shared" si="3"/>
        <v>0</v>
      </c>
      <c r="R41" s="54">
        <f t="shared" si="2"/>
        <v>0</v>
      </c>
      <c r="S41" s="103"/>
      <c r="T41" s="36"/>
      <c r="U41" s="46"/>
    </row>
    <row r="42" spans="1:21" ht="16.75" customHeight="1">
      <c r="A42" s="484" t="s">
        <v>530</v>
      </c>
      <c r="B42" s="559">
        <v>27000</v>
      </c>
      <c r="C42" s="903">
        <f>1341+1879+1374+328+1901+2064+1343+1329+1236+1356+676+450+2067-666+2063+1327+1361+2038+1359-635+25+1023-1299+297+2099+64</f>
        <v>26400</v>
      </c>
      <c r="D42" s="904"/>
      <c r="E42" s="559">
        <v>0</v>
      </c>
      <c r="F42" s="447">
        <f t="shared" ref="F42:F46" si="4">B42-C42-E42</f>
        <v>600</v>
      </c>
      <c r="G42" s="903">
        <f t="shared" ref="G42" si="5">SUM(E42:F42)</f>
        <v>600</v>
      </c>
      <c r="H42" s="904"/>
      <c r="I42" s="444"/>
      <c r="J42" s="57">
        <f>B42-C42-G42</f>
        <v>0</v>
      </c>
      <c r="K42" s="440"/>
      <c r="L42" s="100" t="s">
        <v>500</v>
      </c>
      <c r="M42" s="11"/>
      <c r="N42" s="67"/>
      <c r="O42" s="76"/>
      <c r="P42" s="76">
        <f t="shared" si="1"/>
        <v>0</v>
      </c>
      <c r="Q42" s="10">
        <f t="shared" si="3"/>
        <v>0</v>
      </c>
      <c r="R42" s="54">
        <f t="shared" si="2"/>
        <v>0</v>
      </c>
      <c r="S42" s="103"/>
      <c r="T42" s="36"/>
      <c r="U42" s="46"/>
    </row>
    <row r="43" spans="1:21" ht="16.75" customHeight="1">
      <c r="A43" s="517" t="s">
        <v>548</v>
      </c>
      <c r="B43" s="447">
        <v>5906</v>
      </c>
      <c r="C43" s="883">
        <f>1002+1299</f>
        <v>2301</v>
      </c>
      <c r="D43" s="884"/>
      <c r="E43" s="447">
        <v>3605</v>
      </c>
      <c r="F43" s="447">
        <f t="shared" si="4"/>
        <v>0</v>
      </c>
      <c r="G43" s="883">
        <f t="shared" ref="G43:G46" si="6">SUM(E43:F43)</f>
        <v>3605</v>
      </c>
      <c r="H43" s="884"/>
      <c r="I43" s="444"/>
      <c r="J43" s="57">
        <f>B43-C43-G43</f>
        <v>0</v>
      </c>
      <c r="K43" s="57"/>
      <c r="L43" s="100" t="s">
        <v>501</v>
      </c>
      <c r="M43" s="11"/>
      <c r="N43" s="67"/>
      <c r="O43" s="76"/>
      <c r="P43" s="76">
        <f t="shared" si="1"/>
        <v>0</v>
      </c>
      <c r="Q43" s="10">
        <f t="shared" si="3"/>
        <v>0</v>
      </c>
      <c r="R43" s="54">
        <f t="shared" si="2"/>
        <v>0</v>
      </c>
      <c r="S43" s="103"/>
      <c r="T43" s="36"/>
      <c r="U43" s="46"/>
    </row>
    <row r="44" spans="1:21" ht="16.75" customHeight="1">
      <c r="A44" s="516" t="s">
        <v>549</v>
      </c>
      <c r="B44" s="447">
        <v>6090</v>
      </c>
      <c r="C44" s="883"/>
      <c r="D44" s="884"/>
      <c r="E44" s="447">
        <v>6090</v>
      </c>
      <c r="F44" s="447">
        <f t="shared" si="4"/>
        <v>0</v>
      </c>
      <c r="G44" s="883">
        <f t="shared" si="6"/>
        <v>6090</v>
      </c>
      <c r="H44" s="884"/>
      <c r="I44" s="444"/>
      <c r="J44" s="57">
        <f t="shared" ref="J44:J47" si="7">B44-C44-G44</f>
        <v>0</v>
      </c>
      <c r="K44" s="260"/>
      <c r="L44" s="100" t="s">
        <v>502</v>
      </c>
      <c r="M44" s="11"/>
      <c r="N44" s="67"/>
      <c r="O44" s="76"/>
      <c r="P44" s="76">
        <f t="shared" si="1"/>
        <v>0</v>
      </c>
      <c r="Q44" s="10">
        <f t="shared" si="3"/>
        <v>0</v>
      </c>
      <c r="R44" s="54">
        <f t="shared" si="2"/>
        <v>0</v>
      </c>
      <c r="S44" s="103"/>
      <c r="T44" s="36"/>
      <c r="U44" s="46"/>
    </row>
    <row r="45" spans="1:21" ht="16.75" customHeight="1">
      <c r="A45" s="532" t="s">
        <v>550</v>
      </c>
      <c r="B45" s="447">
        <v>25431</v>
      </c>
      <c r="C45" s="894">
        <f>1000+2057+2066+2082+2131+1946</f>
        <v>11282</v>
      </c>
      <c r="D45" s="895"/>
      <c r="E45" s="447">
        <v>3092</v>
      </c>
      <c r="F45" s="447">
        <f t="shared" si="4"/>
        <v>11057</v>
      </c>
      <c r="G45" s="883">
        <f t="shared" si="6"/>
        <v>14149</v>
      </c>
      <c r="H45" s="884"/>
      <c r="I45" s="450"/>
      <c r="J45" s="57">
        <f t="shared" si="7"/>
        <v>0</v>
      </c>
      <c r="K45" s="57"/>
      <c r="L45" s="100" t="s">
        <v>503</v>
      </c>
      <c r="M45" s="11"/>
      <c r="N45" s="67"/>
      <c r="O45" s="76"/>
      <c r="P45" s="76">
        <f t="shared" si="1"/>
        <v>0</v>
      </c>
      <c r="Q45" s="10">
        <f t="shared" si="3"/>
        <v>0</v>
      </c>
      <c r="R45" s="54">
        <f t="shared" si="2"/>
        <v>0</v>
      </c>
      <c r="S45" s="103"/>
      <c r="T45" s="36"/>
      <c r="U45" s="46"/>
    </row>
    <row r="46" spans="1:21" ht="16.75" customHeight="1">
      <c r="A46" s="546" t="s">
        <v>620</v>
      </c>
      <c r="B46" s="447">
        <v>6000</v>
      </c>
      <c r="C46" s="879"/>
      <c r="D46" s="880"/>
      <c r="E46" s="447">
        <v>6000</v>
      </c>
      <c r="F46" s="447">
        <f t="shared" si="4"/>
        <v>0</v>
      </c>
      <c r="G46" s="883">
        <f t="shared" si="6"/>
        <v>6000</v>
      </c>
      <c r="H46" s="884"/>
      <c r="I46" s="444"/>
      <c r="J46" s="57">
        <f t="shared" si="7"/>
        <v>0</v>
      </c>
      <c r="K46" s="57"/>
      <c r="L46" s="100" t="s">
        <v>504</v>
      </c>
      <c r="M46" s="11"/>
      <c r="N46" s="67"/>
      <c r="O46" s="76"/>
      <c r="P46" s="76">
        <f t="shared" si="1"/>
        <v>0</v>
      </c>
      <c r="Q46" s="10">
        <f t="shared" si="3"/>
        <v>0</v>
      </c>
      <c r="R46" s="54">
        <f t="shared" si="2"/>
        <v>0</v>
      </c>
      <c r="S46" s="103"/>
      <c r="T46" s="36"/>
      <c r="U46" s="46"/>
    </row>
    <row r="47" spans="1:21" ht="16.75" customHeight="1">
      <c r="A47" s="148" t="s">
        <v>31</v>
      </c>
      <c r="B47" s="556">
        <f>SUM(B42:B46)</f>
        <v>70427</v>
      </c>
      <c r="C47" s="845">
        <f>SUM(C42:D46)</f>
        <v>39983</v>
      </c>
      <c r="D47" s="845"/>
      <c r="E47" s="556">
        <f>SUM(E42:E46)</f>
        <v>18787</v>
      </c>
      <c r="F47" s="556">
        <f>SUM(F42:F46)</f>
        <v>11657</v>
      </c>
      <c r="G47" s="845">
        <f>SUM(G42:H46)</f>
        <v>30444</v>
      </c>
      <c r="H47" s="845"/>
      <c r="I47" s="371"/>
      <c r="J47" s="57">
        <f t="shared" si="7"/>
        <v>0</v>
      </c>
      <c r="K47" s="57"/>
      <c r="L47" s="100" t="s">
        <v>505</v>
      </c>
      <c r="M47" s="11"/>
      <c r="N47" s="67"/>
      <c r="O47" s="76"/>
      <c r="P47" s="76">
        <f t="shared" si="1"/>
        <v>0</v>
      </c>
      <c r="Q47" s="10">
        <f t="shared" si="3"/>
        <v>0</v>
      </c>
      <c r="R47" s="54">
        <f t="shared" si="2"/>
        <v>0</v>
      </c>
      <c r="S47" s="103"/>
      <c r="T47" s="36"/>
      <c r="U47" s="46"/>
    </row>
    <row r="48" spans="1:21">
      <c r="D48" s="221"/>
      <c r="J48" s="541"/>
      <c r="K48" s="57"/>
      <c r="L48" s="100" t="s">
        <v>506</v>
      </c>
      <c r="M48" s="11"/>
      <c r="N48" s="67"/>
      <c r="O48" s="76"/>
      <c r="P48" s="76">
        <f t="shared" si="1"/>
        <v>0</v>
      </c>
      <c r="Q48" s="10">
        <f t="shared" si="3"/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5" t="s">
        <v>78</v>
      </c>
      <c r="F49" s="42"/>
      <c r="G49" s="42"/>
      <c r="J49" s="7"/>
      <c r="K49" s="56"/>
      <c r="L49" s="100" t="s">
        <v>507</v>
      </c>
      <c r="M49" s="11"/>
      <c r="N49" s="67"/>
      <c r="O49" s="76"/>
      <c r="P49" s="76">
        <f t="shared" si="1"/>
        <v>0</v>
      </c>
      <c r="Q49" s="10">
        <f t="shared" si="3"/>
        <v>0</v>
      </c>
      <c r="R49" s="54">
        <f t="shared" si="2"/>
        <v>0</v>
      </c>
      <c r="S49" s="103"/>
      <c r="T49" s="36"/>
      <c r="U49" s="46"/>
    </row>
    <row r="50" spans="1:21" ht="14.4" customHeight="1">
      <c r="A50" s="833" t="s">
        <v>1</v>
      </c>
      <c r="B50" s="835" t="s">
        <v>37</v>
      </c>
      <c r="C50" s="836"/>
      <c r="D50" s="837" t="s">
        <v>35</v>
      </c>
      <c r="E50" s="838"/>
      <c r="F50" s="837" t="s">
        <v>36</v>
      </c>
      <c r="G50" s="838"/>
      <c r="H50" s="839" t="s">
        <v>6</v>
      </c>
      <c r="I50" s="836"/>
      <c r="J50" s="104"/>
      <c r="K50" s="104"/>
      <c r="L50" s="100" t="s">
        <v>508</v>
      </c>
      <c r="M50" s="11"/>
      <c r="N50" s="67"/>
      <c r="O50" s="76"/>
      <c r="P50" s="76">
        <f t="shared" si="1"/>
        <v>0</v>
      </c>
      <c r="Q50" s="10">
        <f t="shared" si="3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834"/>
      <c r="B51" s="554" t="s">
        <v>3</v>
      </c>
      <c r="C51" s="152" t="s">
        <v>82</v>
      </c>
      <c r="D51" s="554" t="s">
        <v>80</v>
      </c>
      <c r="E51" s="152" t="s">
        <v>81</v>
      </c>
      <c r="F51" s="152" t="s">
        <v>80</v>
      </c>
      <c r="G51" s="151" t="s">
        <v>81</v>
      </c>
      <c r="H51" s="840"/>
      <c r="I51" s="841"/>
      <c r="J51" s="104"/>
      <c r="K51" s="104"/>
      <c r="L51" s="100" t="s">
        <v>509</v>
      </c>
      <c r="M51" s="11"/>
      <c r="N51" s="67"/>
      <c r="O51" s="76"/>
      <c r="P51" s="76">
        <f t="shared" si="1"/>
        <v>0</v>
      </c>
      <c r="Q51" s="10">
        <f t="shared" si="3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160" t="s">
        <v>85</v>
      </c>
      <c r="B52" s="149">
        <v>152</v>
      </c>
      <c r="C52" s="154">
        <v>131</v>
      </c>
      <c r="D52" s="184">
        <v>0</v>
      </c>
      <c r="E52" s="153">
        <v>854</v>
      </c>
      <c r="F52" s="153">
        <v>0</v>
      </c>
      <c r="G52" s="185">
        <v>891</v>
      </c>
      <c r="H52" s="846">
        <f>B52+D52-F52</f>
        <v>152</v>
      </c>
      <c r="I52" s="847"/>
      <c r="J52" s="240"/>
      <c r="K52" s="104"/>
      <c r="L52" s="100" t="s">
        <v>510</v>
      </c>
      <c r="M52" s="11"/>
      <c r="N52" s="67"/>
      <c r="O52" s="76"/>
      <c r="P52" s="76">
        <f t="shared" si="1"/>
        <v>0</v>
      </c>
      <c r="Q52" s="10">
        <f t="shared" si="3"/>
        <v>0</v>
      </c>
      <c r="R52" s="54">
        <f t="shared" si="2"/>
        <v>0</v>
      </c>
      <c r="S52" s="103"/>
      <c r="T52" s="36"/>
      <c r="U52" s="46"/>
    </row>
    <row r="53" spans="1:21" ht="16.3" customHeight="1">
      <c r="A53" s="149" t="s">
        <v>79</v>
      </c>
      <c r="B53" s="149">
        <v>70</v>
      </c>
      <c r="C53" s="551">
        <v>93</v>
      </c>
      <c r="D53" s="184">
        <v>0</v>
      </c>
      <c r="E53" s="153">
        <v>408</v>
      </c>
      <c r="F53" s="153">
        <v>0</v>
      </c>
      <c r="G53" s="185">
        <v>430</v>
      </c>
      <c r="H53" s="846">
        <f>B53+D53-F53</f>
        <v>70</v>
      </c>
      <c r="I53" s="847"/>
      <c r="J53" s="241"/>
      <c r="K53" s="240"/>
      <c r="L53" s="100" t="s">
        <v>511</v>
      </c>
      <c r="M53" s="11"/>
      <c r="N53" s="67"/>
      <c r="O53" s="76"/>
      <c r="P53" s="76">
        <f t="shared" si="1"/>
        <v>0</v>
      </c>
      <c r="Q53" s="10">
        <f t="shared" si="3"/>
        <v>0</v>
      </c>
      <c r="R53" s="54">
        <f t="shared" si="2"/>
        <v>0</v>
      </c>
      <c r="S53" s="103"/>
      <c r="T53" s="36"/>
      <c r="U53" s="46"/>
    </row>
    <row r="54" spans="1:21" ht="16.3" customHeight="1">
      <c r="A54" s="149" t="s">
        <v>77</v>
      </c>
      <c r="B54" s="149">
        <f>SUM(B52:B53)</f>
        <v>222</v>
      </c>
      <c r="C54" s="149">
        <f>SUM(C52:C53)</f>
        <v>224</v>
      </c>
      <c r="D54" s="149">
        <f t="shared" ref="D54:G54" si="8">SUM(D52:D53)</f>
        <v>0</v>
      </c>
      <c r="E54" s="149">
        <f t="shared" si="8"/>
        <v>1262</v>
      </c>
      <c r="F54" s="149">
        <f t="shared" si="8"/>
        <v>0</v>
      </c>
      <c r="G54" s="149">
        <f t="shared" si="8"/>
        <v>1321</v>
      </c>
      <c r="H54" s="846">
        <f t="shared" ref="H54" si="9">B54+D54-F54</f>
        <v>222</v>
      </c>
      <c r="I54" s="847"/>
      <c r="J54" s="495"/>
      <c r="K54" s="241"/>
      <c r="L54" s="100" t="s">
        <v>512</v>
      </c>
      <c r="M54" s="11"/>
      <c r="N54" s="67"/>
      <c r="O54" s="76"/>
      <c r="P54" s="76">
        <f t="shared" si="1"/>
        <v>0</v>
      </c>
      <c r="Q54" s="10">
        <f t="shared" si="3"/>
        <v>0</v>
      </c>
      <c r="R54" s="54">
        <f t="shared" si="2"/>
        <v>0</v>
      </c>
      <c r="S54" s="103"/>
      <c r="T54" s="36"/>
      <c r="U54" s="46"/>
    </row>
    <row r="55" spans="1:21" ht="16.3" customHeight="1">
      <c r="K55" s="127"/>
      <c r="L55" s="100" t="s">
        <v>513</v>
      </c>
      <c r="M55" s="67"/>
      <c r="N55" s="67"/>
      <c r="O55" s="76"/>
      <c r="P55" s="76">
        <f t="shared" si="1"/>
        <v>0</v>
      </c>
      <c r="Q55" s="10">
        <f t="shared" si="3"/>
        <v>0</v>
      </c>
      <c r="R55" s="54">
        <f t="shared" si="2"/>
        <v>0</v>
      </c>
      <c r="S55" s="103"/>
      <c r="T55" s="36"/>
      <c r="U55" s="46"/>
    </row>
    <row r="56" spans="1:21" ht="16.75" customHeight="1">
      <c r="A56" s="15" t="s">
        <v>321</v>
      </c>
      <c r="B56" s="115"/>
      <c r="F56" s="115"/>
      <c r="H56" s="150"/>
      <c r="J56" s="396"/>
      <c r="L56" s="100" t="s">
        <v>514</v>
      </c>
      <c r="M56" s="11"/>
      <c r="N56" s="67"/>
      <c r="O56" s="76"/>
      <c r="P56" s="76">
        <f t="shared" si="1"/>
        <v>0</v>
      </c>
      <c r="Q56" s="10">
        <f t="shared" si="3"/>
        <v>0</v>
      </c>
      <c r="R56" s="54">
        <f t="shared" si="2"/>
        <v>0</v>
      </c>
      <c r="S56" s="103"/>
      <c r="T56" s="36"/>
      <c r="U56" s="46"/>
    </row>
    <row r="57" spans="1:21" ht="19.899999999999999" customHeight="1">
      <c r="A57" s="194" t="s">
        <v>153</v>
      </c>
      <c r="B57" s="194" t="s">
        <v>154</v>
      </c>
      <c r="C57" s="194" t="s">
        <v>155</v>
      </c>
      <c r="D57" s="194" t="s">
        <v>156</v>
      </c>
      <c r="E57" s="194" t="s">
        <v>54</v>
      </c>
      <c r="F57" s="194" t="s">
        <v>161</v>
      </c>
      <c r="G57" s="116"/>
      <c r="H57" s="394" t="s">
        <v>403</v>
      </c>
      <c r="J57" s="59"/>
      <c r="K57" s="127"/>
      <c r="L57" s="100" t="s">
        <v>515</v>
      </c>
      <c r="M57" s="11"/>
      <c r="N57" s="67"/>
      <c r="O57" s="76"/>
      <c r="P57" s="76">
        <f t="shared" si="1"/>
        <v>0</v>
      </c>
      <c r="Q57" s="10">
        <f t="shared" si="3"/>
        <v>0</v>
      </c>
      <c r="R57" s="54">
        <f t="shared" si="2"/>
        <v>0</v>
      </c>
      <c r="S57" s="103"/>
      <c r="T57" s="36"/>
      <c r="U57" s="46"/>
    </row>
    <row r="58" spans="1:21" ht="19.899999999999999" customHeight="1">
      <c r="A58" s="195" t="s">
        <v>160</v>
      </c>
      <c r="B58" s="196">
        <v>0</v>
      </c>
      <c r="C58" s="196">
        <v>0</v>
      </c>
      <c r="D58" s="196">
        <v>1320</v>
      </c>
      <c r="E58" s="556">
        <v>1320</v>
      </c>
      <c r="F58" s="556">
        <f>D58-E58</f>
        <v>0</v>
      </c>
      <c r="G58" s="51"/>
      <c r="H58" s="51"/>
      <c r="J58" s="59"/>
      <c r="K58" s="59"/>
      <c r="L58" s="100" t="s">
        <v>516</v>
      </c>
      <c r="M58" s="11"/>
      <c r="N58" s="67"/>
      <c r="O58" s="76"/>
      <c r="P58" s="76">
        <f t="shared" si="1"/>
        <v>0</v>
      </c>
      <c r="Q58" s="10">
        <f t="shared" si="3"/>
        <v>0</v>
      </c>
      <c r="R58" s="54">
        <f t="shared" si="2"/>
        <v>0</v>
      </c>
      <c r="S58" s="103"/>
      <c r="T58" s="36"/>
      <c r="U58" s="46"/>
    </row>
    <row r="59" spans="1:21" ht="19.899999999999999" customHeight="1">
      <c r="A59" s="195" t="s">
        <v>157</v>
      </c>
      <c r="B59" s="90">
        <v>1300</v>
      </c>
      <c r="C59" s="90"/>
      <c r="D59" s="90">
        <v>2164</v>
      </c>
      <c r="E59" s="556">
        <f>D58+B59</f>
        <v>2620</v>
      </c>
      <c r="F59" s="556">
        <f t="shared" ref="F59:F116" si="10">D59-E59</f>
        <v>-456</v>
      </c>
      <c r="G59" s="51"/>
      <c r="H59" s="117">
        <v>56</v>
      </c>
      <c r="I59" s="13">
        <v>10</v>
      </c>
      <c r="J59" s="13">
        <f>I59*H59</f>
        <v>560</v>
      </c>
      <c r="K59" s="59"/>
      <c r="L59" s="100" t="s">
        <v>517</v>
      </c>
      <c r="M59" s="11"/>
      <c r="N59" s="67"/>
      <c r="O59" s="76"/>
      <c r="P59" s="76">
        <f t="shared" si="1"/>
        <v>0</v>
      </c>
      <c r="Q59" s="10">
        <f t="shared" si="3"/>
        <v>0</v>
      </c>
      <c r="R59" s="54">
        <f t="shared" si="2"/>
        <v>0</v>
      </c>
      <c r="S59" s="103"/>
      <c r="T59" s="36"/>
      <c r="U59" s="46"/>
    </row>
    <row r="60" spans="1:21" ht="19.899999999999999" customHeight="1">
      <c r="A60" s="195" t="s">
        <v>73</v>
      </c>
      <c r="B60" s="90">
        <v>1800</v>
      </c>
      <c r="C60" s="90"/>
      <c r="D60" s="90">
        <v>4094</v>
      </c>
      <c r="E60" s="556">
        <f>E59+B60</f>
        <v>4420</v>
      </c>
      <c r="F60" s="556">
        <f t="shared" si="10"/>
        <v>-326</v>
      </c>
      <c r="G60" s="51"/>
      <c r="H60" s="117">
        <v>109</v>
      </c>
      <c r="I60" s="13">
        <v>8</v>
      </c>
      <c r="J60" s="13">
        <f t="shared" ref="J60:J61" si="11">I60*H60</f>
        <v>872</v>
      </c>
      <c r="L60" s="100" t="s">
        <v>518</v>
      </c>
      <c r="M60" s="11"/>
      <c r="N60" s="67"/>
      <c r="O60" s="76"/>
      <c r="P60" s="76">
        <f t="shared" si="1"/>
        <v>0</v>
      </c>
      <c r="Q60" s="10">
        <f t="shared" si="3"/>
        <v>0</v>
      </c>
      <c r="R60" s="54">
        <f t="shared" si="2"/>
        <v>0</v>
      </c>
      <c r="S60" s="103"/>
      <c r="T60" s="36"/>
      <c r="U60" s="46"/>
    </row>
    <row r="61" spans="1:21" ht="19.899999999999999" customHeight="1">
      <c r="A61" s="195" t="s">
        <v>158</v>
      </c>
      <c r="B61" s="90">
        <v>1200</v>
      </c>
      <c r="C61" s="90"/>
      <c r="D61" s="90">
        <v>5448</v>
      </c>
      <c r="E61" s="556">
        <f>E60+B61</f>
        <v>5620</v>
      </c>
      <c r="F61" s="556">
        <f t="shared" si="10"/>
        <v>-172</v>
      </c>
      <c r="G61" s="118"/>
      <c r="H61" s="117">
        <v>191</v>
      </c>
      <c r="I61" s="13">
        <v>6</v>
      </c>
      <c r="J61" s="13">
        <f t="shared" si="11"/>
        <v>1146</v>
      </c>
      <c r="L61" s="100" t="s">
        <v>519</v>
      </c>
      <c r="M61" s="11"/>
      <c r="N61" s="67"/>
      <c r="O61" s="76"/>
      <c r="P61" s="76">
        <f t="shared" si="1"/>
        <v>0</v>
      </c>
      <c r="Q61" s="10">
        <f t="shared" si="3"/>
        <v>0</v>
      </c>
      <c r="R61" s="54">
        <f t="shared" si="2"/>
        <v>0</v>
      </c>
      <c r="S61" s="103"/>
      <c r="T61" s="36"/>
      <c r="U61" s="46"/>
    </row>
    <row r="62" spans="1:21" ht="19.899999999999999" customHeight="1">
      <c r="A62" s="195" t="s">
        <v>159</v>
      </c>
      <c r="B62" s="90">
        <v>614</v>
      </c>
      <c r="C62" s="90">
        <v>88</v>
      </c>
      <c r="D62" s="90">
        <v>5673</v>
      </c>
      <c r="E62" s="556">
        <f>E61+B62-C62</f>
        <v>6146</v>
      </c>
      <c r="F62" s="556">
        <f t="shared" si="10"/>
        <v>-473</v>
      </c>
      <c r="G62" s="119"/>
      <c r="H62" s="118">
        <f>J62/I62</f>
        <v>107.41666666666667</v>
      </c>
      <c r="I62" s="461">
        <f t="shared" ref="I62:J62" si="12">SUM(I59:I61)</f>
        <v>24</v>
      </c>
      <c r="J62" s="60">
        <f t="shared" si="12"/>
        <v>2578</v>
      </c>
      <c r="L62" s="100" t="s">
        <v>520</v>
      </c>
      <c r="M62" s="11"/>
      <c r="N62" s="67"/>
      <c r="O62" s="76"/>
      <c r="P62" s="76">
        <f t="shared" si="1"/>
        <v>0</v>
      </c>
      <c r="Q62" s="10">
        <f t="shared" si="3"/>
        <v>0</v>
      </c>
      <c r="R62" s="54">
        <f t="shared" si="2"/>
        <v>0</v>
      </c>
      <c r="S62" s="103"/>
      <c r="T62" s="36"/>
      <c r="U62" s="46"/>
    </row>
    <row r="63" spans="1:21" ht="19.899999999999999" customHeight="1">
      <c r="A63" s="195" t="s">
        <v>162</v>
      </c>
      <c r="B63" s="90">
        <v>1248</v>
      </c>
      <c r="C63" s="90"/>
      <c r="D63" s="90">
        <v>7027</v>
      </c>
      <c r="E63" s="556">
        <f>E62+B63-C63</f>
        <v>7394</v>
      </c>
      <c r="F63" s="556">
        <f t="shared" si="10"/>
        <v>-367</v>
      </c>
      <c r="G63" s="119"/>
      <c r="H63" s="118"/>
      <c r="L63" s="100" t="s">
        <v>521</v>
      </c>
      <c r="M63" s="11"/>
      <c r="N63" s="67"/>
      <c r="O63" s="76"/>
      <c r="P63" s="76">
        <f t="shared" si="1"/>
        <v>0</v>
      </c>
      <c r="Q63" s="10">
        <f t="shared" si="3"/>
        <v>0</v>
      </c>
      <c r="R63" s="54">
        <f t="shared" si="2"/>
        <v>0</v>
      </c>
      <c r="S63" s="103"/>
      <c r="T63" s="36"/>
      <c r="U63" s="46"/>
    </row>
    <row r="64" spans="1:21">
      <c r="A64" s="195" t="s">
        <v>163</v>
      </c>
      <c r="B64" s="556">
        <v>943</v>
      </c>
      <c r="C64" s="556">
        <v>58</v>
      </c>
      <c r="D64" s="556">
        <v>8155</v>
      </c>
      <c r="E64" s="556">
        <f>E63+B64-C64</f>
        <v>8279</v>
      </c>
      <c r="F64" s="556">
        <f t="shared" si="10"/>
        <v>-124</v>
      </c>
      <c r="L64" s="100" t="s">
        <v>522</v>
      </c>
      <c r="M64" s="11"/>
      <c r="N64" s="67"/>
      <c r="O64" s="76"/>
      <c r="P64" s="76">
        <f t="shared" si="1"/>
        <v>0</v>
      </c>
      <c r="Q64" s="10">
        <f t="shared" si="3"/>
        <v>0</v>
      </c>
      <c r="R64" s="54">
        <f t="shared" si="2"/>
        <v>0</v>
      </c>
      <c r="S64" s="103"/>
      <c r="T64" s="36"/>
      <c r="U64" s="46"/>
    </row>
    <row r="65" spans="1:21">
      <c r="A65" s="195" t="s">
        <v>164</v>
      </c>
      <c r="B65" s="556">
        <v>0</v>
      </c>
      <c r="C65" s="197"/>
      <c r="D65" s="198">
        <v>8155</v>
      </c>
      <c r="E65" s="556">
        <f t="shared" ref="E65:E116" si="13">E64+B65-C65</f>
        <v>8279</v>
      </c>
      <c r="F65" s="556">
        <f t="shared" si="10"/>
        <v>-124</v>
      </c>
      <c r="L65" s="100" t="s">
        <v>523</v>
      </c>
      <c r="M65" s="11"/>
      <c r="N65" s="67"/>
      <c r="O65" s="76"/>
      <c r="P65" s="76">
        <f t="shared" si="1"/>
        <v>0</v>
      </c>
      <c r="Q65" s="10">
        <f t="shared" si="3"/>
        <v>0</v>
      </c>
      <c r="R65" s="54">
        <f t="shared" si="2"/>
        <v>0</v>
      </c>
      <c r="S65" s="103"/>
      <c r="T65" s="36"/>
      <c r="U65" s="46"/>
    </row>
    <row r="66" spans="1:21">
      <c r="A66" s="195" t="s">
        <v>165</v>
      </c>
      <c r="B66" s="556">
        <v>1111</v>
      </c>
      <c r="C66" s="197"/>
      <c r="D66" s="198">
        <v>9058</v>
      </c>
      <c r="E66" s="556">
        <f t="shared" si="13"/>
        <v>9390</v>
      </c>
      <c r="F66" s="556">
        <f t="shared" si="10"/>
        <v>-332</v>
      </c>
      <c r="L66" s="100" t="s">
        <v>524</v>
      </c>
      <c r="M66" s="11"/>
      <c r="N66" s="67"/>
      <c r="O66" s="76"/>
      <c r="P66" s="76">
        <f t="shared" si="1"/>
        <v>0</v>
      </c>
      <c r="Q66" s="10">
        <f t="shared" si="3"/>
        <v>0</v>
      </c>
      <c r="R66" s="54">
        <f t="shared" si="2"/>
        <v>0</v>
      </c>
      <c r="S66" s="103"/>
      <c r="T66" s="36"/>
      <c r="U66" s="46"/>
    </row>
    <row r="67" spans="1:21">
      <c r="A67" s="277" t="s">
        <v>258</v>
      </c>
      <c r="B67" s="90">
        <v>0</v>
      </c>
      <c r="C67" s="90">
        <v>147</v>
      </c>
      <c r="D67" s="198">
        <v>8832</v>
      </c>
      <c r="E67" s="556">
        <f t="shared" si="13"/>
        <v>9243</v>
      </c>
      <c r="F67" s="556">
        <f t="shared" si="10"/>
        <v>-411</v>
      </c>
      <c r="L67" s="100" t="s">
        <v>525</v>
      </c>
      <c r="M67" s="11"/>
      <c r="N67" s="76"/>
      <c r="O67" s="76"/>
      <c r="P67" s="76">
        <f t="shared" si="1"/>
        <v>0</v>
      </c>
      <c r="Q67" s="10">
        <f t="shared" si="3"/>
        <v>0</v>
      </c>
      <c r="R67" s="54">
        <f t="shared" si="2"/>
        <v>0</v>
      </c>
      <c r="S67" s="103"/>
      <c r="T67" s="36"/>
      <c r="U67" s="46"/>
    </row>
    <row r="68" spans="1:21">
      <c r="A68" s="277" t="s">
        <v>124</v>
      </c>
      <c r="B68" s="90">
        <v>0</v>
      </c>
      <c r="C68" s="90">
        <v>138</v>
      </c>
      <c r="D68" s="198">
        <v>8742</v>
      </c>
      <c r="E68" s="556">
        <f t="shared" si="13"/>
        <v>9105</v>
      </c>
      <c r="F68" s="556">
        <f t="shared" si="10"/>
        <v>-363</v>
      </c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:21">
      <c r="A69" s="277" t="s">
        <v>125</v>
      </c>
      <c r="B69" s="90">
        <v>0</v>
      </c>
      <c r="C69" s="90">
        <v>555</v>
      </c>
      <c r="D69" s="198">
        <v>8291</v>
      </c>
      <c r="E69" s="556">
        <f t="shared" si="13"/>
        <v>8550</v>
      </c>
      <c r="F69" s="556">
        <f t="shared" si="10"/>
        <v>-259</v>
      </c>
      <c r="L69" s="100"/>
      <c r="M69" s="11"/>
      <c r="N69" s="67"/>
      <c r="O69" s="76"/>
      <c r="P69" s="76"/>
      <c r="Q69" s="10">
        <f t="shared" ref="Q69:Q70" si="14">P69*(1-S69)*1.057</f>
        <v>0</v>
      </c>
      <c r="R69" s="54">
        <f t="shared" si="2"/>
        <v>0</v>
      </c>
      <c r="S69" s="103"/>
      <c r="T69" s="36"/>
      <c r="U69" s="46"/>
    </row>
    <row r="70" spans="1:21">
      <c r="A70" s="277" t="s">
        <v>126</v>
      </c>
      <c r="B70" s="90">
        <v>0</v>
      </c>
      <c r="C70" s="90">
        <v>113</v>
      </c>
      <c r="D70" s="198">
        <v>8155</v>
      </c>
      <c r="E70" s="556">
        <f t="shared" si="13"/>
        <v>8437</v>
      </c>
      <c r="F70" s="556">
        <f t="shared" si="10"/>
        <v>-282</v>
      </c>
      <c r="L70" s="11" t="s">
        <v>7</v>
      </c>
      <c r="M70" s="120">
        <f t="shared" ref="M70:R70" si="15">SUM(M37:M69)</f>
        <v>0</v>
      </c>
      <c r="N70" s="120">
        <f t="shared" si="15"/>
        <v>0</v>
      </c>
      <c r="O70" s="61">
        <f t="shared" si="15"/>
        <v>0</v>
      </c>
      <c r="P70" s="61">
        <f t="shared" si="15"/>
        <v>0</v>
      </c>
      <c r="Q70" s="10">
        <f t="shared" si="14"/>
        <v>0</v>
      </c>
      <c r="R70" s="61">
        <f t="shared" si="15"/>
        <v>0</v>
      </c>
      <c r="S70" s="62"/>
      <c r="T70" s="113"/>
      <c r="U70" s="46"/>
    </row>
    <row r="71" spans="1:21">
      <c r="A71" s="277" t="s">
        <v>127</v>
      </c>
      <c r="B71" s="90">
        <v>0</v>
      </c>
      <c r="C71" s="90">
        <v>197</v>
      </c>
      <c r="D71" s="198">
        <v>7930</v>
      </c>
      <c r="E71" s="556">
        <f t="shared" si="13"/>
        <v>8240</v>
      </c>
      <c r="F71" s="556">
        <f t="shared" si="10"/>
        <v>-310</v>
      </c>
      <c r="L71" s="101" t="s">
        <v>56</v>
      </c>
      <c r="M71" s="9"/>
      <c r="Q71" s="36"/>
      <c r="S71" s="63"/>
      <c r="T71" s="70"/>
      <c r="U71" s="69"/>
    </row>
    <row r="72" spans="1:21">
      <c r="A72" s="277" t="s">
        <v>128</v>
      </c>
      <c r="B72" s="90">
        <v>225</v>
      </c>
      <c r="C72" s="90">
        <v>0</v>
      </c>
      <c r="D72" s="198">
        <v>7930</v>
      </c>
      <c r="E72" s="556">
        <f t="shared" si="13"/>
        <v>8465</v>
      </c>
      <c r="F72" s="556">
        <f t="shared" si="10"/>
        <v>-535</v>
      </c>
      <c r="Q72" s="49"/>
      <c r="R72" s="64"/>
    </row>
    <row r="73" spans="1:21">
      <c r="A73" s="277" t="s">
        <v>129</v>
      </c>
      <c r="B73" s="90">
        <v>1803</v>
      </c>
      <c r="C73" s="90">
        <v>0</v>
      </c>
      <c r="D73" s="198">
        <v>9509</v>
      </c>
      <c r="E73" s="556">
        <f t="shared" si="13"/>
        <v>10268</v>
      </c>
      <c r="F73" s="556">
        <f t="shared" si="10"/>
        <v>-759</v>
      </c>
      <c r="M73" s="114"/>
      <c r="Q73" s="111"/>
    </row>
    <row r="74" spans="1:21">
      <c r="A74" s="277" t="s">
        <v>130</v>
      </c>
      <c r="B74" s="90">
        <v>245</v>
      </c>
      <c r="C74" s="90">
        <v>88</v>
      </c>
      <c r="D74" s="198">
        <v>10006</v>
      </c>
      <c r="E74" s="556">
        <f t="shared" si="13"/>
        <v>10425</v>
      </c>
      <c r="F74" s="556">
        <f t="shared" si="10"/>
        <v>-419</v>
      </c>
    </row>
    <row r="75" spans="1:21">
      <c r="A75" s="277" t="s">
        <v>131</v>
      </c>
      <c r="B75" s="90">
        <v>0</v>
      </c>
      <c r="C75" s="90">
        <v>189</v>
      </c>
      <c r="D75" s="198">
        <v>9870</v>
      </c>
      <c r="E75" s="556">
        <f t="shared" si="13"/>
        <v>10236</v>
      </c>
      <c r="F75" s="556">
        <f t="shared" si="10"/>
        <v>-366</v>
      </c>
    </row>
    <row r="76" spans="1:21">
      <c r="A76" s="277" t="s">
        <v>132</v>
      </c>
      <c r="B76" s="90">
        <v>0</v>
      </c>
      <c r="C76" s="90">
        <v>58</v>
      </c>
      <c r="D76" s="198">
        <v>9735</v>
      </c>
      <c r="E76" s="556">
        <f t="shared" si="13"/>
        <v>10178</v>
      </c>
      <c r="F76" s="556">
        <f t="shared" si="10"/>
        <v>-443</v>
      </c>
    </row>
    <row r="77" spans="1:21">
      <c r="A77" s="277" t="s">
        <v>133</v>
      </c>
      <c r="B77" s="90">
        <v>0</v>
      </c>
      <c r="C77" s="90">
        <v>91</v>
      </c>
      <c r="D77" s="198">
        <v>9645</v>
      </c>
      <c r="E77" s="556">
        <f t="shared" si="13"/>
        <v>10087</v>
      </c>
      <c r="F77" s="556">
        <f t="shared" si="10"/>
        <v>-442</v>
      </c>
    </row>
    <row r="78" spans="1:21">
      <c r="A78" s="310" t="s">
        <v>282</v>
      </c>
      <c r="B78" s="90">
        <v>0</v>
      </c>
      <c r="C78" s="90">
        <v>118</v>
      </c>
      <c r="D78" s="198">
        <v>9527</v>
      </c>
      <c r="E78" s="556">
        <f t="shared" si="13"/>
        <v>9969</v>
      </c>
      <c r="F78" s="556">
        <f t="shared" si="10"/>
        <v>-442</v>
      </c>
    </row>
    <row r="79" spans="1:21">
      <c r="A79" s="316" t="s">
        <v>318</v>
      </c>
      <c r="B79" s="90">
        <v>856</v>
      </c>
      <c r="C79" s="90">
        <v>0</v>
      </c>
      <c r="D79" s="198">
        <v>10638</v>
      </c>
      <c r="E79" s="556">
        <f t="shared" si="13"/>
        <v>10825</v>
      </c>
      <c r="F79" s="556">
        <f t="shared" si="10"/>
        <v>-187</v>
      </c>
    </row>
    <row r="80" spans="1:21">
      <c r="A80" s="316" t="s">
        <v>319</v>
      </c>
      <c r="B80" s="90">
        <v>0</v>
      </c>
      <c r="C80" s="90">
        <v>88</v>
      </c>
      <c r="D80" s="198">
        <v>10728</v>
      </c>
      <c r="E80" s="556">
        <f t="shared" si="13"/>
        <v>10737</v>
      </c>
      <c r="F80" s="556">
        <f t="shared" si="10"/>
        <v>-9</v>
      </c>
    </row>
    <row r="81" spans="1:18">
      <c r="A81" s="316" t="s">
        <v>320</v>
      </c>
      <c r="B81" s="90">
        <v>0</v>
      </c>
      <c r="C81" s="90">
        <v>88</v>
      </c>
      <c r="D81" s="198">
        <v>10638</v>
      </c>
      <c r="E81" s="556">
        <f t="shared" si="13"/>
        <v>10649</v>
      </c>
      <c r="F81" s="556">
        <f t="shared" si="10"/>
        <v>-11</v>
      </c>
    </row>
    <row r="82" spans="1:18">
      <c r="A82" s="316" t="s">
        <v>323</v>
      </c>
      <c r="B82" s="90">
        <v>0</v>
      </c>
      <c r="C82" s="90">
        <v>58</v>
      </c>
      <c r="D82" s="198">
        <v>10593</v>
      </c>
      <c r="E82" s="556">
        <f t="shared" si="13"/>
        <v>10591</v>
      </c>
      <c r="F82" s="556">
        <f t="shared" si="10"/>
        <v>2</v>
      </c>
      <c r="N82" s="46"/>
      <c r="O82" s="46"/>
      <c r="P82" s="46"/>
      <c r="Q82" s="65"/>
      <c r="R82" s="65"/>
    </row>
    <row r="83" spans="1:18">
      <c r="A83" s="317" t="s">
        <v>324</v>
      </c>
      <c r="B83" s="90">
        <v>0</v>
      </c>
      <c r="C83" s="90">
        <v>115</v>
      </c>
      <c r="D83" s="198">
        <v>10362</v>
      </c>
      <c r="E83" s="556">
        <f t="shared" si="13"/>
        <v>10476</v>
      </c>
      <c r="F83" s="556">
        <f t="shared" si="10"/>
        <v>-114</v>
      </c>
      <c r="M83" s="72"/>
    </row>
    <row r="84" spans="1:18">
      <c r="A84" s="317" t="s">
        <v>325</v>
      </c>
      <c r="B84" s="90">
        <v>0</v>
      </c>
      <c r="C84" s="90">
        <v>146</v>
      </c>
      <c r="D84" s="198">
        <v>10186</v>
      </c>
      <c r="E84" s="556">
        <f t="shared" si="13"/>
        <v>10330</v>
      </c>
      <c r="F84" s="556">
        <f t="shared" si="10"/>
        <v>-144</v>
      </c>
      <c r="M84" s="72"/>
    </row>
    <row r="85" spans="1:18">
      <c r="A85" s="325" t="s">
        <v>329</v>
      </c>
      <c r="B85" s="90">
        <v>0</v>
      </c>
      <c r="C85" s="90">
        <v>88</v>
      </c>
      <c r="D85" s="198">
        <v>10096</v>
      </c>
      <c r="E85" s="556">
        <f t="shared" si="13"/>
        <v>10242</v>
      </c>
      <c r="F85" s="556">
        <f t="shared" si="10"/>
        <v>-146</v>
      </c>
      <c r="L85" s="284"/>
      <c r="M85" s="72"/>
    </row>
    <row r="86" spans="1:18">
      <c r="A86" s="325" t="s">
        <v>331</v>
      </c>
      <c r="B86" s="90">
        <v>0</v>
      </c>
      <c r="C86" s="90">
        <v>58</v>
      </c>
      <c r="D86" s="198">
        <v>10051</v>
      </c>
      <c r="E86" s="556">
        <f t="shared" si="13"/>
        <v>10184</v>
      </c>
      <c r="F86" s="556">
        <f t="shared" si="10"/>
        <v>-133</v>
      </c>
      <c r="L86" s="284"/>
    </row>
    <row r="87" spans="1:18">
      <c r="A87" s="325" t="s">
        <v>332</v>
      </c>
      <c r="B87" s="90">
        <v>0</v>
      </c>
      <c r="C87" s="90">
        <v>58</v>
      </c>
      <c r="D87" s="198">
        <v>9961</v>
      </c>
      <c r="E87" s="556">
        <f t="shared" si="13"/>
        <v>10126</v>
      </c>
      <c r="F87" s="556">
        <f t="shared" si="10"/>
        <v>-165</v>
      </c>
    </row>
    <row r="88" spans="1:18">
      <c r="A88" s="325" t="s">
        <v>333</v>
      </c>
      <c r="B88" s="90">
        <v>0</v>
      </c>
      <c r="C88" s="90">
        <v>59</v>
      </c>
      <c r="D88" s="198">
        <v>9961</v>
      </c>
      <c r="E88" s="556">
        <f t="shared" si="13"/>
        <v>10067</v>
      </c>
      <c r="F88" s="556">
        <f t="shared" si="10"/>
        <v>-106</v>
      </c>
      <c r="L88" s="284"/>
    </row>
    <row r="89" spans="1:18">
      <c r="A89" s="325" t="s">
        <v>334</v>
      </c>
      <c r="B89" s="90">
        <v>0</v>
      </c>
      <c r="C89" s="90">
        <v>117</v>
      </c>
      <c r="D89" s="198">
        <v>9780</v>
      </c>
      <c r="E89" s="556">
        <f t="shared" si="13"/>
        <v>9950</v>
      </c>
      <c r="F89" s="556">
        <f t="shared" si="10"/>
        <v>-170</v>
      </c>
      <c r="L89" s="284"/>
      <c r="M89" s="284"/>
    </row>
    <row r="90" spans="1:18">
      <c r="A90" s="325" t="s">
        <v>335</v>
      </c>
      <c r="B90" s="90">
        <v>0</v>
      </c>
      <c r="C90" s="90">
        <v>27</v>
      </c>
      <c r="D90" s="198">
        <v>9735</v>
      </c>
      <c r="E90" s="556">
        <f t="shared" si="13"/>
        <v>9923</v>
      </c>
      <c r="F90" s="556">
        <f t="shared" si="10"/>
        <v>-188</v>
      </c>
    </row>
    <row r="91" spans="1:18">
      <c r="A91" s="331" t="s">
        <v>338</v>
      </c>
      <c r="B91" s="90">
        <v>0</v>
      </c>
      <c r="C91" s="90">
        <v>145</v>
      </c>
      <c r="D91" s="198">
        <v>9600</v>
      </c>
      <c r="E91" s="556">
        <f t="shared" si="13"/>
        <v>9778</v>
      </c>
      <c r="F91" s="556">
        <f t="shared" si="10"/>
        <v>-178</v>
      </c>
    </row>
    <row r="92" spans="1:18">
      <c r="A92" s="331" t="s">
        <v>341</v>
      </c>
      <c r="B92" s="90">
        <v>0</v>
      </c>
      <c r="C92" s="90">
        <v>29</v>
      </c>
      <c r="D92" s="198">
        <v>9555</v>
      </c>
      <c r="E92" s="556">
        <f t="shared" si="13"/>
        <v>9749</v>
      </c>
      <c r="F92" s="556">
        <f t="shared" si="10"/>
        <v>-194</v>
      </c>
    </row>
    <row r="93" spans="1:18">
      <c r="A93" s="335" t="s">
        <v>342</v>
      </c>
      <c r="B93" s="90">
        <v>0</v>
      </c>
      <c r="C93" s="90">
        <v>29</v>
      </c>
      <c r="D93" s="198">
        <v>9464</v>
      </c>
      <c r="E93" s="556">
        <f t="shared" si="13"/>
        <v>9720</v>
      </c>
      <c r="F93" s="556">
        <f t="shared" si="10"/>
        <v>-256</v>
      </c>
    </row>
    <row r="94" spans="1:18">
      <c r="A94" s="335" t="s">
        <v>373</v>
      </c>
      <c r="B94" s="90">
        <v>0</v>
      </c>
      <c r="C94" s="90">
        <v>58</v>
      </c>
      <c r="D94" s="198">
        <v>9374</v>
      </c>
      <c r="E94" s="556">
        <f t="shared" si="13"/>
        <v>9662</v>
      </c>
      <c r="F94" s="556">
        <f t="shared" si="10"/>
        <v>-288</v>
      </c>
    </row>
    <row r="95" spans="1:18">
      <c r="A95" s="558" t="s">
        <v>385</v>
      </c>
      <c r="B95" s="90">
        <v>0</v>
      </c>
      <c r="C95" s="90">
        <v>147</v>
      </c>
      <c r="D95" s="198">
        <v>9284</v>
      </c>
      <c r="E95" s="556">
        <f t="shared" si="13"/>
        <v>9515</v>
      </c>
      <c r="F95" s="556">
        <f t="shared" si="10"/>
        <v>-231</v>
      </c>
    </row>
    <row r="96" spans="1:18">
      <c r="A96" s="558" t="s">
        <v>388</v>
      </c>
      <c r="B96" s="90">
        <v>0</v>
      </c>
      <c r="C96" s="90">
        <v>205</v>
      </c>
      <c r="D96" s="198">
        <v>9058</v>
      </c>
      <c r="E96" s="556">
        <f t="shared" si="13"/>
        <v>9310</v>
      </c>
      <c r="F96" s="556">
        <f t="shared" si="10"/>
        <v>-252</v>
      </c>
    </row>
    <row r="97" spans="1:6">
      <c r="A97" s="558" t="s">
        <v>390</v>
      </c>
      <c r="B97" s="90">
        <v>0</v>
      </c>
      <c r="C97" s="90">
        <v>87</v>
      </c>
      <c r="D97" s="198">
        <v>8832</v>
      </c>
      <c r="E97" s="556">
        <f t="shared" si="13"/>
        <v>9223</v>
      </c>
      <c r="F97" s="556">
        <f t="shared" si="10"/>
        <v>-391</v>
      </c>
    </row>
    <row r="98" spans="1:6">
      <c r="A98" s="558" t="s">
        <v>391</v>
      </c>
      <c r="B98" s="90">
        <v>0</v>
      </c>
      <c r="C98" s="90">
        <v>146</v>
      </c>
      <c r="D98" s="198">
        <v>8600</v>
      </c>
      <c r="E98" s="556">
        <f t="shared" si="13"/>
        <v>9077</v>
      </c>
      <c r="F98" s="556">
        <f t="shared" si="10"/>
        <v>-477</v>
      </c>
    </row>
    <row r="99" spans="1:6">
      <c r="A99" s="558" t="s">
        <v>393</v>
      </c>
      <c r="B99" s="90">
        <v>0</v>
      </c>
      <c r="C99" s="90">
        <v>29</v>
      </c>
      <c r="D99" s="198">
        <v>8516</v>
      </c>
      <c r="E99" s="556">
        <f t="shared" si="13"/>
        <v>9048</v>
      </c>
      <c r="F99" s="556">
        <f t="shared" si="10"/>
        <v>-532</v>
      </c>
    </row>
    <row r="100" spans="1:6">
      <c r="A100" s="380" t="s">
        <v>395</v>
      </c>
      <c r="B100" s="90">
        <v>534</v>
      </c>
      <c r="C100" s="90">
        <v>0</v>
      </c>
      <c r="D100" s="198">
        <v>8832</v>
      </c>
      <c r="E100" s="556">
        <f t="shared" si="13"/>
        <v>9582</v>
      </c>
      <c r="F100" s="556">
        <f t="shared" si="10"/>
        <v>-750</v>
      </c>
    </row>
    <row r="101" spans="1:6">
      <c r="A101" s="380" t="s">
        <v>398</v>
      </c>
      <c r="B101" s="90">
        <v>1138</v>
      </c>
      <c r="C101" s="90">
        <v>0</v>
      </c>
      <c r="D101" s="198">
        <v>10186</v>
      </c>
      <c r="E101" s="556">
        <f t="shared" si="13"/>
        <v>10720</v>
      </c>
      <c r="F101" s="556">
        <f t="shared" si="10"/>
        <v>-534</v>
      </c>
    </row>
    <row r="102" spans="1:6">
      <c r="A102" s="393" t="s">
        <v>401</v>
      </c>
      <c r="B102" s="90">
        <v>0</v>
      </c>
      <c r="C102" s="90">
        <v>117</v>
      </c>
      <c r="D102" s="198">
        <v>9961</v>
      </c>
      <c r="E102" s="556">
        <f t="shared" si="13"/>
        <v>10603</v>
      </c>
      <c r="F102" s="556">
        <f t="shared" si="10"/>
        <v>-642</v>
      </c>
    </row>
    <row r="103" spans="1:6">
      <c r="A103" s="393" t="s">
        <v>402</v>
      </c>
      <c r="B103" s="90">
        <v>0</v>
      </c>
      <c r="C103" s="90">
        <v>88</v>
      </c>
      <c r="D103" s="198">
        <v>9870</v>
      </c>
      <c r="E103" s="556">
        <f t="shared" si="13"/>
        <v>10515</v>
      </c>
      <c r="F103" s="556">
        <f t="shared" si="10"/>
        <v>-645</v>
      </c>
    </row>
    <row r="104" spans="1:6">
      <c r="A104" s="402" t="s">
        <v>406</v>
      </c>
      <c r="B104" s="90">
        <v>0</v>
      </c>
      <c r="C104" s="90">
        <v>89</v>
      </c>
      <c r="D104" s="198">
        <v>9735</v>
      </c>
      <c r="E104" s="556">
        <f t="shared" si="13"/>
        <v>10426</v>
      </c>
      <c r="F104" s="556">
        <f t="shared" si="10"/>
        <v>-691</v>
      </c>
    </row>
    <row r="105" spans="1:6">
      <c r="A105" s="402" t="s">
        <v>407</v>
      </c>
      <c r="B105" s="90">
        <v>0</v>
      </c>
      <c r="C105" s="90">
        <v>117</v>
      </c>
      <c r="D105" s="198">
        <v>9600</v>
      </c>
      <c r="E105" s="556">
        <f t="shared" si="13"/>
        <v>10309</v>
      </c>
      <c r="F105" s="556">
        <f t="shared" si="10"/>
        <v>-709</v>
      </c>
    </row>
    <row r="106" spans="1:6">
      <c r="A106" s="402" t="s">
        <v>408</v>
      </c>
      <c r="B106" s="90">
        <v>0</v>
      </c>
      <c r="C106" s="90">
        <v>317</v>
      </c>
      <c r="D106" s="198">
        <v>9284</v>
      </c>
      <c r="E106" s="556">
        <f t="shared" si="13"/>
        <v>9992</v>
      </c>
      <c r="F106" s="556">
        <f t="shared" si="10"/>
        <v>-708</v>
      </c>
    </row>
    <row r="107" spans="1:6">
      <c r="A107" s="402" t="s">
        <v>409</v>
      </c>
      <c r="B107" s="90">
        <v>0</v>
      </c>
      <c r="C107" s="90">
        <v>116</v>
      </c>
      <c r="D107" s="198">
        <v>9148</v>
      </c>
      <c r="E107" s="556">
        <f t="shared" si="13"/>
        <v>9876</v>
      </c>
      <c r="F107" s="556">
        <f t="shared" si="10"/>
        <v>-728</v>
      </c>
    </row>
    <row r="108" spans="1:6">
      <c r="A108" s="402" t="s">
        <v>411</v>
      </c>
      <c r="B108" s="90">
        <v>263</v>
      </c>
      <c r="C108" s="90">
        <v>0</v>
      </c>
      <c r="D108" s="198">
        <v>9400</v>
      </c>
      <c r="E108" s="556">
        <f t="shared" si="13"/>
        <v>10139</v>
      </c>
      <c r="F108" s="556">
        <f t="shared" si="10"/>
        <v>-739</v>
      </c>
    </row>
    <row r="109" spans="1:6">
      <c r="A109" s="412" t="s">
        <v>413</v>
      </c>
      <c r="B109" s="90">
        <v>1000</v>
      </c>
      <c r="C109" s="90">
        <v>145</v>
      </c>
      <c r="D109" s="198">
        <v>10412</v>
      </c>
      <c r="E109" s="556">
        <f t="shared" si="13"/>
        <v>10994</v>
      </c>
      <c r="F109" s="556">
        <f t="shared" si="10"/>
        <v>-582</v>
      </c>
    </row>
    <row r="110" spans="1:6">
      <c r="A110" s="412" t="s">
        <v>414</v>
      </c>
      <c r="B110" s="90">
        <v>0</v>
      </c>
      <c r="C110" s="90">
        <v>177</v>
      </c>
      <c r="D110" s="198">
        <v>10176</v>
      </c>
      <c r="E110" s="556">
        <f t="shared" si="13"/>
        <v>10817</v>
      </c>
      <c r="F110" s="556">
        <f t="shared" si="10"/>
        <v>-641</v>
      </c>
    </row>
    <row r="111" spans="1:6">
      <c r="A111" s="412" t="s">
        <v>415</v>
      </c>
      <c r="B111" s="90">
        <v>0</v>
      </c>
      <c r="C111" s="90">
        <v>87</v>
      </c>
      <c r="D111" s="198">
        <v>9961</v>
      </c>
      <c r="E111" s="556">
        <f t="shared" si="13"/>
        <v>10730</v>
      </c>
      <c r="F111" s="556">
        <f t="shared" si="10"/>
        <v>-769</v>
      </c>
    </row>
    <row r="112" spans="1:6">
      <c r="A112" s="412" t="s">
        <v>417</v>
      </c>
      <c r="B112" s="90">
        <v>0</v>
      </c>
      <c r="C112" s="90">
        <v>359</v>
      </c>
      <c r="D112" s="198">
        <v>9600</v>
      </c>
      <c r="E112" s="556">
        <f t="shared" si="13"/>
        <v>10371</v>
      </c>
      <c r="F112" s="556">
        <f t="shared" si="10"/>
        <v>-771</v>
      </c>
    </row>
    <row r="113" spans="1:6">
      <c r="A113" s="412" t="s">
        <v>419</v>
      </c>
      <c r="B113" s="90">
        <v>0</v>
      </c>
      <c r="C113" s="90">
        <v>87</v>
      </c>
      <c r="D113" s="198">
        <v>9509</v>
      </c>
      <c r="E113" s="556">
        <f t="shared" si="13"/>
        <v>10284</v>
      </c>
      <c r="F113" s="556">
        <f t="shared" si="10"/>
        <v>-775</v>
      </c>
    </row>
    <row r="114" spans="1:6">
      <c r="A114" s="412" t="s">
        <v>420</v>
      </c>
      <c r="B114" s="90">
        <v>0</v>
      </c>
      <c r="C114" s="90">
        <v>59</v>
      </c>
      <c r="D114" s="198">
        <v>9464</v>
      </c>
      <c r="E114" s="556">
        <f t="shared" si="13"/>
        <v>10225</v>
      </c>
      <c r="F114" s="556">
        <f t="shared" si="10"/>
        <v>-761</v>
      </c>
    </row>
    <row r="115" spans="1:6">
      <c r="A115" s="412" t="s">
        <v>451</v>
      </c>
      <c r="B115" s="90">
        <v>511</v>
      </c>
      <c r="C115" s="90">
        <v>0</v>
      </c>
      <c r="D115" s="198">
        <v>9961</v>
      </c>
      <c r="E115" s="556">
        <f t="shared" si="13"/>
        <v>10736</v>
      </c>
      <c r="F115" s="556">
        <f t="shared" si="10"/>
        <v>-775</v>
      </c>
    </row>
    <row r="116" spans="1:6">
      <c r="A116" s="412" t="s">
        <v>452</v>
      </c>
      <c r="B116" s="90">
        <v>300</v>
      </c>
      <c r="C116" s="90">
        <v>117</v>
      </c>
      <c r="D116" s="198">
        <v>10186</v>
      </c>
      <c r="E116" s="556">
        <f t="shared" si="13"/>
        <v>10919</v>
      </c>
      <c r="F116" s="556">
        <f t="shared" si="10"/>
        <v>-733</v>
      </c>
    </row>
    <row r="117" spans="1:6">
      <c r="A117" s="412"/>
      <c r="B117" s="90"/>
      <c r="C117" s="90"/>
      <c r="D117" s="198"/>
      <c r="E117" s="556"/>
      <c r="F117" s="556"/>
    </row>
    <row r="118" spans="1:6">
      <c r="A118" s="435"/>
      <c r="B118" s="90"/>
      <c r="C118" s="90"/>
      <c r="D118" s="198"/>
      <c r="E118" s="556"/>
      <c r="F118" s="556"/>
    </row>
    <row r="119" spans="1:6">
      <c r="A119" s="412"/>
      <c r="B119" s="90"/>
      <c r="C119" s="90"/>
      <c r="D119" s="198"/>
      <c r="E119" s="556"/>
      <c r="F119" s="556"/>
    </row>
    <row r="120" spans="1:6">
      <c r="A120" s="412"/>
      <c r="B120" s="90"/>
      <c r="C120" s="90"/>
      <c r="D120" s="198"/>
      <c r="E120" s="556"/>
      <c r="F120" s="556"/>
    </row>
    <row r="121" spans="1:6">
      <c r="A121" s="412"/>
      <c r="B121" s="90"/>
      <c r="C121" s="90"/>
      <c r="D121" s="198"/>
      <c r="E121" s="556"/>
      <c r="F121" s="556"/>
    </row>
    <row r="122" spans="1:6">
      <c r="A122" s="412"/>
      <c r="B122" s="90"/>
      <c r="C122" s="90"/>
      <c r="D122" s="198"/>
      <c r="E122" s="556"/>
      <c r="F122" s="556"/>
    </row>
    <row r="123" spans="1:6">
      <c r="A123" s="412"/>
      <c r="B123" s="90"/>
      <c r="C123" s="90"/>
      <c r="D123" s="198"/>
      <c r="E123" s="556"/>
      <c r="F123" s="556"/>
    </row>
    <row r="124" spans="1:6">
      <c r="A124" s="412" t="s">
        <v>459</v>
      </c>
      <c r="B124" s="90"/>
      <c r="C124" s="90"/>
      <c r="D124" s="198"/>
      <c r="E124" s="556"/>
      <c r="F124" s="556"/>
    </row>
    <row r="125" spans="1:6">
      <c r="A125" s="277"/>
      <c r="B125" s="90"/>
      <c r="C125" s="90"/>
      <c r="D125" s="90"/>
      <c r="E125" s="90"/>
      <c r="F125" s="90"/>
    </row>
    <row r="126" spans="1:6">
      <c r="A126" s="194" t="s">
        <v>31</v>
      </c>
      <c r="B126" s="556">
        <f>SUM(B59:B125)</f>
        <v>15091</v>
      </c>
      <c r="C126" s="556">
        <f>SUM(C59:C125)</f>
        <v>5492</v>
      </c>
      <c r="D126" s="197"/>
      <c r="E126" s="556"/>
      <c r="F126" s="556"/>
    </row>
    <row r="129" spans="11:15">
      <c r="K129" s="100" t="s">
        <v>381</v>
      </c>
      <c r="L129" s="351" t="s">
        <v>376</v>
      </c>
      <c r="M129" s="379" t="s">
        <v>394</v>
      </c>
    </row>
    <row r="130" spans="11:15">
      <c r="K130" s="100" t="s">
        <v>343</v>
      </c>
      <c r="L130" s="13">
        <v>-146</v>
      </c>
      <c r="M130" s="13">
        <v>-172</v>
      </c>
    </row>
    <row r="131" spans="11:15">
      <c r="K131" s="100" t="s">
        <v>344</v>
      </c>
      <c r="L131" s="13">
        <v>113</v>
      </c>
      <c r="M131" s="13">
        <v>277</v>
      </c>
    </row>
    <row r="132" spans="11:15">
      <c r="K132" s="100" t="s">
        <v>345</v>
      </c>
      <c r="L132" s="13">
        <v>-59</v>
      </c>
      <c r="M132" s="13">
        <v>237</v>
      </c>
    </row>
    <row r="133" spans="11:15">
      <c r="K133" s="100" t="s">
        <v>346</v>
      </c>
      <c r="L133" s="13">
        <v>-135</v>
      </c>
      <c r="M133" s="13">
        <v>14</v>
      </c>
    </row>
    <row r="134" spans="11:15">
      <c r="K134" s="100" t="s">
        <v>347</v>
      </c>
      <c r="L134" s="13">
        <v>175</v>
      </c>
      <c r="M134" s="13">
        <v>95</v>
      </c>
    </row>
    <row r="135" spans="11:15">
      <c r="K135" s="100" t="s">
        <v>348</v>
      </c>
      <c r="L135" s="13">
        <v>-38</v>
      </c>
      <c r="M135" s="13">
        <v>-179</v>
      </c>
    </row>
    <row r="136" spans="11:15">
      <c r="K136" s="100" t="s">
        <v>349</v>
      </c>
      <c r="L136" s="13">
        <v>-232</v>
      </c>
      <c r="M136" s="13">
        <f>SUM(M130:M135)</f>
        <v>272</v>
      </c>
      <c r="N136" s="13">
        <v>4285</v>
      </c>
      <c r="O136" s="13">
        <f>N136-M136</f>
        <v>4013</v>
      </c>
    </row>
    <row r="137" spans="11:15">
      <c r="K137" s="100" t="s">
        <v>350</v>
      </c>
      <c r="L137" s="13">
        <v>304</v>
      </c>
      <c r="M137" s="13">
        <v>177</v>
      </c>
    </row>
    <row r="138" spans="11:15">
      <c r="K138" s="100" t="s">
        <v>351</v>
      </c>
      <c r="L138" s="13">
        <v>32</v>
      </c>
      <c r="M138" s="13">
        <v>-51</v>
      </c>
    </row>
    <row r="139" spans="11:15">
      <c r="K139" s="100" t="s">
        <v>352</v>
      </c>
      <c r="L139" s="13">
        <v>275</v>
      </c>
      <c r="M139" s="13">
        <v>368</v>
      </c>
    </row>
    <row r="140" spans="11:15">
      <c r="K140" s="100" t="s">
        <v>353</v>
      </c>
      <c r="L140" s="13">
        <v>8</v>
      </c>
      <c r="M140" s="13">
        <v>-14</v>
      </c>
    </row>
    <row r="141" spans="11:15">
      <c r="K141" s="100" t="s">
        <v>354</v>
      </c>
      <c r="L141" s="13">
        <v>35</v>
      </c>
      <c r="M141" s="13">
        <v>77</v>
      </c>
    </row>
    <row r="142" spans="11:15">
      <c r="K142" s="100" t="s">
        <v>355</v>
      </c>
      <c r="L142" s="13">
        <v>-24</v>
      </c>
      <c r="M142" s="13">
        <v>-201</v>
      </c>
    </row>
    <row r="143" spans="11:15">
      <c r="K143" s="100" t="s">
        <v>356</v>
      </c>
      <c r="L143" s="13">
        <v>-633</v>
      </c>
      <c r="M143" s="13">
        <v>-96</v>
      </c>
      <c r="N143" s="13">
        <f>SUM(L130:L143)</f>
        <v>-325</v>
      </c>
      <c r="O143" s="13">
        <f>SUM(M130:M143)</f>
        <v>804</v>
      </c>
    </row>
    <row r="144" spans="11:15">
      <c r="K144" s="100" t="s">
        <v>357</v>
      </c>
    </row>
    <row r="145" spans="11:11">
      <c r="K145" s="100" t="s">
        <v>358</v>
      </c>
    </row>
    <row r="146" spans="11:11">
      <c r="K146" s="100" t="s">
        <v>359</v>
      </c>
    </row>
    <row r="147" spans="11:11">
      <c r="K147" s="100" t="s">
        <v>360</v>
      </c>
    </row>
    <row r="148" spans="11:11">
      <c r="K148" s="100" t="s">
        <v>361</v>
      </c>
    </row>
    <row r="149" spans="11:11">
      <c r="K149" s="100" t="s">
        <v>362</v>
      </c>
    </row>
    <row r="150" spans="11:11">
      <c r="K150" s="100" t="s">
        <v>363</v>
      </c>
    </row>
    <row r="151" spans="11:11">
      <c r="K151" s="100" t="s">
        <v>364</v>
      </c>
    </row>
    <row r="152" spans="11:11">
      <c r="K152" s="100" t="s">
        <v>365</v>
      </c>
    </row>
    <row r="153" spans="11:11">
      <c r="K153" s="100" t="s">
        <v>366</v>
      </c>
    </row>
    <row r="154" spans="11:11">
      <c r="K154" s="100" t="s">
        <v>367</v>
      </c>
    </row>
    <row r="155" spans="11:11">
      <c r="K155" s="100" t="s">
        <v>368</v>
      </c>
    </row>
    <row r="156" spans="11:11">
      <c r="K156" s="100" t="s">
        <v>369</v>
      </c>
    </row>
    <row r="157" spans="11:11">
      <c r="K157" s="100" t="s">
        <v>370</v>
      </c>
    </row>
    <row r="158" spans="11:11">
      <c r="K158" s="100" t="s">
        <v>371</v>
      </c>
    </row>
    <row r="159" spans="11:11">
      <c r="K159" s="100"/>
    </row>
    <row r="160" spans="11:11">
      <c r="K160" s="11" t="s">
        <v>7</v>
      </c>
    </row>
    <row r="161" spans="12:12">
      <c r="L161" s="13">
        <f>SUM(L130:L160)</f>
        <v>-325</v>
      </c>
    </row>
  </sheetData>
  <mergeCells count="97"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  <mergeCell ref="Q5:R5"/>
    <mergeCell ref="H6:I6"/>
    <mergeCell ref="C7:D7"/>
    <mergeCell ref="E7:F7"/>
    <mergeCell ref="H7:I7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C15:D15"/>
    <mergeCell ref="E15:F15"/>
    <mergeCell ref="G15:I15"/>
    <mergeCell ref="C16:D16"/>
    <mergeCell ref="E16:F16"/>
    <mergeCell ref="G16:I16"/>
    <mergeCell ref="A23:A24"/>
    <mergeCell ref="B23:B24"/>
    <mergeCell ref="C23:D24"/>
    <mergeCell ref="E23:F24"/>
    <mergeCell ref="G23:I23"/>
    <mergeCell ref="I25:I26"/>
    <mergeCell ref="C26:D26"/>
    <mergeCell ref="C17:D17"/>
    <mergeCell ref="E17:F17"/>
    <mergeCell ref="G17:I17"/>
    <mergeCell ref="C18:D18"/>
    <mergeCell ref="G18:I18"/>
    <mergeCell ref="B25:B26"/>
    <mergeCell ref="C25:D25"/>
    <mergeCell ref="E25:F26"/>
    <mergeCell ref="G25:G26"/>
    <mergeCell ref="H25:H26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G30:G32"/>
    <mergeCell ref="H30:H32"/>
    <mergeCell ref="C33:D33"/>
    <mergeCell ref="E33:F33"/>
    <mergeCell ref="C34:D34"/>
    <mergeCell ref="E34:F34"/>
    <mergeCell ref="C35:D35"/>
    <mergeCell ref="E35:F35"/>
    <mergeCell ref="A40:A41"/>
    <mergeCell ref="C40:D40"/>
    <mergeCell ref="E40:H40"/>
    <mergeCell ref="I40:I41"/>
    <mergeCell ref="C41:D41"/>
    <mergeCell ref="G41:H41"/>
    <mergeCell ref="C42:D42"/>
    <mergeCell ref="G42:H42"/>
    <mergeCell ref="C43:D43"/>
    <mergeCell ref="G43:H43"/>
    <mergeCell ref="C44:D44"/>
    <mergeCell ref="G44:H44"/>
    <mergeCell ref="C45:D45"/>
    <mergeCell ref="G45:H45"/>
    <mergeCell ref="C46:D46"/>
    <mergeCell ref="G46:H46"/>
    <mergeCell ref="C47:D47"/>
    <mergeCell ref="G47:H47"/>
    <mergeCell ref="H53:I53"/>
    <mergeCell ref="H54:I54"/>
    <mergeCell ref="A50:A51"/>
    <mergeCell ref="B50:C50"/>
    <mergeCell ref="D50:E50"/>
    <mergeCell ref="F50:G50"/>
    <mergeCell ref="H50:I51"/>
    <mergeCell ref="H52:I52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130B-8B7E-4FBF-BA9B-4AF981FD0CD8}">
  <dimension ref="A1:U161"/>
  <sheetViews>
    <sheetView workbookViewId="0">
      <selection activeCell="L18" sqref="L18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581"/>
      <c r="B2" s="581"/>
      <c r="C2" s="581"/>
      <c r="D2" s="581"/>
      <c r="E2" s="581"/>
      <c r="F2" s="581"/>
      <c r="G2" s="581"/>
      <c r="H2" s="581"/>
      <c r="I2" s="581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39" t="s">
        <v>635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40" t="s">
        <v>624</v>
      </c>
      <c r="H5" s="747"/>
      <c r="I5" s="747"/>
      <c r="J5" s="75"/>
      <c r="K5" s="75"/>
      <c r="M5" s="359"/>
      <c r="N5" s="360"/>
      <c r="O5" s="583"/>
      <c r="P5" s="583"/>
      <c r="Q5" s="748"/>
      <c r="R5" s="748"/>
      <c r="S5" s="583"/>
      <c r="T5" s="583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41" t="s">
        <v>377</v>
      </c>
      <c r="I6" s="750"/>
      <c r="L6" s="353"/>
      <c r="N6" s="360"/>
      <c r="O6" s="583"/>
      <c r="P6" s="82"/>
      <c r="Q6" s="583"/>
      <c r="R6" s="82"/>
      <c r="S6" s="82"/>
      <c r="T6" s="293"/>
      <c r="U6" s="107"/>
    </row>
    <row r="7" spans="1:21" ht="18.8" thickTop="1">
      <c r="A7" s="19" t="s">
        <v>14</v>
      </c>
      <c r="B7" s="20">
        <v>15.5</v>
      </c>
      <c r="C7" s="751">
        <v>1279</v>
      </c>
      <c r="D7" s="752"/>
      <c r="E7" s="753">
        <f>(C7/B7)</f>
        <v>82.516129032258064</v>
      </c>
      <c r="F7" s="754"/>
      <c r="G7" s="88"/>
      <c r="H7" s="755"/>
      <c r="I7" s="755"/>
      <c r="J7" s="13">
        <f>40/60</f>
        <v>0.66666666666666663</v>
      </c>
      <c r="K7" s="13">
        <f>1300/60</f>
        <v>21.666666666666668</v>
      </c>
      <c r="L7" s="353"/>
      <c r="M7" s="49"/>
      <c r="N7" s="361"/>
      <c r="O7" s="583"/>
      <c r="P7" s="22"/>
      <c r="Q7" s="17"/>
      <c r="R7" s="17"/>
      <c r="S7" s="17"/>
      <c r="U7" s="369"/>
    </row>
    <row r="8" spans="1:21">
      <c r="A8" s="23" t="s">
        <v>15</v>
      </c>
      <c r="B8" s="74">
        <f>7.33+24+17.83+1.5+13.67+24+24+24+14.5+23.5+24+16.83+24+24+24+24+24+24+14.83+15.5+24+24+15.7+24+24+14+24+21.66+14.3+15.5</f>
        <v>590.64999999999986</v>
      </c>
      <c r="C8" s="769">
        <v>51562</v>
      </c>
      <c r="D8" s="770"/>
      <c r="E8" s="771">
        <f>C8/B8</f>
        <v>87.297045627698324</v>
      </c>
      <c r="F8" s="772"/>
      <c r="G8" s="86">
        <v>52000</v>
      </c>
      <c r="H8" s="773">
        <v>51562</v>
      </c>
      <c r="I8" s="773"/>
      <c r="K8" s="13">
        <f>21*60</f>
        <v>1260</v>
      </c>
      <c r="L8" s="446"/>
      <c r="N8" s="361"/>
      <c r="O8" s="583"/>
      <c r="P8" s="22"/>
      <c r="Q8" s="14"/>
      <c r="T8" s="107"/>
      <c r="U8" s="107"/>
    </row>
    <row r="9" spans="1:21">
      <c r="A9" s="23" t="s">
        <v>16</v>
      </c>
      <c r="B9" s="24">
        <f>3066.4+B8</f>
        <v>3657.05</v>
      </c>
      <c r="C9" s="774">
        <f>248221+C8</f>
        <v>299783</v>
      </c>
      <c r="D9" s="775"/>
      <c r="E9" s="771">
        <f>C9/B9</f>
        <v>81.973995433477796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583"/>
      <c r="P9" s="362"/>
      <c r="Q9" s="123"/>
      <c r="S9" s="379"/>
      <c r="T9" s="219"/>
      <c r="U9" s="216"/>
    </row>
    <row r="10" spans="1:21">
      <c r="A10" s="573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574"/>
      <c r="B11" s="25"/>
      <c r="C11" s="26"/>
      <c r="D11" s="26"/>
      <c r="E11" s="26"/>
      <c r="F11" s="587" t="s">
        <v>583</v>
      </c>
      <c r="G11" s="54">
        <v>52000</v>
      </c>
      <c r="H11" s="54">
        <f>C8</f>
        <v>51562</v>
      </c>
      <c r="I11" s="490">
        <f>H11/G11*100</f>
        <v>99.157692307692301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 t="s">
        <v>630</v>
      </c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582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42060</v>
      </c>
      <c r="C15" s="771">
        <f>(B15/C7)</f>
        <v>32.885066458170442</v>
      </c>
      <c r="D15" s="772"/>
      <c r="E15" s="779">
        <v>7231</v>
      </c>
      <c r="F15" s="779"/>
      <c r="G15" s="780">
        <f>E15/C7</f>
        <v>5.6536356528537919</v>
      </c>
      <c r="H15" s="780"/>
      <c r="I15" s="780"/>
      <c r="J15" s="414"/>
      <c r="K15" s="528"/>
      <c r="L15" s="365"/>
      <c r="M15" s="575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1545540+69120+64620+44340+42060</f>
        <v>1765680</v>
      </c>
      <c r="C16" s="771">
        <f>B16/C8</f>
        <v>34.243822970404558</v>
      </c>
      <c r="D16" s="772"/>
      <c r="E16" s="781">
        <v>255963</v>
      </c>
      <c r="F16" s="781"/>
      <c r="G16" s="782">
        <f>E16/C8</f>
        <v>4.964179046584694</v>
      </c>
      <c r="H16" s="782"/>
      <c r="I16" s="782"/>
      <c r="J16" s="535" t="s">
        <v>546</v>
      </c>
      <c r="K16" s="479"/>
      <c r="N16" s="33"/>
      <c r="O16" s="33"/>
      <c r="P16" s="33"/>
      <c r="Q16" s="33"/>
      <c r="T16" s="107"/>
      <c r="U16" s="92"/>
    </row>
    <row r="17" spans="1:21">
      <c r="A17" s="23" t="s">
        <v>16</v>
      </c>
      <c r="B17" s="39">
        <f>8919173+B16</f>
        <v>10684853</v>
      </c>
      <c r="C17" s="797">
        <f>B17/C9</f>
        <v>35.641957682723834</v>
      </c>
      <c r="D17" s="798"/>
      <c r="E17" s="799">
        <f>1331854+E16</f>
        <v>1587817</v>
      </c>
      <c r="F17" s="799"/>
      <c r="G17" s="800">
        <f>E17/C9</f>
        <v>5.2965545077606135</v>
      </c>
      <c r="H17" s="800"/>
      <c r="I17" s="800"/>
      <c r="J17" s="368" t="s">
        <v>389</v>
      </c>
      <c r="L17" s="34"/>
      <c r="N17" s="289"/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-(36.5-C15)*107*C7/10000</f>
        <v>-49.471450000000054</v>
      </c>
      <c r="D18" s="934"/>
      <c r="E18" s="540"/>
      <c r="F18" s="540"/>
      <c r="G18" s="934">
        <f>-(5.3-G15)*593*C7/10000</f>
        <v>26.821390000000001</v>
      </c>
      <c r="H18" s="934"/>
      <c r="I18" s="934"/>
      <c r="J18" s="538" t="s">
        <v>551</v>
      </c>
      <c r="N18" s="289"/>
      <c r="O18" s="33"/>
      <c r="R18" s="33"/>
      <c r="T18" s="92"/>
      <c r="U18" s="92"/>
    </row>
    <row r="19" spans="1:21">
      <c r="A19" s="536" t="s">
        <v>547</v>
      </c>
      <c r="J19" s="41"/>
      <c r="K19" s="457"/>
    </row>
    <row r="20" spans="1:21">
      <c r="A20" s="186" t="s">
        <v>145</v>
      </c>
      <c r="J20" s="43"/>
      <c r="K20" s="458"/>
    </row>
    <row r="21" spans="1:21" ht="16.75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3030</v>
      </c>
      <c r="C25" s="785">
        <v>1157</v>
      </c>
      <c r="D25" s="786"/>
      <c r="E25" s="787">
        <v>1159</v>
      </c>
      <c r="F25" s="788"/>
      <c r="G25" s="791">
        <v>3126</v>
      </c>
      <c r="H25" s="793">
        <f>B25+C25+C26-E25</f>
        <v>3028</v>
      </c>
      <c r="I25" s="793">
        <f>G25-H25</f>
        <v>98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3995</v>
      </c>
      <c r="C27" s="813">
        <v>150</v>
      </c>
      <c r="D27" s="814"/>
      <c r="E27" s="815">
        <v>323</v>
      </c>
      <c r="F27" s="816"/>
      <c r="G27" s="801">
        <v>3705</v>
      </c>
      <c r="H27" s="803">
        <f>B27+C27+C28-E27-E29</f>
        <v>3592</v>
      </c>
      <c r="I27" s="803">
        <f>G27-H27</f>
        <v>113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>
        <v>230</v>
      </c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7117</v>
      </c>
      <c r="C30" s="829"/>
      <c r="D30" s="830"/>
      <c r="E30" s="815">
        <v>89</v>
      </c>
      <c r="F30" s="816"/>
      <c r="G30" s="801">
        <v>6804</v>
      </c>
      <c r="H30" s="803">
        <f>B30+C30+C31-E30-E32</f>
        <v>7028</v>
      </c>
      <c r="I30" s="803">
        <f>G30-H30</f>
        <v>-224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/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71" t="s">
        <v>633</v>
      </c>
      <c r="R32" s="366"/>
      <c r="T32" s="219"/>
    </row>
    <row r="33" spans="1:21" ht="16.75" customHeight="1" thickBot="1">
      <c r="A33" s="53" t="s">
        <v>28</v>
      </c>
      <c r="B33" s="78">
        <f>SUM(B25:B32)</f>
        <v>14142</v>
      </c>
      <c r="C33" s="821">
        <f>SUM(C25:D32)</f>
        <v>1307</v>
      </c>
      <c r="D33" s="822"/>
      <c r="E33" s="821">
        <f>SUM(E25:F32)</f>
        <v>1801</v>
      </c>
      <c r="F33" s="822"/>
      <c r="G33" s="579">
        <f>G25+G27+G30</f>
        <v>13635</v>
      </c>
      <c r="H33" s="579">
        <f>H25+H27+H30</f>
        <v>13648</v>
      </c>
      <c r="I33" s="579">
        <f>I25+I27+I30</f>
        <v>-13</v>
      </c>
      <c r="J33" s="327">
        <f>E33-E29-E32</f>
        <v>1571</v>
      </c>
      <c r="K33" s="533"/>
      <c r="L33" s="14"/>
      <c r="M33" s="14"/>
      <c r="N33" s="140"/>
      <c r="O33" s="261"/>
      <c r="P33" s="261"/>
      <c r="Q33" s="563" t="s">
        <v>626</v>
      </c>
      <c r="T33" s="219"/>
      <c r="U33" s="219"/>
    </row>
    <row r="34" spans="1:21" ht="16.75" customHeight="1" thickBot="1">
      <c r="A34" s="177" t="s">
        <v>44</v>
      </c>
      <c r="B34" s="178">
        <v>859</v>
      </c>
      <c r="C34" s="823">
        <f>E29+E35+E32</f>
        <v>595</v>
      </c>
      <c r="D34" s="824"/>
      <c r="E34" s="823">
        <f>248+371</f>
        <v>619</v>
      </c>
      <c r="F34" s="824"/>
      <c r="G34" s="183">
        <f>426+409</f>
        <v>835</v>
      </c>
      <c r="H34" s="183">
        <f>B34+C34-E34</f>
        <v>835</v>
      </c>
      <c r="I34" s="183">
        <f>G34-H34</f>
        <v>0</v>
      </c>
      <c r="J34" s="94"/>
      <c r="K34" s="436"/>
      <c r="L34" s="94"/>
      <c r="M34" s="94"/>
      <c r="P34" s="107"/>
      <c r="Q34" s="569" t="s">
        <v>631</v>
      </c>
      <c r="R34" s="22"/>
      <c r="S34" s="22"/>
    </row>
    <row r="35" spans="1:21" ht="16.75" customHeight="1">
      <c r="A35" s="179" t="s">
        <v>29</v>
      </c>
      <c r="B35" s="180">
        <v>4256</v>
      </c>
      <c r="C35" s="825"/>
      <c r="D35" s="826"/>
      <c r="E35" s="827">
        <v>365</v>
      </c>
      <c r="F35" s="828"/>
      <c r="G35" s="181">
        <v>3911</v>
      </c>
      <c r="H35" s="182">
        <f>B35+C35-E35</f>
        <v>3891</v>
      </c>
      <c r="I35" s="182">
        <f>G35-H35</f>
        <v>20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9903+564+489+785+689+782+595</f>
        <v>13807</v>
      </c>
      <c r="E36" s="79" t="s">
        <v>47</v>
      </c>
      <c r="F36" s="80" t="s">
        <v>46</v>
      </c>
      <c r="G36" s="55">
        <f>60478+D36</f>
        <v>74285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406+460+386+73+241+134+243+97+348+403+335+202+358+373+339+447+295+636+311+275+468+392+480+365</f>
        <v>8067</v>
      </c>
      <c r="E37" s="79" t="s">
        <v>47</v>
      </c>
      <c r="F37" s="80" t="s">
        <v>46</v>
      </c>
      <c r="G37" s="55">
        <f>32732+D37</f>
        <v>40799</v>
      </c>
      <c r="H37" s="79" t="s">
        <v>47</v>
      </c>
      <c r="I37" s="79"/>
      <c r="J37" s="355"/>
      <c r="K37" s="188"/>
      <c r="L37" s="100" t="s">
        <v>616</v>
      </c>
      <c r="M37" s="11"/>
      <c r="N37" s="67">
        <v>658</v>
      </c>
      <c r="O37" s="76">
        <v>28</v>
      </c>
      <c r="P37" s="76">
        <f t="shared" ref="P37:P67" si="1">N37-O37</f>
        <v>630</v>
      </c>
      <c r="Q37" s="10">
        <f>P37*(1-S37)*1.063</f>
        <v>669.68999999999994</v>
      </c>
      <c r="R37" s="54">
        <f t="shared" ref="R37:R69" si="2">P37*S37*1.2</f>
        <v>0</v>
      </c>
      <c r="S37" s="103"/>
      <c r="T37" s="36"/>
      <c r="U37" s="46"/>
    </row>
    <row r="38" spans="1:21" ht="15.65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617</v>
      </c>
      <c r="M38" s="11"/>
      <c r="N38" s="67">
        <v>2192</v>
      </c>
      <c r="O38" s="76">
        <v>77</v>
      </c>
      <c r="P38" s="76">
        <f t="shared" si="1"/>
        <v>2115</v>
      </c>
      <c r="Q38" s="10">
        <f t="shared" ref="Q38:Q41" si="3">P38*(1-S38)*1.063</f>
        <v>2248.2449999999999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554</v>
      </c>
      <c r="M39" s="11"/>
      <c r="N39" s="67">
        <v>1523</v>
      </c>
      <c r="O39" s="76">
        <v>45</v>
      </c>
      <c r="P39" s="76">
        <f t="shared" si="1"/>
        <v>1478</v>
      </c>
      <c r="Q39" s="10">
        <f t="shared" si="3"/>
        <v>1571.1139999999998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205" t="s">
        <v>168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555</v>
      </c>
      <c r="M40" s="11"/>
      <c r="N40" s="67">
        <v>120</v>
      </c>
      <c r="O40" s="76">
        <v>6</v>
      </c>
      <c r="P40" s="76">
        <f t="shared" si="1"/>
        <v>114</v>
      </c>
      <c r="Q40" s="10">
        <f t="shared" si="3"/>
        <v>121.18199999999999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578" t="s">
        <v>34</v>
      </c>
      <c r="F41" s="578" t="s">
        <v>38</v>
      </c>
      <c r="G41" s="842" t="s">
        <v>7</v>
      </c>
      <c r="H41" s="842"/>
      <c r="I41" s="888"/>
      <c r="J41" s="56"/>
      <c r="K41" s="56"/>
      <c r="L41" s="100" t="s">
        <v>556</v>
      </c>
      <c r="M41" s="11"/>
      <c r="N41" s="67">
        <v>0</v>
      </c>
      <c r="O41" s="76">
        <v>0</v>
      </c>
      <c r="P41" s="76">
        <f t="shared" si="1"/>
        <v>0</v>
      </c>
      <c r="Q41" s="10">
        <f t="shared" si="3"/>
        <v>0</v>
      </c>
      <c r="R41" s="54">
        <f t="shared" si="2"/>
        <v>0</v>
      </c>
      <c r="S41" s="103"/>
      <c r="T41" s="36"/>
      <c r="U41" s="46"/>
    </row>
    <row r="42" spans="1:21" ht="16.75" customHeight="1">
      <c r="A42" s="532" t="s">
        <v>550</v>
      </c>
      <c r="B42" s="447">
        <v>25431</v>
      </c>
      <c r="C42" s="903">
        <f>1000+2057+2066+2082+2131+1946+670+2248+1571+121+1261+1000+1478+700-400</f>
        <v>19931</v>
      </c>
      <c r="D42" s="904"/>
      <c r="E42" s="447">
        <v>0</v>
      </c>
      <c r="F42" s="447">
        <v>5500</v>
      </c>
      <c r="G42" s="903">
        <f t="shared" ref="G42:G44" si="4">SUM(E42:F42)</f>
        <v>5500</v>
      </c>
      <c r="H42" s="904"/>
      <c r="I42" s="450"/>
      <c r="J42" s="57">
        <f>B42-C42-G42</f>
        <v>0</v>
      </c>
      <c r="K42" s="440"/>
      <c r="L42" s="100" t="s">
        <v>557</v>
      </c>
      <c r="M42" s="11"/>
      <c r="N42" s="67">
        <v>1232</v>
      </c>
      <c r="O42" s="76">
        <v>46</v>
      </c>
      <c r="P42" s="76">
        <f t="shared" si="1"/>
        <v>1186</v>
      </c>
      <c r="Q42" s="10">
        <f>P42*(1-S42)*1.065</f>
        <v>1263.0899999999999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585">
        <v>6931</v>
      </c>
      <c r="C43" s="883"/>
      <c r="D43" s="884"/>
      <c r="E43" s="585">
        <v>6931</v>
      </c>
      <c r="F43" s="447">
        <f t="shared" ref="F43:F47" si="5">B43-C43-E43</f>
        <v>0</v>
      </c>
      <c r="G43" s="883">
        <f t="shared" ref="G43" si="6">SUM(E43:F43)</f>
        <v>6931</v>
      </c>
      <c r="H43" s="884"/>
      <c r="I43" s="444"/>
      <c r="J43" s="57">
        <f>B43-C43-G43</f>
        <v>0</v>
      </c>
      <c r="K43" s="57"/>
      <c r="L43" s="100" t="s">
        <v>558</v>
      </c>
      <c r="M43" s="11"/>
      <c r="N43" s="67">
        <v>2059</v>
      </c>
      <c r="O43" s="76">
        <v>76</v>
      </c>
      <c r="P43" s="76">
        <f t="shared" si="1"/>
        <v>1983</v>
      </c>
      <c r="Q43" s="10">
        <f>P43*(1-S43)*1.065</f>
        <v>2111.895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585">
        <v>6347</v>
      </c>
      <c r="C44" s="883">
        <f>1272-73</f>
        <v>1199</v>
      </c>
      <c r="D44" s="884"/>
      <c r="E44" s="585">
        <f>11600-6452</f>
        <v>5148</v>
      </c>
      <c r="F44" s="447">
        <f t="shared" si="5"/>
        <v>0</v>
      </c>
      <c r="G44" s="883">
        <f t="shared" si="4"/>
        <v>5148</v>
      </c>
      <c r="H44" s="884"/>
      <c r="I44" s="444"/>
      <c r="J44" s="57">
        <f t="shared" ref="J44:J48" si="7">B44-C44-G44</f>
        <v>0</v>
      </c>
      <c r="K44" s="260"/>
      <c r="L44" s="100" t="s">
        <v>559</v>
      </c>
      <c r="M44" s="11"/>
      <c r="N44" s="67">
        <v>2066</v>
      </c>
      <c r="O44" s="76">
        <v>67</v>
      </c>
      <c r="P44" s="76">
        <f t="shared" si="1"/>
        <v>1999</v>
      </c>
      <c r="Q44" s="10">
        <f>P44*(1-S44)*1.056</f>
        <v>2110.944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585">
        <v>6900</v>
      </c>
      <c r="C45" s="883"/>
      <c r="D45" s="884"/>
      <c r="E45" s="585">
        <v>6900</v>
      </c>
      <c r="F45" s="447">
        <f t="shared" si="5"/>
        <v>0</v>
      </c>
      <c r="G45" s="883">
        <f t="shared" ref="G45:G47" si="8">SUM(E45:F45)</f>
        <v>6900</v>
      </c>
      <c r="H45" s="884"/>
      <c r="I45" s="450"/>
      <c r="J45" s="57"/>
      <c r="K45" s="57"/>
      <c r="L45" s="100" t="s">
        <v>560</v>
      </c>
      <c r="M45" s="11"/>
      <c r="N45" s="67">
        <v>2053</v>
      </c>
      <c r="O45" s="76">
        <v>73</v>
      </c>
      <c r="P45" s="76">
        <f t="shared" si="1"/>
        <v>1980</v>
      </c>
      <c r="Q45" s="10">
        <f t="shared" ref="Q45:Q51" si="9">P45*(1-S45)*1.056</f>
        <v>2090.88</v>
      </c>
      <c r="R45" s="54">
        <f t="shared" si="2"/>
        <v>0</v>
      </c>
      <c r="S45" s="103"/>
      <c r="T45" s="36"/>
      <c r="U45" s="46"/>
    </row>
    <row r="46" spans="1:21" ht="16.75" customHeight="1">
      <c r="A46" s="565" t="s">
        <v>628</v>
      </c>
      <c r="B46" s="585">
        <v>6452</v>
      </c>
      <c r="C46" s="883">
        <f>1421+2104</f>
        <v>3525</v>
      </c>
      <c r="D46" s="884"/>
      <c r="E46" s="585">
        <f>6452-1700-2200</f>
        <v>2552</v>
      </c>
      <c r="F46" s="447">
        <f t="shared" si="5"/>
        <v>375</v>
      </c>
      <c r="G46" s="883">
        <f t="shared" si="8"/>
        <v>2927</v>
      </c>
      <c r="H46" s="884"/>
      <c r="I46" s="450"/>
      <c r="J46" s="57">
        <f t="shared" si="7"/>
        <v>0</v>
      </c>
      <c r="K46" s="57"/>
      <c r="L46" s="100" t="s">
        <v>561</v>
      </c>
      <c r="M46" s="11"/>
      <c r="N46" s="67">
        <v>1292</v>
      </c>
      <c r="O46" s="76">
        <v>49</v>
      </c>
      <c r="P46" s="76">
        <f t="shared" si="1"/>
        <v>1243</v>
      </c>
      <c r="Q46" s="10">
        <f>P46*(1-S46)*1.05</f>
        <v>1305.1500000000001</v>
      </c>
      <c r="R46" s="54">
        <f t="shared" si="2"/>
        <v>0</v>
      </c>
      <c r="S46" s="103"/>
      <c r="T46" s="36"/>
      <c r="U46" s="46"/>
    </row>
    <row r="47" spans="1:21" ht="16.75" customHeight="1">
      <c r="A47" s="566" t="s">
        <v>629</v>
      </c>
      <c r="B47" s="580">
        <v>27500</v>
      </c>
      <c r="C47" s="946">
        <f>1100+2191+2233+2211+1362+1425+2179+2211+2203+1290+2137+1926+1232+1342+558</f>
        <v>25600</v>
      </c>
      <c r="D47" s="947"/>
      <c r="E47" s="580">
        <v>0</v>
      </c>
      <c r="F47" s="447">
        <f t="shared" si="5"/>
        <v>1900</v>
      </c>
      <c r="G47" s="948">
        <f t="shared" si="8"/>
        <v>1900</v>
      </c>
      <c r="H47" s="949"/>
      <c r="I47" s="450" t="s">
        <v>416</v>
      </c>
      <c r="J47" s="57">
        <f t="shared" si="7"/>
        <v>0</v>
      </c>
      <c r="K47" s="57"/>
      <c r="L47" s="100" t="s">
        <v>562</v>
      </c>
      <c r="M47" s="11"/>
      <c r="N47" s="67">
        <v>2094</v>
      </c>
      <c r="O47" s="76">
        <v>64</v>
      </c>
      <c r="P47" s="76">
        <f t="shared" si="1"/>
        <v>2030</v>
      </c>
      <c r="Q47" s="10">
        <f>P47*(1-S47)*1.05</f>
        <v>2131.5</v>
      </c>
      <c r="R47" s="54">
        <f t="shared" si="2"/>
        <v>0</v>
      </c>
      <c r="S47" s="103"/>
      <c r="T47" s="36"/>
      <c r="U47" s="46"/>
    </row>
    <row r="48" spans="1:21">
      <c r="A48" s="148" t="s">
        <v>31</v>
      </c>
      <c r="B48" s="576">
        <f>SUM(B42:B47)</f>
        <v>79561</v>
      </c>
      <c r="C48" s="845">
        <f>SUM(C42:D47)</f>
        <v>50255</v>
      </c>
      <c r="D48" s="845"/>
      <c r="E48" s="576">
        <f>SUM(E42:E47)</f>
        <v>21531</v>
      </c>
      <c r="F48" s="576">
        <f>SUM(F42:F47)</f>
        <v>7775</v>
      </c>
      <c r="G48" s="845">
        <f>SUM(G42:H47)</f>
        <v>29306</v>
      </c>
      <c r="H48" s="845"/>
      <c r="I48" s="371"/>
      <c r="J48" s="57">
        <f t="shared" si="7"/>
        <v>0</v>
      </c>
      <c r="K48" s="57"/>
      <c r="L48" s="100" t="s">
        <v>563</v>
      </c>
      <c r="M48" s="11"/>
      <c r="N48" s="67">
        <v>2045</v>
      </c>
      <c r="O48" s="76">
        <v>70</v>
      </c>
      <c r="P48" s="76">
        <f t="shared" si="1"/>
        <v>1975</v>
      </c>
      <c r="Q48" s="10">
        <f t="shared" si="9"/>
        <v>2085.6</v>
      </c>
      <c r="R48" s="54">
        <f t="shared" si="2"/>
        <v>0</v>
      </c>
      <c r="S48" s="103"/>
      <c r="T48" s="36"/>
      <c r="U48" s="46"/>
    </row>
    <row r="49" spans="1:21" ht="17.399999999999999" customHeight="1">
      <c r="D49" s="221"/>
      <c r="J49" s="541"/>
      <c r="K49" s="56"/>
      <c r="L49" s="100" t="s">
        <v>564</v>
      </c>
      <c r="M49" s="11"/>
      <c r="N49" s="67">
        <v>1469</v>
      </c>
      <c r="O49" s="76">
        <v>55</v>
      </c>
      <c r="P49" s="76">
        <f t="shared" si="1"/>
        <v>1414</v>
      </c>
      <c r="Q49" s="10">
        <f t="shared" si="9"/>
        <v>1493.184</v>
      </c>
      <c r="R49" s="54">
        <f t="shared" si="2"/>
        <v>0</v>
      </c>
      <c r="S49" s="103"/>
      <c r="T49" s="36"/>
      <c r="U49" s="46"/>
    </row>
    <row r="50" spans="1:21" ht="14.4" customHeight="1">
      <c r="A50" s="15" t="s">
        <v>78</v>
      </c>
      <c r="F50" s="42"/>
      <c r="G50" s="42"/>
      <c r="J50" s="7"/>
      <c r="K50" s="104"/>
      <c r="L50" s="100" t="s">
        <v>565</v>
      </c>
      <c r="M50" s="11"/>
      <c r="N50" s="67">
        <v>2116</v>
      </c>
      <c r="O50" s="76">
        <v>73</v>
      </c>
      <c r="P50" s="76">
        <f t="shared" si="1"/>
        <v>2043</v>
      </c>
      <c r="Q50" s="10">
        <f t="shared" si="9"/>
        <v>2157.4079999999999</v>
      </c>
      <c r="R50" s="54">
        <f t="shared" si="2"/>
        <v>0</v>
      </c>
      <c r="S50" s="103"/>
      <c r="T50" s="36"/>
      <c r="U50" s="46"/>
    </row>
    <row r="51" spans="1:21" ht="16.3" customHeight="1">
      <c r="A51" s="833" t="s">
        <v>1</v>
      </c>
      <c r="B51" s="835" t="s">
        <v>37</v>
      </c>
      <c r="C51" s="836"/>
      <c r="D51" s="837" t="s">
        <v>35</v>
      </c>
      <c r="E51" s="838"/>
      <c r="F51" s="837" t="s">
        <v>36</v>
      </c>
      <c r="G51" s="838"/>
      <c r="H51" s="839" t="s">
        <v>6</v>
      </c>
      <c r="I51" s="836"/>
      <c r="J51" s="104"/>
      <c r="K51" s="104"/>
      <c r="L51" s="100" t="s">
        <v>566</v>
      </c>
      <c r="M51" s="11"/>
      <c r="N51" s="67">
        <v>2036</v>
      </c>
      <c r="O51" s="76">
        <v>67</v>
      </c>
      <c r="P51" s="76">
        <f t="shared" si="1"/>
        <v>1969</v>
      </c>
      <c r="Q51" s="10">
        <f t="shared" si="9"/>
        <v>2079.2640000000001</v>
      </c>
      <c r="R51" s="54">
        <f t="shared" si="2"/>
        <v>0</v>
      </c>
      <c r="S51" s="103"/>
      <c r="T51" s="36"/>
      <c r="U51" s="46"/>
    </row>
    <row r="52" spans="1:21" ht="16.3" customHeight="1">
      <c r="A52" s="834"/>
      <c r="B52" s="577" t="s">
        <v>3</v>
      </c>
      <c r="C52" s="152" t="s">
        <v>82</v>
      </c>
      <c r="D52" s="577" t="s">
        <v>80</v>
      </c>
      <c r="E52" s="152" t="s">
        <v>81</v>
      </c>
      <c r="F52" s="152" t="s">
        <v>80</v>
      </c>
      <c r="G52" s="151" t="s">
        <v>81</v>
      </c>
      <c r="H52" s="840"/>
      <c r="I52" s="841"/>
      <c r="J52" s="104"/>
      <c r="K52" s="104"/>
      <c r="L52" s="100" t="s">
        <v>567</v>
      </c>
      <c r="M52" s="11"/>
      <c r="N52" s="67">
        <v>2102</v>
      </c>
      <c r="O52" s="76">
        <v>71</v>
      </c>
      <c r="P52" s="76">
        <f t="shared" si="1"/>
        <v>2031</v>
      </c>
      <c r="Q52" s="10">
        <f>P52*(1-S52)*1.06</f>
        <v>2152.86</v>
      </c>
      <c r="R52" s="54">
        <f t="shared" si="2"/>
        <v>0</v>
      </c>
      <c r="S52" s="103"/>
      <c r="T52" s="36"/>
      <c r="U52" s="46"/>
    </row>
    <row r="53" spans="1:21" ht="16.3" customHeight="1">
      <c r="A53" s="160" t="s">
        <v>85</v>
      </c>
      <c r="B53" s="590">
        <v>143</v>
      </c>
      <c r="C53" s="154">
        <v>181</v>
      </c>
      <c r="D53" s="591">
        <v>30</v>
      </c>
      <c r="E53" s="592">
        <v>1120</v>
      </c>
      <c r="F53" s="592">
        <v>28</v>
      </c>
      <c r="G53" s="593">
        <v>1157</v>
      </c>
      <c r="H53" s="846">
        <f>B53+D53-F53</f>
        <v>145</v>
      </c>
      <c r="I53" s="847"/>
      <c r="J53" s="240"/>
      <c r="K53" s="240"/>
      <c r="L53" s="100" t="s">
        <v>568</v>
      </c>
      <c r="M53" s="11"/>
      <c r="N53" s="67">
        <v>2112</v>
      </c>
      <c r="O53" s="76">
        <v>70</v>
      </c>
      <c r="P53" s="76">
        <f t="shared" si="1"/>
        <v>2042</v>
      </c>
      <c r="Q53" s="10">
        <f>P53*(1-S53)*1.073</f>
        <v>2191.0659999999998</v>
      </c>
      <c r="R53" s="54">
        <f t="shared" si="2"/>
        <v>0</v>
      </c>
      <c r="S53" s="103"/>
      <c r="T53" s="36"/>
      <c r="U53" s="46"/>
    </row>
    <row r="54" spans="1:21" ht="16.3" customHeight="1">
      <c r="A54" s="149" t="s">
        <v>79</v>
      </c>
      <c r="B54" s="590">
        <v>92</v>
      </c>
      <c r="C54" s="586">
        <v>99</v>
      </c>
      <c r="D54" s="591">
        <v>0</v>
      </c>
      <c r="E54" s="592">
        <f>348+124</f>
        <v>472</v>
      </c>
      <c r="F54" s="592">
        <v>13</v>
      </c>
      <c r="G54" s="593">
        <v>561</v>
      </c>
      <c r="H54" s="846">
        <f>B54+D54-F54</f>
        <v>79</v>
      </c>
      <c r="I54" s="847"/>
      <c r="J54" s="241"/>
      <c r="K54" s="241"/>
      <c r="L54" s="100" t="s">
        <v>569</v>
      </c>
      <c r="M54" s="11"/>
      <c r="N54" s="67">
        <v>2153</v>
      </c>
      <c r="O54" s="76">
        <v>72</v>
      </c>
      <c r="P54" s="76">
        <f t="shared" si="1"/>
        <v>2081</v>
      </c>
      <c r="Q54" s="10">
        <f t="shared" ref="Q54:Q55" si="10">P54*(1-S54)*1.073</f>
        <v>2232.913</v>
      </c>
      <c r="R54" s="54">
        <f t="shared" si="2"/>
        <v>0</v>
      </c>
      <c r="S54" s="103"/>
      <c r="T54" s="36"/>
      <c r="U54" s="46"/>
    </row>
    <row r="55" spans="1:21" ht="16.3" customHeight="1">
      <c r="A55" s="149" t="s">
        <v>77</v>
      </c>
      <c r="B55" s="590">
        <f>SUM(B53:B54)</f>
        <v>235</v>
      </c>
      <c r="C55" s="590">
        <f>SUM(C53:C54)</f>
        <v>280</v>
      </c>
      <c r="D55" s="590">
        <f t="shared" ref="D55:G55" si="11">SUM(D53:D54)</f>
        <v>30</v>
      </c>
      <c r="E55" s="590">
        <f t="shared" si="11"/>
        <v>1592</v>
      </c>
      <c r="F55" s="590">
        <f t="shared" si="11"/>
        <v>41</v>
      </c>
      <c r="G55" s="590">
        <f t="shared" si="11"/>
        <v>1718</v>
      </c>
      <c r="H55" s="846">
        <f t="shared" ref="H55" si="12">B55+D55-F55</f>
        <v>224</v>
      </c>
      <c r="I55" s="847"/>
      <c r="J55" s="495"/>
      <c r="K55" s="127"/>
      <c r="L55" s="100" t="s">
        <v>570</v>
      </c>
      <c r="M55" s="67"/>
      <c r="N55" s="67">
        <v>2130</v>
      </c>
      <c r="O55" s="76">
        <v>69</v>
      </c>
      <c r="P55" s="76">
        <f t="shared" si="1"/>
        <v>2061</v>
      </c>
      <c r="Q55" s="10">
        <f t="shared" si="10"/>
        <v>2211.453</v>
      </c>
      <c r="R55" s="54">
        <f t="shared" si="2"/>
        <v>0</v>
      </c>
      <c r="S55" s="103"/>
      <c r="T55" s="36"/>
      <c r="U55" s="46"/>
    </row>
    <row r="56" spans="1:21" ht="16.75" customHeight="1">
      <c r="L56" s="100" t="s">
        <v>571</v>
      </c>
      <c r="M56" s="11"/>
      <c r="N56" s="67">
        <v>1306</v>
      </c>
      <c r="O56" s="76">
        <v>43</v>
      </c>
      <c r="P56" s="76">
        <f t="shared" si="1"/>
        <v>1263</v>
      </c>
      <c r="Q56" s="10">
        <f>P56*(1-S56)*1.078</f>
        <v>1361.5140000000001</v>
      </c>
      <c r="R56" s="54">
        <f t="shared" si="2"/>
        <v>0</v>
      </c>
      <c r="S56" s="103"/>
      <c r="T56" s="36"/>
      <c r="U56" s="46"/>
    </row>
    <row r="57" spans="1:21" ht="19.899999999999999" customHeight="1">
      <c r="A57" s="15" t="s">
        <v>321</v>
      </c>
      <c r="B57" s="115"/>
      <c r="F57" s="115"/>
      <c r="H57" s="150"/>
      <c r="J57" s="396"/>
      <c r="K57" s="127"/>
      <c r="L57" s="100" t="s">
        <v>572</v>
      </c>
      <c r="M57" s="11"/>
      <c r="N57" s="67">
        <v>1367</v>
      </c>
      <c r="O57" s="76">
        <v>45</v>
      </c>
      <c r="P57" s="76">
        <f t="shared" si="1"/>
        <v>1322</v>
      </c>
      <c r="Q57" s="10">
        <f t="shared" ref="Q57:Q58" si="13">P57*(1-S57)*1.078</f>
        <v>1425.116</v>
      </c>
      <c r="R57" s="54">
        <f t="shared" si="2"/>
        <v>0</v>
      </c>
      <c r="S57" s="103"/>
      <c r="T57" s="36"/>
      <c r="U57" s="46"/>
    </row>
    <row r="58" spans="1:21" ht="19.899999999999999" customHeight="1">
      <c r="A58" s="194" t="s">
        <v>153</v>
      </c>
      <c r="B58" s="194" t="s">
        <v>154</v>
      </c>
      <c r="C58" s="194" t="s">
        <v>155</v>
      </c>
      <c r="D58" s="194" t="s">
        <v>156</v>
      </c>
      <c r="E58" s="194" t="s">
        <v>54</v>
      </c>
      <c r="F58" s="194" t="s">
        <v>161</v>
      </c>
      <c r="G58" s="116"/>
      <c r="H58" s="394"/>
      <c r="J58" s="59"/>
      <c r="K58" s="59"/>
      <c r="L58" s="100" t="s">
        <v>573</v>
      </c>
      <c r="M58" s="11"/>
      <c r="N58" s="67">
        <v>2136</v>
      </c>
      <c r="O58" s="76">
        <v>115</v>
      </c>
      <c r="P58" s="76">
        <f t="shared" si="1"/>
        <v>2021</v>
      </c>
      <c r="Q58" s="10">
        <f t="shared" si="13"/>
        <v>2178.6379999999999</v>
      </c>
      <c r="R58" s="54">
        <f t="shared" si="2"/>
        <v>0</v>
      </c>
      <c r="S58" s="103"/>
      <c r="T58" s="36"/>
      <c r="U58" s="46"/>
    </row>
    <row r="59" spans="1:21" ht="19.899999999999999" customHeight="1">
      <c r="A59" s="562" t="s">
        <v>625</v>
      </c>
      <c r="B59" s="196"/>
      <c r="C59" s="196">
        <v>252</v>
      </c>
      <c r="D59" s="196">
        <v>1823</v>
      </c>
      <c r="E59" s="576">
        <f>D59-C59</f>
        <v>1571</v>
      </c>
      <c r="F59" s="576"/>
      <c r="G59" s="51"/>
      <c r="H59" s="51"/>
      <c r="J59" s="59"/>
      <c r="K59" s="59"/>
      <c r="L59" s="100" t="s">
        <v>574</v>
      </c>
      <c r="M59" s="11"/>
      <c r="N59" s="67">
        <v>2121</v>
      </c>
      <c r="O59" s="76">
        <v>70</v>
      </c>
      <c r="P59" s="76">
        <f t="shared" si="1"/>
        <v>2051</v>
      </c>
      <c r="Q59" s="10">
        <f>P59*(1-S59)*1.078</f>
        <v>2210.9780000000001</v>
      </c>
      <c r="R59" s="54">
        <f t="shared" si="2"/>
        <v>0</v>
      </c>
      <c r="S59" s="103"/>
      <c r="T59" s="36"/>
      <c r="U59" s="46"/>
    </row>
    <row r="60" spans="1:21" ht="19.899999999999999" customHeight="1">
      <c r="A60" s="562" t="s">
        <v>557</v>
      </c>
      <c r="B60" s="90"/>
      <c r="C60" s="90"/>
      <c r="D60" s="196">
        <v>1823</v>
      </c>
      <c r="E60" s="576">
        <f>E59-C60+B60</f>
        <v>1571</v>
      </c>
      <c r="F60" s="576"/>
      <c r="G60" s="51"/>
      <c r="H60" s="117"/>
      <c r="L60" s="100" t="s">
        <v>575</v>
      </c>
      <c r="M60" s="11"/>
      <c r="N60" s="67">
        <v>1367</v>
      </c>
      <c r="O60" s="76">
        <v>45</v>
      </c>
      <c r="P60" s="76">
        <f t="shared" si="1"/>
        <v>1322</v>
      </c>
      <c r="Q60" s="10">
        <f>P60*(1-S60)*1.052</f>
        <v>1390.7440000000001</v>
      </c>
      <c r="R60" s="54">
        <f t="shared" si="2"/>
        <v>0</v>
      </c>
      <c r="S60" s="103"/>
      <c r="T60" s="36"/>
      <c r="U60" s="46"/>
    </row>
    <row r="61" spans="1:21" ht="19.899999999999999" customHeight="1">
      <c r="A61" s="562" t="s">
        <v>558</v>
      </c>
      <c r="B61" s="90"/>
      <c r="C61" s="90"/>
      <c r="D61" s="196">
        <v>1823</v>
      </c>
      <c r="E61" s="576">
        <f t="shared" ref="E61:E66" si="14">E60-C61+B61</f>
        <v>1571</v>
      </c>
      <c r="F61" s="576"/>
      <c r="G61" s="51"/>
      <c r="H61" s="117"/>
      <c r="L61" s="100" t="s">
        <v>576</v>
      </c>
      <c r="M61" s="11"/>
      <c r="N61" s="67">
        <v>2073</v>
      </c>
      <c r="O61" s="76">
        <v>73</v>
      </c>
      <c r="P61" s="76">
        <f t="shared" si="1"/>
        <v>2000</v>
      </c>
      <c r="Q61" s="10">
        <f>P61*(1-S61)*1.052</f>
        <v>2104</v>
      </c>
      <c r="R61" s="54">
        <f t="shared" si="2"/>
        <v>0</v>
      </c>
      <c r="S61" s="103"/>
      <c r="T61" s="36"/>
      <c r="U61" s="46"/>
    </row>
    <row r="62" spans="1:21" ht="19.899999999999999" customHeight="1">
      <c r="A62" s="562" t="s">
        <v>559</v>
      </c>
      <c r="B62" s="90"/>
      <c r="C62" s="90"/>
      <c r="D62" s="196">
        <v>1823</v>
      </c>
      <c r="E62" s="576">
        <f t="shared" si="14"/>
        <v>1571</v>
      </c>
      <c r="F62" s="576"/>
      <c r="G62" s="118"/>
      <c r="H62" s="117"/>
      <c r="L62" s="100" t="s">
        <v>577</v>
      </c>
      <c r="M62" s="11"/>
      <c r="N62" s="67">
        <v>2123</v>
      </c>
      <c r="O62" s="76">
        <v>74</v>
      </c>
      <c r="P62" s="76">
        <f t="shared" si="1"/>
        <v>2049</v>
      </c>
      <c r="Q62" s="10">
        <f t="shared" ref="Q62:Q66" si="15">P62*(1-S62)*1.075</f>
        <v>2202.6749999999997</v>
      </c>
      <c r="R62" s="54">
        <f t="shared" si="2"/>
        <v>0</v>
      </c>
      <c r="S62" s="103"/>
      <c r="T62" s="36"/>
      <c r="U62" s="46"/>
    </row>
    <row r="63" spans="1:21" ht="19.899999999999999" customHeight="1">
      <c r="A63" s="562" t="s">
        <v>560</v>
      </c>
      <c r="B63" s="90"/>
      <c r="C63" s="90"/>
      <c r="D63" s="196">
        <v>1823</v>
      </c>
      <c r="E63" s="576">
        <f t="shared" si="14"/>
        <v>1571</v>
      </c>
      <c r="F63" s="576"/>
      <c r="G63" s="119"/>
      <c r="H63" s="118"/>
      <c r="I63" s="461"/>
      <c r="J63" s="60"/>
      <c r="L63" s="100" t="s">
        <v>578</v>
      </c>
      <c r="M63" s="11"/>
      <c r="N63" s="67">
        <v>1240</v>
      </c>
      <c r="O63" s="76">
        <v>40</v>
      </c>
      <c r="P63" s="76">
        <f t="shared" si="1"/>
        <v>1200</v>
      </c>
      <c r="Q63" s="10">
        <f t="shared" si="15"/>
        <v>1290</v>
      </c>
      <c r="R63" s="54">
        <f t="shared" si="2"/>
        <v>0</v>
      </c>
      <c r="S63" s="103"/>
      <c r="T63" s="36"/>
      <c r="U63" s="46"/>
    </row>
    <row r="64" spans="1:21">
      <c r="A64" s="562" t="s">
        <v>561</v>
      </c>
      <c r="B64" s="90"/>
      <c r="C64" s="90"/>
      <c r="D64" s="196">
        <v>1823</v>
      </c>
      <c r="E64" s="576">
        <f t="shared" si="14"/>
        <v>1571</v>
      </c>
      <c r="F64" s="576"/>
      <c r="G64" s="119"/>
      <c r="H64" s="118"/>
      <c r="L64" s="100" t="s">
        <v>579</v>
      </c>
      <c r="M64" s="11"/>
      <c r="N64" s="67">
        <v>2064</v>
      </c>
      <c r="O64" s="76">
        <v>76</v>
      </c>
      <c r="P64" s="76">
        <f t="shared" si="1"/>
        <v>1988</v>
      </c>
      <c r="Q64" s="10">
        <f>P64*(1-S64)*1.075</f>
        <v>2137.1</v>
      </c>
      <c r="R64" s="54">
        <f t="shared" si="2"/>
        <v>0</v>
      </c>
      <c r="S64" s="103"/>
      <c r="T64" s="36"/>
      <c r="U64" s="46"/>
    </row>
    <row r="65" spans="1:21">
      <c r="A65" s="562" t="s">
        <v>562</v>
      </c>
      <c r="B65" s="576"/>
      <c r="C65" s="576"/>
      <c r="D65" s="196">
        <v>1823</v>
      </c>
      <c r="E65" s="576">
        <f t="shared" si="14"/>
        <v>1571</v>
      </c>
      <c r="F65" s="576"/>
      <c r="L65" s="100" t="s">
        <v>580</v>
      </c>
      <c r="M65" s="11"/>
      <c r="N65" s="67">
        <v>1854</v>
      </c>
      <c r="O65" s="76">
        <v>62</v>
      </c>
      <c r="P65" s="76">
        <f t="shared" si="1"/>
        <v>1792</v>
      </c>
      <c r="Q65" s="10">
        <f t="shared" si="15"/>
        <v>1926.3999999999999</v>
      </c>
      <c r="R65" s="54">
        <f t="shared" si="2"/>
        <v>0</v>
      </c>
      <c r="S65" s="103"/>
      <c r="T65" s="36"/>
      <c r="U65" s="46"/>
    </row>
    <row r="66" spans="1:21">
      <c r="A66" s="562" t="s">
        <v>563</v>
      </c>
      <c r="B66" s="576"/>
      <c r="C66" s="197"/>
      <c r="D66" s="196">
        <v>1823</v>
      </c>
      <c r="E66" s="576">
        <f t="shared" si="14"/>
        <v>1571</v>
      </c>
      <c r="F66" s="576"/>
      <c r="L66" s="100" t="s">
        <v>581</v>
      </c>
      <c r="M66" s="11"/>
      <c r="N66" s="67">
        <v>1184</v>
      </c>
      <c r="O66" s="76">
        <v>38</v>
      </c>
      <c r="P66" s="76">
        <f t="shared" si="1"/>
        <v>1146</v>
      </c>
      <c r="Q66" s="10">
        <f t="shared" si="15"/>
        <v>1231.95</v>
      </c>
      <c r="R66" s="54">
        <f t="shared" si="2"/>
        <v>0</v>
      </c>
      <c r="S66" s="103"/>
      <c r="T66" s="36"/>
      <c r="U66" s="46"/>
    </row>
    <row r="67" spans="1:21">
      <c r="A67" s="562" t="s">
        <v>564</v>
      </c>
      <c r="B67" s="576"/>
      <c r="C67" s="197"/>
      <c r="D67" s="198"/>
      <c r="E67" s="576"/>
      <c r="F67" s="576"/>
      <c r="L67" s="100" t="s">
        <v>582</v>
      </c>
      <c r="M67" s="11"/>
      <c r="N67" s="76">
        <v>1307</v>
      </c>
      <c r="O67" s="76">
        <v>41</v>
      </c>
      <c r="P67" s="76">
        <f t="shared" si="1"/>
        <v>1266</v>
      </c>
      <c r="Q67" s="10">
        <f>P67*(1-S67)*1.06</f>
        <v>1341.96</v>
      </c>
      <c r="R67" s="54">
        <f t="shared" si="2"/>
        <v>0</v>
      </c>
      <c r="S67" s="103"/>
      <c r="T67" s="36"/>
      <c r="U67" s="46"/>
    </row>
    <row r="68" spans="1:21">
      <c r="A68" s="562" t="s">
        <v>565</v>
      </c>
      <c r="B68" s="90"/>
      <c r="C68" s="90"/>
      <c r="D68" s="198"/>
      <c r="E68" s="576"/>
      <c r="F68" s="576"/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:21">
      <c r="A69" s="562" t="s">
        <v>566</v>
      </c>
      <c r="B69" s="90"/>
      <c r="C69" s="90"/>
      <c r="D69" s="198"/>
      <c r="E69" s="576"/>
      <c r="F69" s="576"/>
      <c r="L69" s="100"/>
      <c r="M69" s="11"/>
      <c r="N69" s="67"/>
      <c r="O69" s="76"/>
      <c r="P69" s="76"/>
      <c r="Q69" s="10">
        <f t="shared" ref="Q69:Q70" si="16">P69*(1-S69)*1.057</f>
        <v>0</v>
      </c>
      <c r="R69" s="54">
        <f t="shared" si="2"/>
        <v>0</v>
      </c>
      <c r="S69" s="103"/>
      <c r="T69" s="36"/>
      <c r="U69" s="46"/>
    </row>
    <row r="70" spans="1:21">
      <c r="A70" s="562" t="s">
        <v>567</v>
      </c>
      <c r="B70" s="90"/>
      <c r="C70" s="90"/>
      <c r="D70" s="198"/>
      <c r="E70" s="576"/>
      <c r="F70" s="576"/>
      <c r="L70" s="11" t="s">
        <v>7</v>
      </c>
      <c r="M70" s="120">
        <f t="shared" ref="M70:R70" si="17">SUM(M37:M69)</f>
        <v>0</v>
      </c>
      <c r="N70" s="120">
        <f t="shared" si="17"/>
        <v>51594</v>
      </c>
      <c r="O70" s="61">
        <f t="shared" si="17"/>
        <v>1800</v>
      </c>
      <c r="P70" s="61">
        <f t="shared" si="17"/>
        <v>49794</v>
      </c>
      <c r="Q70" s="10">
        <f t="shared" si="16"/>
        <v>52632.257999999994</v>
      </c>
      <c r="R70" s="61">
        <f t="shared" si="17"/>
        <v>0</v>
      </c>
      <c r="S70" s="62"/>
      <c r="T70" s="113"/>
      <c r="U70" s="46"/>
    </row>
    <row r="71" spans="1:21">
      <c r="A71" s="562" t="s">
        <v>568</v>
      </c>
      <c r="B71" s="90"/>
      <c r="C71" s="90"/>
      <c r="D71" s="198"/>
      <c r="E71" s="576"/>
      <c r="F71" s="576"/>
      <c r="L71" s="101" t="s">
        <v>56</v>
      </c>
      <c r="M71" s="9"/>
      <c r="Q71" s="36"/>
      <c r="S71" s="63"/>
      <c r="T71" s="70"/>
      <c r="U71" s="69"/>
    </row>
    <row r="72" spans="1:21">
      <c r="A72" s="562" t="s">
        <v>569</v>
      </c>
      <c r="B72" s="90"/>
      <c r="C72" s="90"/>
      <c r="D72" s="198"/>
      <c r="E72" s="576"/>
      <c r="F72" s="576"/>
      <c r="Q72" s="49"/>
      <c r="R72" s="64"/>
    </row>
    <row r="73" spans="1:21">
      <c r="A73" s="562" t="s">
        <v>570</v>
      </c>
      <c r="B73" s="90"/>
      <c r="C73" s="90"/>
      <c r="D73" s="198"/>
      <c r="E73" s="576"/>
      <c r="F73" s="576"/>
      <c r="M73" s="114"/>
      <c r="Q73" s="111"/>
    </row>
    <row r="74" spans="1:21">
      <c r="A74" s="562" t="s">
        <v>571</v>
      </c>
      <c r="B74" s="90"/>
      <c r="C74" s="90"/>
      <c r="D74" s="198"/>
      <c r="E74" s="576"/>
      <c r="F74" s="576"/>
    </row>
    <row r="75" spans="1:21">
      <c r="A75" s="562" t="s">
        <v>572</v>
      </c>
      <c r="B75" s="90"/>
      <c r="C75" s="90"/>
      <c r="D75" s="198"/>
      <c r="E75" s="576"/>
      <c r="F75" s="576"/>
    </row>
    <row r="76" spans="1:21">
      <c r="A76" s="562" t="s">
        <v>573</v>
      </c>
      <c r="B76" s="90"/>
      <c r="C76" s="90"/>
      <c r="D76" s="198"/>
      <c r="E76" s="576"/>
      <c r="F76" s="576"/>
    </row>
    <row r="77" spans="1:21">
      <c r="A77" s="562" t="s">
        <v>574</v>
      </c>
      <c r="B77" s="90"/>
      <c r="C77" s="90"/>
      <c r="D77" s="198"/>
      <c r="E77" s="576"/>
      <c r="F77" s="576"/>
    </row>
    <row r="78" spans="1:21">
      <c r="A78" s="562" t="s">
        <v>575</v>
      </c>
      <c r="B78" s="90"/>
      <c r="C78" s="90"/>
      <c r="D78" s="198"/>
      <c r="E78" s="576"/>
      <c r="F78" s="576"/>
    </row>
    <row r="79" spans="1:21">
      <c r="A79" s="562" t="s">
        <v>576</v>
      </c>
      <c r="B79" s="90"/>
      <c r="C79" s="90"/>
      <c r="D79" s="198"/>
      <c r="E79" s="576"/>
      <c r="F79" s="576"/>
    </row>
    <row r="80" spans="1:21">
      <c r="A80" s="562" t="s">
        <v>577</v>
      </c>
      <c r="B80" s="90"/>
      <c r="C80" s="90"/>
      <c r="D80" s="198"/>
      <c r="E80" s="576"/>
      <c r="F80" s="576"/>
    </row>
    <row r="81" spans="1:18">
      <c r="A81" s="562" t="s">
        <v>578</v>
      </c>
      <c r="B81" s="90"/>
      <c r="C81" s="90"/>
      <c r="D81" s="198"/>
      <c r="E81" s="576"/>
      <c r="F81" s="576"/>
    </row>
    <row r="82" spans="1:18">
      <c r="A82" s="562" t="s">
        <v>579</v>
      </c>
      <c r="B82" s="90"/>
      <c r="C82" s="90"/>
      <c r="D82" s="198"/>
      <c r="E82" s="576"/>
      <c r="F82" s="576"/>
      <c r="N82" s="46"/>
      <c r="O82" s="46"/>
      <c r="P82" s="46"/>
      <c r="Q82" s="65"/>
      <c r="R82" s="65"/>
    </row>
    <row r="83" spans="1:18">
      <c r="A83" s="562" t="s">
        <v>580</v>
      </c>
      <c r="B83" s="90"/>
      <c r="C83" s="90"/>
      <c r="D83" s="198"/>
      <c r="E83" s="576"/>
      <c r="F83" s="576"/>
      <c r="M83" s="72"/>
    </row>
    <row r="84" spans="1:18">
      <c r="A84" s="562" t="s">
        <v>581</v>
      </c>
      <c r="B84" s="90"/>
      <c r="C84" s="90"/>
      <c r="D84" s="198"/>
      <c r="E84" s="576"/>
      <c r="F84" s="576"/>
      <c r="M84" s="72"/>
    </row>
    <row r="85" spans="1:18">
      <c r="A85" s="562" t="s">
        <v>582</v>
      </c>
      <c r="B85" s="90"/>
      <c r="C85" s="90"/>
      <c r="D85" s="198"/>
      <c r="E85" s="576"/>
      <c r="F85" s="576"/>
      <c r="L85" s="284"/>
      <c r="M85" s="72"/>
    </row>
    <row r="86" spans="1:18">
      <c r="A86" s="562"/>
      <c r="B86" s="90"/>
      <c r="C86" s="90"/>
      <c r="D86" s="198"/>
      <c r="E86" s="576"/>
      <c r="F86" s="576"/>
      <c r="L86" s="284"/>
    </row>
    <row r="87" spans="1:18">
      <c r="A87" s="562"/>
      <c r="B87" s="90"/>
      <c r="C87" s="90"/>
      <c r="D87" s="198"/>
      <c r="E87" s="576"/>
      <c r="F87" s="576"/>
    </row>
    <row r="88" spans="1:18">
      <c r="A88" s="325"/>
      <c r="B88" s="90"/>
      <c r="C88" s="90"/>
      <c r="D88" s="198"/>
      <c r="E88" s="576"/>
      <c r="F88" s="576"/>
      <c r="L88" s="284"/>
    </row>
    <row r="89" spans="1:18">
      <c r="A89" s="325"/>
      <c r="B89" s="90"/>
      <c r="C89" s="90"/>
      <c r="D89" s="198"/>
      <c r="E89" s="576"/>
      <c r="F89" s="576"/>
      <c r="L89" s="284"/>
      <c r="M89" s="284"/>
    </row>
    <row r="90" spans="1:18">
      <c r="A90" s="325"/>
      <c r="B90" s="90"/>
      <c r="C90" s="90"/>
      <c r="D90" s="198"/>
      <c r="E90" s="576"/>
      <c r="F90" s="576"/>
    </row>
    <row r="91" spans="1:18">
      <c r="A91" s="325"/>
      <c r="B91" s="90"/>
      <c r="C91" s="90"/>
      <c r="D91" s="198"/>
      <c r="E91" s="576"/>
      <c r="F91" s="576"/>
    </row>
    <row r="92" spans="1:18">
      <c r="A92" s="331"/>
      <c r="B92" s="90"/>
      <c r="C92" s="90"/>
      <c r="D92" s="198"/>
      <c r="E92" s="576"/>
      <c r="F92" s="576"/>
    </row>
    <row r="93" spans="1:18">
      <c r="A93" s="331"/>
      <c r="B93" s="90"/>
      <c r="C93" s="90"/>
      <c r="D93" s="198"/>
      <c r="E93" s="576"/>
      <c r="F93" s="576"/>
    </row>
    <row r="94" spans="1:18">
      <c r="A94" s="335"/>
      <c r="B94" s="90"/>
      <c r="C94" s="90"/>
      <c r="D94" s="198"/>
      <c r="E94" s="576"/>
      <c r="F94" s="576"/>
    </row>
    <row r="95" spans="1:18">
      <c r="A95" s="335"/>
      <c r="B95" s="90"/>
      <c r="C95" s="90"/>
      <c r="D95" s="198"/>
      <c r="E95" s="576"/>
      <c r="F95" s="576"/>
    </row>
    <row r="96" spans="1:18">
      <c r="A96" s="584"/>
      <c r="B96" s="90"/>
      <c r="C96" s="90"/>
      <c r="D96" s="198"/>
      <c r="E96" s="576"/>
      <c r="F96" s="576"/>
    </row>
    <row r="97" spans="1:6">
      <c r="A97" s="584"/>
      <c r="B97" s="90"/>
      <c r="C97" s="90"/>
      <c r="D97" s="198"/>
      <c r="E97" s="576"/>
      <c r="F97" s="576"/>
    </row>
    <row r="98" spans="1:6">
      <c r="A98" s="584"/>
      <c r="B98" s="90"/>
      <c r="C98" s="90"/>
      <c r="D98" s="198"/>
      <c r="E98" s="576"/>
      <c r="F98" s="576"/>
    </row>
    <row r="99" spans="1:6">
      <c r="A99" s="584"/>
      <c r="B99" s="90"/>
      <c r="C99" s="90"/>
      <c r="D99" s="198"/>
      <c r="E99" s="576"/>
      <c r="F99" s="576"/>
    </row>
    <row r="100" spans="1:6">
      <c r="A100" s="584"/>
      <c r="B100" s="90"/>
      <c r="C100" s="90"/>
      <c r="D100" s="198"/>
      <c r="E100" s="576"/>
      <c r="F100" s="576"/>
    </row>
    <row r="101" spans="1:6">
      <c r="A101" s="380"/>
      <c r="B101" s="90"/>
      <c r="C101" s="90"/>
      <c r="D101" s="198"/>
      <c r="E101" s="576"/>
      <c r="F101" s="576"/>
    </row>
    <row r="102" spans="1:6">
      <c r="A102" s="380"/>
      <c r="B102" s="90"/>
      <c r="C102" s="90"/>
      <c r="D102" s="198"/>
      <c r="E102" s="576"/>
      <c r="F102" s="576"/>
    </row>
    <row r="103" spans="1:6">
      <c r="A103" s="393"/>
      <c r="B103" s="90"/>
      <c r="C103" s="90"/>
      <c r="D103" s="198"/>
      <c r="E103" s="576"/>
      <c r="F103" s="576"/>
    </row>
    <row r="104" spans="1:6">
      <c r="A104" s="393"/>
      <c r="B104" s="90"/>
      <c r="C104" s="90"/>
      <c r="D104" s="198"/>
      <c r="E104" s="576"/>
      <c r="F104" s="576"/>
    </row>
    <row r="105" spans="1:6">
      <c r="A105" s="402"/>
      <c r="B105" s="90"/>
      <c r="C105" s="90"/>
      <c r="D105" s="198"/>
      <c r="E105" s="576"/>
      <c r="F105" s="576"/>
    </row>
    <row r="106" spans="1:6">
      <c r="A106" s="402"/>
      <c r="B106" s="90"/>
      <c r="C106" s="90"/>
      <c r="D106" s="198"/>
      <c r="E106" s="576"/>
      <c r="F106" s="576"/>
    </row>
    <row r="107" spans="1:6">
      <c r="A107" s="402"/>
      <c r="B107" s="90"/>
      <c r="C107" s="90"/>
      <c r="D107" s="198"/>
      <c r="E107" s="576"/>
      <c r="F107" s="576"/>
    </row>
    <row r="108" spans="1:6">
      <c r="A108" s="402"/>
      <c r="B108" s="90"/>
      <c r="C108" s="90"/>
      <c r="D108" s="198"/>
      <c r="E108" s="576"/>
      <c r="F108" s="576"/>
    </row>
    <row r="109" spans="1:6">
      <c r="A109" s="402"/>
      <c r="B109" s="90"/>
      <c r="C109" s="90"/>
      <c r="D109" s="198"/>
      <c r="E109" s="576"/>
      <c r="F109" s="576"/>
    </row>
    <row r="110" spans="1:6">
      <c r="A110" s="412"/>
      <c r="B110" s="90"/>
      <c r="C110" s="90"/>
      <c r="D110" s="198"/>
      <c r="E110" s="576"/>
      <c r="F110" s="576"/>
    </row>
    <row r="111" spans="1:6">
      <c r="A111" s="412"/>
      <c r="B111" s="90"/>
      <c r="C111" s="90"/>
      <c r="D111" s="198"/>
      <c r="E111" s="576"/>
      <c r="F111" s="576"/>
    </row>
    <row r="112" spans="1:6">
      <c r="A112" s="412"/>
      <c r="B112" s="90"/>
      <c r="C112" s="90"/>
      <c r="D112" s="198"/>
      <c r="E112" s="576"/>
      <c r="F112" s="576"/>
    </row>
    <row r="113" spans="1:6">
      <c r="A113" s="412"/>
      <c r="B113" s="90"/>
      <c r="C113" s="90"/>
      <c r="D113" s="198"/>
      <c r="E113" s="576"/>
      <c r="F113" s="576"/>
    </row>
    <row r="114" spans="1:6">
      <c r="A114" s="412"/>
      <c r="B114" s="90"/>
      <c r="C114" s="90"/>
      <c r="D114" s="198"/>
      <c r="E114" s="576"/>
      <c r="F114" s="576"/>
    </row>
    <row r="115" spans="1:6">
      <c r="A115" s="412"/>
      <c r="B115" s="90"/>
      <c r="C115" s="90"/>
      <c r="D115" s="198"/>
      <c r="E115" s="576"/>
      <c r="F115" s="576"/>
    </row>
    <row r="116" spans="1:6">
      <c r="A116" s="412"/>
      <c r="B116" s="90"/>
      <c r="C116" s="90"/>
      <c r="D116" s="198"/>
      <c r="E116" s="576"/>
      <c r="F116" s="576"/>
    </row>
    <row r="117" spans="1:6">
      <c r="A117" s="412"/>
      <c r="B117" s="90"/>
      <c r="C117" s="90"/>
      <c r="D117" s="198"/>
      <c r="E117" s="576"/>
      <c r="F117" s="576"/>
    </row>
    <row r="118" spans="1:6">
      <c r="A118" s="412"/>
      <c r="B118" s="90"/>
      <c r="C118" s="90"/>
      <c r="D118" s="198"/>
      <c r="E118" s="576"/>
      <c r="F118" s="576"/>
    </row>
    <row r="119" spans="1:6">
      <c r="A119" s="435"/>
      <c r="B119" s="90"/>
      <c r="C119" s="90"/>
      <c r="D119" s="198"/>
      <c r="E119" s="576"/>
      <c r="F119" s="576"/>
    </row>
    <row r="120" spans="1:6">
      <c r="A120" s="412"/>
      <c r="B120" s="90"/>
      <c r="C120" s="90"/>
      <c r="D120" s="198"/>
      <c r="E120" s="576"/>
      <c r="F120" s="576"/>
    </row>
    <row r="121" spans="1:6">
      <c r="A121" s="412"/>
      <c r="B121" s="90"/>
      <c r="C121" s="90"/>
      <c r="D121" s="198"/>
      <c r="E121" s="576"/>
      <c r="F121" s="576"/>
    </row>
    <row r="122" spans="1:6">
      <c r="A122" s="412"/>
      <c r="B122" s="90"/>
      <c r="C122" s="90"/>
      <c r="D122" s="198"/>
      <c r="E122" s="576"/>
      <c r="F122" s="576"/>
    </row>
    <row r="123" spans="1:6">
      <c r="A123" s="412"/>
      <c r="B123" s="90"/>
      <c r="C123" s="90"/>
      <c r="D123" s="198"/>
      <c r="E123" s="576"/>
      <c r="F123" s="576"/>
    </row>
    <row r="124" spans="1:6">
      <c r="A124" s="412"/>
      <c r="B124" s="90"/>
      <c r="C124" s="90"/>
      <c r="D124" s="198"/>
      <c r="E124" s="576"/>
      <c r="F124" s="576"/>
    </row>
    <row r="125" spans="1:6">
      <c r="A125" s="412" t="s">
        <v>459</v>
      </c>
      <c r="B125" s="90"/>
      <c r="C125" s="90"/>
      <c r="D125" s="198"/>
      <c r="E125" s="576"/>
      <c r="F125" s="576"/>
    </row>
    <row r="126" spans="1:6">
      <c r="A126" s="277"/>
      <c r="B126" s="90"/>
      <c r="C126" s="90"/>
      <c r="D126" s="90"/>
      <c r="E126" s="90"/>
      <c r="F126" s="90"/>
    </row>
    <row r="127" spans="1:6">
      <c r="A127" s="194" t="s">
        <v>31</v>
      </c>
      <c r="B127" s="576">
        <f>SUM(B60:B126)</f>
        <v>0</v>
      </c>
      <c r="C127" s="576">
        <f>SUM(C60:C126)</f>
        <v>0</v>
      </c>
      <c r="D127" s="197"/>
      <c r="E127" s="576"/>
      <c r="F127" s="576"/>
    </row>
    <row r="129" spans="11:15">
      <c r="K129" s="100" t="s">
        <v>381</v>
      </c>
      <c r="L129" s="351" t="s">
        <v>376</v>
      </c>
      <c r="M129" s="379" t="s">
        <v>394</v>
      </c>
    </row>
    <row r="130" spans="11:15">
      <c r="K130" s="100" t="s">
        <v>343</v>
      </c>
      <c r="L130" s="13">
        <v>-146</v>
      </c>
      <c r="M130" s="13">
        <v>-172</v>
      </c>
    </row>
    <row r="131" spans="11:15">
      <c r="K131" s="100" t="s">
        <v>344</v>
      </c>
      <c r="L131" s="13">
        <v>113</v>
      </c>
      <c r="M131" s="13">
        <v>277</v>
      </c>
    </row>
    <row r="132" spans="11:15">
      <c r="K132" s="100" t="s">
        <v>345</v>
      </c>
      <c r="L132" s="13">
        <v>-59</v>
      </c>
      <c r="M132" s="13">
        <v>237</v>
      </c>
    </row>
    <row r="133" spans="11:15">
      <c r="K133" s="100" t="s">
        <v>346</v>
      </c>
      <c r="L133" s="13">
        <v>-135</v>
      </c>
      <c r="M133" s="13">
        <v>14</v>
      </c>
    </row>
    <row r="134" spans="11:15">
      <c r="K134" s="100" t="s">
        <v>347</v>
      </c>
      <c r="L134" s="13">
        <v>175</v>
      </c>
      <c r="M134" s="13">
        <v>95</v>
      </c>
    </row>
    <row r="135" spans="11:15">
      <c r="K135" s="100" t="s">
        <v>348</v>
      </c>
      <c r="L135" s="13">
        <v>-38</v>
      </c>
      <c r="M135" s="13">
        <v>-179</v>
      </c>
    </row>
    <row r="136" spans="11:15">
      <c r="K136" s="100" t="s">
        <v>349</v>
      </c>
      <c r="L136" s="13">
        <v>-232</v>
      </c>
      <c r="M136" s="13">
        <f>SUM(M130:M135)</f>
        <v>272</v>
      </c>
      <c r="N136" s="13">
        <v>4285</v>
      </c>
      <c r="O136" s="13">
        <f>N136-M136</f>
        <v>4013</v>
      </c>
    </row>
    <row r="137" spans="11:15">
      <c r="K137" s="100" t="s">
        <v>350</v>
      </c>
      <c r="L137" s="13">
        <v>304</v>
      </c>
      <c r="M137" s="13">
        <v>177</v>
      </c>
    </row>
    <row r="138" spans="11:15">
      <c r="K138" s="100" t="s">
        <v>351</v>
      </c>
      <c r="L138" s="13">
        <v>32</v>
      </c>
      <c r="M138" s="13">
        <v>-51</v>
      </c>
    </row>
    <row r="139" spans="11:15">
      <c r="K139" s="100" t="s">
        <v>352</v>
      </c>
      <c r="L139" s="13">
        <v>275</v>
      </c>
      <c r="M139" s="13">
        <v>368</v>
      </c>
    </row>
    <row r="140" spans="11:15">
      <c r="K140" s="100" t="s">
        <v>353</v>
      </c>
      <c r="L140" s="13">
        <v>8</v>
      </c>
      <c r="M140" s="13">
        <v>-14</v>
      </c>
    </row>
    <row r="141" spans="11:15">
      <c r="K141" s="100" t="s">
        <v>354</v>
      </c>
      <c r="L141" s="13">
        <v>35</v>
      </c>
      <c r="M141" s="13">
        <v>77</v>
      </c>
    </row>
    <row r="142" spans="11:15">
      <c r="K142" s="100" t="s">
        <v>355</v>
      </c>
      <c r="L142" s="13">
        <v>-24</v>
      </c>
      <c r="M142" s="13">
        <v>-201</v>
      </c>
    </row>
    <row r="143" spans="11:15">
      <c r="K143" s="100" t="s">
        <v>356</v>
      </c>
      <c r="L143" s="13">
        <v>-633</v>
      </c>
      <c r="M143" s="13">
        <v>-96</v>
      </c>
      <c r="N143" s="13">
        <f>SUM(L130:L143)</f>
        <v>-325</v>
      </c>
      <c r="O143" s="13">
        <f>SUM(M130:M143)</f>
        <v>804</v>
      </c>
    </row>
    <row r="144" spans="11:15">
      <c r="K144" s="100" t="s">
        <v>357</v>
      </c>
    </row>
    <row r="145" spans="11:11">
      <c r="K145" s="100" t="s">
        <v>358</v>
      </c>
    </row>
    <row r="146" spans="11:11">
      <c r="K146" s="100" t="s">
        <v>359</v>
      </c>
    </row>
    <row r="147" spans="11:11">
      <c r="K147" s="100" t="s">
        <v>360</v>
      </c>
    </row>
    <row r="148" spans="11:11">
      <c r="K148" s="100" t="s">
        <v>361</v>
      </c>
    </row>
    <row r="149" spans="11:11">
      <c r="K149" s="100" t="s">
        <v>362</v>
      </c>
    </row>
    <row r="150" spans="11:11">
      <c r="K150" s="100" t="s">
        <v>363</v>
      </c>
    </row>
    <row r="151" spans="11:11">
      <c r="K151" s="100" t="s">
        <v>364</v>
      </c>
    </row>
    <row r="152" spans="11:11">
      <c r="K152" s="100" t="s">
        <v>365</v>
      </c>
    </row>
    <row r="153" spans="11:11">
      <c r="K153" s="100" t="s">
        <v>366</v>
      </c>
    </row>
    <row r="154" spans="11:11">
      <c r="K154" s="100" t="s">
        <v>367</v>
      </c>
    </row>
    <row r="155" spans="11:11">
      <c r="K155" s="100" t="s">
        <v>368</v>
      </c>
    </row>
    <row r="156" spans="11:11">
      <c r="K156" s="100" t="s">
        <v>369</v>
      </c>
    </row>
    <row r="157" spans="11:11">
      <c r="K157" s="100" t="s">
        <v>370</v>
      </c>
    </row>
    <row r="158" spans="11:11">
      <c r="K158" s="100" t="s">
        <v>371</v>
      </c>
    </row>
    <row r="159" spans="11:11">
      <c r="K159" s="100"/>
    </row>
    <row r="160" spans="11:11">
      <c r="K160" s="11" t="s">
        <v>7</v>
      </c>
    </row>
    <row r="161" spans="12:12">
      <c r="L161" s="13">
        <f>SUM(L130:L160)</f>
        <v>-325</v>
      </c>
    </row>
  </sheetData>
  <mergeCells count="98">
    <mergeCell ref="H54:I54"/>
    <mergeCell ref="H55:I55"/>
    <mergeCell ref="A51:A52"/>
    <mergeCell ref="B51:C51"/>
    <mergeCell ref="D51:E51"/>
    <mergeCell ref="F51:G51"/>
    <mergeCell ref="H51:I52"/>
    <mergeCell ref="H53:I53"/>
    <mergeCell ref="C46:D46"/>
    <mergeCell ref="G46:H46"/>
    <mergeCell ref="C47:D47"/>
    <mergeCell ref="G47:H47"/>
    <mergeCell ref="C48:D48"/>
    <mergeCell ref="G48:H48"/>
    <mergeCell ref="C43:D43"/>
    <mergeCell ref="G43:H43"/>
    <mergeCell ref="C44:D44"/>
    <mergeCell ref="G44:H44"/>
    <mergeCell ref="C45:D45"/>
    <mergeCell ref="G45:H45"/>
    <mergeCell ref="A40:A41"/>
    <mergeCell ref="C40:D41"/>
    <mergeCell ref="E40:H40"/>
    <mergeCell ref="I40:I41"/>
    <mergeCell ref="G41:H4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B25:B26"/>
    <mergeCell ref="C25:D25"/>
    <mergeCell ref="E25:F26"/>
    <mergeCell ref="G25:G26"/>
    <mergeCell ref="H25:H26"/>
    <mergeCell ref="I25:I26"/>
    <mergeCell ref="C26:D26"/>
    <mergeCell ref="C17:D17"/>
    <mergeCell ref="E17:F17"/>
    <mergeCell ref="G17:I17"/>
    <mergeCell ref="C18:D18"/>
    <mergeCell ref="G18:I18"/>
    <mergeCell ref="A23:A24"/>
    <mergeCell ref="B23:B24"/>
    <mergeCell ref="C23:D24"/>
    <mergeCell ref="E23:F24"/>
    <mergeCell ref="G23:I23"/>
    <mergeCell ref="C15:D15"/>
    <mergeCell ref="E15:F15"/>
    <mergeCell ref="G15:I15"/>
    <mergeCell ref="C16:D16"/>
    <mergeCell ref="E16:F16"/>
    <mergeCell ref="G16:I16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Q5:R5"/>
    <mergeCell ref="H6:I6"/>
    <mergeCell ref="C7:D7"/>
    <mergeCell ref="E7:F7"/>
    <mergeCell ref="H7:I7"/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7825-0F64-4AE8-88F1-D73C3ED2DD2D}">
  <dimension ref="A1:U89"/>
  <sheetViews>
    <sheetView tabSelected="1" workbookViewId="0">
      <selection activeCell="L18" sqref="L18"/>
    </sheetView>
  </sheetViews>
  <sheetFormatPr defaultColWidth="8.69921875" defaultRowHeight="18.2"/>
  <cols>
    <col min="1" max="1" width="15.19921875" style="13" customWidth="1"/>
    <col min="2" max="2" width="11.19921875" style="13" customWidth="1"/>
    <col min="3" max="4" width="7.69921875" style="13" customWidth="1"/>
    <col min="5" max="5" width="8.59765625" style="13" customWidth="1"/>
    <col min="6" max="6" width="8.8984375" style="13" customWidth="1"/>
    <col min="7" max="7" width="9.19921875" style="13" customWidth="1"/>
    <col min="8" max="8" width="8.09765625" style="13" customWidth="1"/>
    <col min="9" max="9" width="8.59765625" style="13" customWidth="1"/>
    <col min="10" max="10" width="11.19921875" style="13" bestFit="1" customWidth="1"/>
    <col min="11" max="13" width="11.19921875" style="13" customWidth="1"/>
    <col min="14" max="14" width="14.19921875" style="13" customWidth="1"/>
    <col min="15" max="15" width="11.3984375" style="13" customWidth="1"/>
    <col min="16" max="16" width="10.09765625" style="13" customWidth="1"/>
    <col min="17" max="17" width="10.3984375" style="13" customWidth="1"/>
    <col min="18" max="18" width="11.296875" style="13" customWidth="1"/>
    <col min="19" max="19" width="8.69921875" style="13" customWidth="1"/>
    <col min="20" max="20" width="9.3984375" style="13" customWidth="1"/>
    <col min="21" max="21" width="10.3984375" style="13" customWidth="1"/>
    <col min="22" max="16384" width="8.69921875" style="13"/>
  </cols>
  <sheetData>
    <row r="1" spans="1:21" ht="21" customHeight="1">
      <c r="A1" s="864" t="s">
        <v>257</v>
      </c>
      <c r="B1" s="865"/>
      <c r="C1" s="865"/>
      <c r="D1" s="865"/>
      <c r="E1" s="865"/>
      <c r="F1" s="865"/>
      <c r="G1" s="865"/>
      <c r="H1" s="865"/>
      <c r="I1" s="865"/>
    </row>
    <row r="2" spans="1:21" ht="14.4" customHeight="1">
      <c r="A2" s="627"/>
      <c r="B2" s="627"/>
      <c r="C2" s="627"/>
      <c r="D2" s="627"/>
      <c r="E2" s="627"/>
      <c r="F2" s="627"/>
      <c r="G2" s="627"/>
      <c r="H2" s="627"/>
      <c r="I2" s="627"/>
    </row>
    <row r="3" spans="1:21" ht="17.399999999999999" customHeight="1">
      <c r="J3" s="14"/>
      <c r="K3" s="14"/>
      <c r="L3" s="14"/>
      <c r="M3" s="14"/>
    </row>
    <row r="4" spans="1:21">
      <c r="A4" s="15" t="s">
        <v>9</v>
      </c>
      <c r="H4" s="950" t="s">
        <v>685</v>
      </c>
      <c r="I4" s="893"/>
      <c r="N4" s="16"/>
      <c r="O4" s="81"/>
    </row>
    <row r="5" spans="1:21" ht="17.399999999999999" customHeight="1">
      <c r="A5" s="736" t="s">
        <v>10</v>
      </c>
      <c r="B5" s="937" t="s">
        <v>612</v>
      </c>
      <c r="C5" s="736" t="s">
        <v>12</v>
      </c>
      <c r="D5" s="740"/>
      <c r="E5" s="742" t="s">
        <v>39</v>
      </c>
      <c r="F5" s="743"/>
      <c r="G5" s="951" t="s">
        <v>637</v>
      </c>
      <c r="H5" s="747"/>
      <c r="I5" s="747"/>
      <c r="J5" s="75"/>
      <c r="K5" s="75"/>
      <c r="M5" s="359"/>
      <c r="N5" s="360"/>
      <c r="O5" s="629"/>
      <c r="P5" s="629"/>
      <c r="Q5" s="748"/>
      <c r="R5" s="748"/>
      <c r="S5" s="629"/>
      <c r="T5" s="629"/>
    </row>
    <row r="6" spans="1:21" ht="18.8" thickBot="1">
      <c r="A6" s="737"/>
      <c r="B6" s="739"/>
      <c r="C6" s="737"/>
      <c r="D6" s="741"/>
      <c r="E6" s="744"/>
      <c r="F6" s="745"/>
      <c r="G6" s="87" t="s">
        <v>13</v>
      </c>
      <c r="H6" s="952" t="s">
        <v>239</v>
      </c>
      <c r="I6" s="750"/>
      <c r="L6" s="353"/>
      <c r="N6" s="360"/>
      <c r="O6" s="629"/>
      <c r="P6" s="82"/>
      <c r="Q6" s="629"/>
      <c r="R6" s="82"/>
      <c r="S6" s="82"/>
      <c r="T6" s="293"/>
      <c r="U6" s="107"/>
    </row>
    <row r="7" spans="1:21" ht="18.8" thickTop="1">
      <c r="A7" s="19" t="s">
        <v>14</v>
      </c>
      <c r="B7" s="20">
        <v>15.5</v>
      </c>
      <c r="C7" s="751">
        <v>1307.3</v>
      </c>
      <c r="D7" s="752"/>
      <c r="E7" s="753">
        <f>(C7/B7)+0.04</f>
        <v>84.381935483870976</v>
      </c>
      <c r="F7" s="754"/>
      <c r="G7" s="88"/>
      <c r="H7" s="755"/>
      <c r="I7" s="755"/>
      <c r="J7" s="13">
        <f>50/60</f>
        <v>0.83333333333333337</v>
      </c>
      <c r="K7" s="13">
        <f>1300/60</f>
        <v>21.666666666666668</v>
      </c>
      <c r="L7" s="353"/>
      <c r="M7" s="49"/>
      <c r="N7" s="361"/>
      <c r="O7" s="629"/>
      <c r="P7" s="22"/>
      <c r="Q7" s="17"/>
      <c r="R7" s="17"/>
      <c r="S7" s="17"/>
      <c r="U7" s="369"/>
    </row>
    <row r="8" spans="1:21">
      <c r="A8" s="23" t="s">
        <v>15</v>
      </c>
      <c r="B8" s="74">
        <f>24+24+24+15.66+24+15.67+10.33+24+23.17+15.67+16.83+14.7+15.67+15.67+14.8+15.5+15.5+24+15.67+23.66+23.66+23.66+14.83+15.66+23.83+15.5</f>
        <v>489.64000000000004</v>
      </c>
      <c r="C8" s="769">
        <f>33471+2040+1233+1312+2075.5+1307.3</f>
        <v>41438.800000000003</v>
      </c>
      <c r="D8" s="770"/>
      <c r="E8" s="771">
        <f>C8/B8</f>
        <v>84.631157585164615</v>
      </c>
      <c r="F8" s="772"/>
      <c r="G8" s="86">
        <v>46700</v>
      </c>
      <c r="H8" s="773">
        <v>41700</v>
      </c>
      <c r="I8" s="773"/>
      <c r="K8" s="13">
        <f>21*60</f>
        <v>1260</v>
      </c>
      <c r="L8" s="446"/>
      <c r="N8" s="361"/>
      <c r="O8" s="629"/>
      <c r="P8" s="22"/>
      <c r="Q8" s="14"/>
      <c r="T8" s="107"/>
      <c r="U8" s="107"/>
    </row>
    <row r="9" spans="1:21">
      <c r="A9" s="23" t="s">
        <v>16</v>
      </c>
      <c r="B9" s="24">
        <f>3657.1+B8</f>
        <v>4146.74</v>
      </c>
      <c r="C9" s="774">
        <f>299812+C8</f>
        <v>341250.8</v>
      </c>
      <c r="D9" s="775"/>
      <c r="E9" s="771">
        <f>C9/B9</f>
        <v>82.293753647443538</v>
      </c>
      <c r="F9" s="772"/>
      <c r="G9" s="21"/>
      <c r="H9" s="776"/>
      <c r="I9" s="777"/>
      <c r="J9" s="368" t="s">
        <v>389</v>
      </c>
      <c r="L9" s="13">
        <v>277544</v>
      </c>
      <c r="M9" s="359">
        <v>5.3064999999999998</v>
      </c>
      <c r="N9" s="360">
        <f>M9*L9</f>
        <v>1472787.236</v>
      </c>
      <c r="O9" s="629"/>
      <c r="P9" s="362"/>
      <c r="Q9" s="123"/>
      <c r="S9" s="379"/>
      <c r="T9" s="219"/>
      <c r="U9" s="216"/>
    </row>
    <row r="10" spans="1:21">
      <c r="A10" s="602"/>
      <c r="B10" s="25"/>
      <c r="F10" s="485" t="s">
        <v>532</v>
      </c>
      <c r="G10" s="486" t="s">
        <v>13</v>
      </c>
      <c r="H10" s="487" t="s">
        <v>377</v>
      </c>
      <c r="I10" s="487" t="s">
        <v>531</v>
      </c>
      <c r="L10" s="13">
        <v>6000</v>
      </c>
      <c r="M10" s="567">
        <v>5</v>
      </c>
      <c r="N10" s="360">
        <f>M10*L10</f>
        <v>30000</v>
      </c>
      <c r="O10" s="85"/>
      <c r="P10" s="362"/>
      <c r="Q10" s="14"/>
      <c r="T10" s="92"/>
      <c r="U10" s="107"/>
    </row>
    <row r="11" spans="1:21" ht="18" customHeight="1">
      <c r="A11" s="601"/>
      <c r="B11" s="25"/>
      <c r="C11" s="26"/>
      <c r="D11" s="26"/>
      <c r="E11" s="26"/>
      <c r="F11" s="631" t="s">
        <v>644</v>
      </c>
      <c r="G11" s="54">
        <v>46700</v>
      </c>
      <c r="H11" s="54">
        <f>C8</f>
        <v>41438.800000000003</v>
      </c>
      <c r="I11" s="490">
        <f>H11/G11*100</f>
        <v>88.734047109207708</v>
      </c>
      <c r="K11" s="13">
        <f>1297/83.65</f>
        <v>15.505080693365212</v>
      </c>
      <c r="L11" s="353">
        <f t="shared" ref="L11:N11" si="0">SUM(L9:L10)</f>
        <v>283544</v>
      </c>
      <c r="M11" s="49">
        <f>N11/L11</f>
        <v>5.3000142341223935</v>
      </c>
      <c r="N11" s="361">
        <f t="shared" si="0"/>
        <v>1502787.236</v>
      </c>
      <c r="O11" s="85"/>
      <c r="P11" s="22"/>
      <c r="Q11" s="14"/>
      <c r="T11" s="92"/>
      <c r="U11" s="107"/>
    </row>
    <row r="12" spans="1:21">
      <c r="A12" s="31" t="s">
        <v>17</v>
      </c>
      <c r="D12" s="545"/>
      <c r="E12" s="543"/>
      <c r="J12" s="32"/>
      <c r="K12" s="32"/>
      <c r="L12" s="568"/>
      <c r="M12" s="363"/>
      <c r="N12" s="146"/>
      <c r="O12" s="29"/>
      <c r="P12" s="102"/>
      <c r="T12" s="92"/>
      <c r="U12" s="92"/>
    </row>
    <row r="13" spans="1:21">
      <c r="A13" s="761" t="s">
        <v>0</v>
      </c>
      <c r="B13" s="763" t="s">
        <v>18</v>
      </c>
      <c r="C13" s="764"/>
      <c r="D13" s="765"/>
      <c r="E13" s="766" t="s">
        <v>19</v>
      </c>
      <c r="F13" s="766"/>
      <c r="G13" s="766"/>
      <c r="H13" s="766"/>
      <c r="I13" s="766"/>
      <c r="M13" s="34"/>
      <c r="N13" s="146"/>
      <c r="O13" s="29"/>
      <c r="P13" s="102"/>
      <c r="T13" s="92"/>
      <c r="U13" s="51"/>
    </row>
    <row r="14" spans="1:21" ht="18.8" thickBot="1">
      <c r="A14" s="762"/>
      <c r="B14" s="628" t="s">
        <v>20</v>
      </c>
      <c r="C14" s="767" t="s">
        <v>21</v>
      </c>
      <c r="D14" s="768"/>
      <c r="E14" s="734" t="s">
        <v>22</v>
      </c>
      <c r="F14" s="734"/>
      <c r="G14" s="734" t="s">
        <v>23</v>
      </c>
      <c r="H14" s="734"/>
      <c r="I14" s="734"/>
      <c r="J14" s="18"/>
      <c r="K14" s="478">
        <f>84*6.2*0.85</f>
        <v>442.68000000000006</v>
      </c>
      <c r="L14" s="18"/>
      <c r="M14" s="18"/>
      <c r="N14" s="146"/>
      <c r="O14" s="29"/>
      <c r="P14" s="102"/>
      <c r="T14" s="92"/>
      <c r="U14" s="92"/>
    </row>
    <row r="15" spans="1:21" ht="18.8" thickTop="1">
      <c r="A15" s="19" t="s">
        <v>14</v>
      </c>
      <c r="B15" s="37">
        <v>46260</v>
      </c>
      <c r="C15" s="771">
        <f>(B15/C7)</f>
        <v>35.385909890614244</v>
      </c>
      <c r="D15" s="772"/>
      <c r="E15" s="779">
        <v>7270</v>
      </c>
      <c r="F15" s="779"/>
      <c r="G15" s="780">
        <f>E15/C7</f>
        <v>5.5610800887325027</v>
      </c>
      <c r="H15" s="780"/>
      <c r="I15" s="780"/>
      <c r="J15" s="594"/>
      <c r="K15" s="528"/>
      <c r="L15" s="365"/>
      <c r="M15" s="621"/>
      <c r="N15" s="147"/>
      <c r="O15" s="147"/>
      <c r="P15" s="34"/>
      <c r="Q15" s="33"/>
      <c r="R15" s="33"/>
      <c r="T15" s="92"/>
      <c r="U15" s="92"/>
    </row>
    <row r="16" spans="1:21">
      <c r="A16" s="23" t="s">
        <v>15</v>
      </c>
      <c r="B16" s="38">
        <f>66380+66900+69660+43840+70260+53280+25980+67380+66300+45300+49620+44820+46800+47400+43020+42780+42060+66420+47280+67080+67380+70740+44220+46080+70320+46260</f>
        <v>1417560</v>
      </c>
      <c r="C16" s="771">
        <f>B16/C8</f>
        <v>34.208519551724471</v>
      </c>
      <c r="D16" s="772"/>
      <c r="E16" s="781">
        <f>109556+7335+6937+7366+6561+11454+7263+11060+11300+10551+6910+7412+11073+7270</f>
        <v>222048</v>
      </c>
      <c r="F16" s="781"/>
      <c r="G16" s="782">
        <f>E16/C8</f>
        <v>5.3584563259553848</v>
      </c>
      <c r="H16" s="782"/>
      <c r="I16" s="782"/>
      <c r="J16" s="535"/>
      <c r="K16" s="479"/>
      <c r="N16" s="147"/>
      <c r="O16" s="33"/>
      <c r="P16" s="33"/>
      <c r="Q16" s="33"/>
      <c r="T16" s="107"/>
      <c r="U16" s="92"/>
    </row>
    <row r="17" spans="1:21">
      <c r="A17" s="23" t="s">
        <v>16</v>
      </c>
      <c r="B17" s="39">
        <f>10684853+B16</f>
        <v>12102413</v>
      </c>
      <c r="C17" s="797">
        <f>B17/C9</f>
        <v>35.464863379074863</v>
      </c>
      <c r="D17" s="798"/>
      <c r="E17" s="799">
        <f>1587787+E16</f>
        <v>1809835</v>
      </c>
      <c r="F17" s="799"/>
      <c r="G17" s="800">
        <f>E17/C9</f>
        <v>5.3035333543540411</v>
      </c>
      <c r="H17" s="800"/>
      <c r="I17" s="800"/>
      <c r="J17" s="368"/>
      <c r="K17" s="598"/>
      <c r="L17" s="34"/>
      <c r="N17" s="147"/>
      <c r="O17" s="33"/>
      <c r="R17" s="33"/>
      <c r="T17" s="92"/>
      <c r="U17" s="92"/>
    </row>
    <row r="18" spans="1:21">
      <c r="A18" s="539" t="s">
        <v>552</v>
      </c>
      <c r="B18" s="537"/>
      <c r="C18" s="934">
        <f>-(36.5-C15)*76.9*C7/10000</f>
        <v>-11.200100499999996</v>
      </c>
      <c r="D18" s="934"/>
      <c r="E18" s="540"/>
      <c r="F18" s="540"/>
      <c r="G18" s="934">
        <f>-(5.3-G15)*593*C7/10000</f>
        <v>20.23968300000006</v>
      </c>
      <c r="H18" s="934"/>
      <c r="I18" s="934"/>
      <c r="J18" s="538"/>
      <c r="N18" s="289"/>
      <c r="O18" s="33"/>
      <c r="R18" s="33"/>
      <c r="T18" s="92"/>
      <c r="U18" s="92"/>
    </row>
    <row r="19" spans="1:21">
      <c r="A19" s="588" t="s">
        <v>636</v>
      </c>
      <c r="J19" s="620" t="s">
        <v>682</v>
      </c>
      <c r="K19" s="457"/>
    </row>
    <row r="20" spans="1:21">
      <c r="A20" s="186" t="s">
        <v>145</v>
      </c>
      <c r="J20" s="43"/>
      <c r="K20" s="458"/>
    </row>
    <row r="21" spans="1:21" ht="10.050000000000001" customHeight="1">
      <c r="A21" s="40"/>
      <c r="B21" s="44"/>
      <c r="C21" s="36"/>
      <c r="D21" s="36"/>
      <c r="E21" s="36"/>
      <c r="F21" s="36"/>
      <c r="J21" s="45"/>
      <c r="K21" s="492"/>
    </row>
    <row r="22" spans="1:21" ht="19.899999999999999" customHeight="1">
      <c r="A22" s="15" t="s">
        <v>49</v>
      </c>
      <c r="J22" s="43"/>
      <c r="K22" s="458"/>
    </row>
    <row r="23" spans="1:21" ht="15.65" customHeight="1">
      <c r="A23" s="761" t="s">
        <v>0</v>
      </c>
      <c r="B23" s="738" t="s">
        <v>24</v>
      </c>
      <c r="C23" s="736" t="s">
        <v>25</v>
      </c>
      <c r="D23" s="740"/>
      <c r="E23" s="736" t="s">
        <v>26</v>
      </c>
      <c r="F23" s="740"/>
      <c r="G23" s="766" t="s">
        <v>27</v>
      </c>
      <c r="H23" s="766"/>
      <c r="I23" s="766"/>
      <c r="J23" s="382"/>
      <c r="K23" s="389"/>
    </row>
    <row r="24" spans="1:21" ht="15.65" customHeight="1" thickBot="1">
      <c r="A24" s="778"/>
      <c r="B24" s="739"/>
      <c r="C24" s="737"/>
      <c r="D24" s="741"/>
      <c r="E24" s="737"/>
      <c r="F24" s="741"/>
      <c r="G24" s="89" t="s">
        <v>53</v>
      </c>
      <c r="H24" s="89" t="s">
        <v>54</v>
      </c>
      <c r="I24" s="89" t="s">
        <v>55</v>
      </c>
      <c r="J24" s="382"/>
      <c r="K24" s="389"/>
    </row>
    <row r="25" spans="1:21" ht="16.75" customHeight="1" thickTop="1">
      <c r="A25" s="95" t="s">
        <v>57</v>
      </c>
      <c r="B25" s="783">
        <v>5346</v>
      </c>
      <c r="C25" s="785">
        <v>912</v>
      </c>
      <c r="D25" s="786"/>
      <c r="E25" s="787">
        <v>1217</v>
      </c>
      <c r="F25" s="788"/>
      <c r="G25" s="791">
        <v>4864</v>
      </c>
      <c r="H25" s="793">
        <f>B25+C25+C26-E25</f>
        <v>5041</v>
      </c>
      <c r="I25" s="793">
        <f>G25-H25</f>
        <v>-177</v>
      </c>
      <c r="J25" s="530"/>
      <c r="K25" s="385"/>
    </row>
    <row r="26" spans="1:21" ht="16.75" customHeight="1">
      <c r="A26" s="96" t="s">
        <v>58</v>
      </c>
      <c r="B26" s="784"/>
      <c r="C26" s="795"/>
      <c r="D26" s="796"/>
      <c r="E26" s="789"/>
      <c r="F26" s="790"/>
      <c r="G26" s="792"/>
      <c r="H26" s="794"/>
      <c r="I26" s="794"/>
      <c r="J26" s="529"/>
      <c r="K26" s="383"/>
    </row>
    <row r="27" spans="1:21" ht="16.75" customHeight="1">
      <c r="A27" s="97" t="s">
        <v>59</v>
      </c>
      <c r="B27" s="811">
        <v>5346</v>
      </c>
      <c r="C27" s="813"/>
      <c r="D27" s="814"/>
      <c r="E27" s="815">
        <v>289</v>
      </c>
      <c r="F27" s="816"/>
      <c r="G27" s="801">
        <v>5153</v>
      </c>
      <c r="H27" s="803">
        <f>B27+C27+C28-E27-E29</f>
        <v>5057</v>
      </c>
      <c r="I27" s="803">
        <f>G27-H27</f>
        <v>96</v>
      </c>
      <c r="J27" s="530"/>
      <c r="K27" s="383"/>
    </row>
    <row r="28" spans="1:21" ht="16.75" customHeight="1">
      <c r="A28" s="174" t="s">
        <v>60</v>
      </c>
      <c r="B28" s="812"/>
      <c r="C28" s="819"/>
      <c r="D28" s="820"/>
      <c r="E28" s="817"/>
      <c r="F28" s="818"/>
      <c r="G28" s="802"/>
      <c r="H28" s="804"/>
      <c r="I28" s="804"/>
      <c r="K28" s="406"/>
      <c r="L28" s="384"/>
      <c r="M28" s="50"/>
      <c r="Q28" s="92"/>
      <c r="R28" s="130"/>
      <c r="S28" s="35"/>
      <c r="T28" s="92"/>
      <c r="U28" s="92"/>
    </row>
    <row r="29" spans="1:21" ht="16.75" customHeight="1">
      <c r="A29" s="175" t="s">
        <v>43</v>
      </c>
      <c r="B29" s="812"/>
      <c r="C29" s="807"/>
      <c r="D29" s="808"/>
      <c r="E29" s="809"/>
      <c r="F29" s="810"/>
      <c r="G29" s="802"/>
      <c r="H29" s="804"/>
      <c r="I29" s="804"/>
      <c r="J29" s="530"/>
      <c r="K29" s="14"/>
      <c r="L29" s="14"/>
      <c r="M29" s="14"/>
      <c r="O29" s="188"/>
      <c r="P29" s="358"/>
      <c r="Q29" s="92"/>
      <c r="R29" s="132"/>
      <c r="S29" s="294"/>
      <c r="T29" s="92"/>
      <c r="U29" s="92"/>
    </row>
    <row r="30" spans="1:21" ht="16.75" customHeight="1">
      <c r="A30" s="172" t="s">
        <v>141</v>
      </c>
      <c r="B30" s="811">
        <v>10863</v>
      </c>
      <c r="C30" s="829">
        <v>395</v>
      </c>
      <c r="D30" s="830"/>
      <c r="E30" s="815">
        <v>59</v>
      </c>
      <c r="F30" s="816"/>
      <c r="G30" s="801">
        <v>11089</v>
      </c>
      <c r="H30" s="803">
        <f>B30+C30+C31-E30-E32</f>
        <v>10891</v>
      </c>
      <c r="I30" s="803">
        <f>G30-H30</f>
        <v>198</v>
      </c>
      <c r="J30" s="531"/>
      <c r="K30" s="327"/>
      <c r="M30" s="14"/>
      <c r="O30" s="188"/>
      <c r="P30" s="358"/>
      <c r="Q30" s="92"/>
      <c r="R30" s="35"/>
      <c r="S30" s="284"/>
      <c r="T30" s="92"/>
      <c r="U30" s="92"/>
    </row>
    <row r="31" spans="1:21" ht="16.75" customHeight="1">
      <c r="A31" s="173" t="s">
        <v>142</v>
      </c>
      <c r="B31" s="812"/>
      <c r="C31" s="805"/>
      <c r="D31" s="806"/>
      <c r="E31" s="831"/>
      <c r="F31" s="832"/>
      <c r="G31" s="802"/>
      <c r="H31" s="804"/>
      <c r="I31" s="804"/>
      <c r="J31" s="530"/>
      <c r="K31" s="392"/>
      <c r="L31" s="14"/>
      <c r="M31" s="14"/>
      <c r="O31" s="188"/>
      <c r="P31" s="358"/>
      <c r="Q31" s="92"/>
      <c r="R31" s="35"/>
      <c r="T31" s="219"/>
      <c r="U31" s="386"/>
    </row>
    <row r="32" spans="1:21" ht="16.75" customHeight="1">
      <c r="A32" s="176" t="s">
        <v>143</v>
      </c>
      <c r="B32" s="784"/>
      <c r="C32" s="807"/>
      <c r="D32" s="808"/>
      <c r="E32" s="809">
        <v>308</v>
      </c>
      <c r="F32" s="810"/>
      <c r="G32" s="792"/>
      <c r="H32" s="794"/>
      <c r="I32" s="804"/>
      <c r="J32" s="242"/>
      <c r="K32" s="17"/>
      <c r="L32" s="17"/>
      <c r="M32" s="242"/>
      <c r="O32" s="92"/>
      <c r="P32" s="211"/>
      <c r="Q32" s="589" t="s">
        <v>638</v>
      </c>
      <c r="R32" s="366"/>
      <c r="T32" s="219"/>
    </row>
    <row r="33" spans="1:21" ht="16.75" customHeight="1" thickBot="1">
      <c r="A33" s="53" t="s">
        <v>28</v>
      </c>
      <c r="B33" s="78">
        <f>SUM(B25:B32)</f>
        <v>21555</v>
      </c>
      <c r="C33" s="821">
        <f>SUM(C25:D32)</f>
        <v>1307</v>
      </c>
      <c r="D33" s="822"/>
      <c r="E33" s="821">
        <f>SUM(E25:F32)</f>
        <v>1873</v>
      </c>
      <c r="F33" s="822"/>
      <c r="G33" s="625">
        <f>G25+G27+G30</f>
        <v>21106</v>
      </c>
      <c r="H33" s="625">
        <f>H25+H27+H30</f>
        <v>20989</v>
      </c>
      <c r="I33" s="625">
        <f>I25+I27+I30</f>
        <v>117</v>
      </c>
      <c r="J33" s="327">
        <f>E33-E29-E32</f>
        <v>1565</v>
      </c>
      <c r="K33" s="533"/>
      <c r="L33" s="14"/>
      <c r="M33" s="14"/>
      <c r="N33" s="140"/>
      <c r="O33" s="261"/>
      <c r="P33" s="261"/>
      <c r="Q33" s="597" t="s">
        <v>641</v>
      </c>
      <c r="T33" s="219"/>
      <c r="U33" s="219"/>
    </row>
    <row r="34" spans="1:21" ht="16.75" customHeight="1" thickBot="1">
      <c r="A34" s="177" t="s">
        <v>44</v>
      </c>
      <c r="B34" s="178">
        <v>855</v>
      </c>
      <c r="C34" s="823">
        <f>E29+E35+E32</f>
        <v>732</v>
      </c>
      <c r="D34" s="824"/>
      <c r="E34" s="823">
        <f>445+291</f>
        <v>736</v>
      </c>
      <c r="F34" s="824"/>
      <c r="G34" s="183">
        <f>403+449</f>
        <v>852</v>
      </c>
      <c r="H34" s="183">
        <f>B34+C34-E34</f>
        <v>851</v>
      </c>
      <c r="I34" s="183">
        <f>G34-H34</f>
        <v>1</v>
      </c>
      <c r="J34" s="94"/>
      <c r="K34" s="436"/>
      <c r="L34" s="94"/>
      <c r="M34" s="94"/>
      <c r="P34" s="107"/>
      <c r="Q34" s="569"/>
      <c r="R34" s="22"/>
      <c r="S34" s="22"/>
    </row>
    <row r="35" spans="1:21" ht="16.75" customHeight="1">
      <c r="A35" s="179" t="s">
        <v>29</v>
      </c>
      <c r="B35" s="180">
        <v>3680</v>
      </c>
      <c r="C35" s="825"/>
      <c r="D35" s="826"/>
      <c r="E35" s="827">
        <v>424</v>
      </c>
      <c r="F35" s="828"/>
      <c r="G35" s="181">
        <v>3218</v>
      </c>
      <c r="H35" s="182">
        <f>B35+C35-E35</f>
        <v>3256</v>
      </c>
      <c r="I35" s="182">
        <f>G35-H35</f>
        <v>-38</v>
      </c>
      <c r="J35" s="52"/>
      <c r="K35" s="52"/>
      <c r="L35" s="71"/>
      <c r="M35" s="7"/>
      <c r="N35" s="93"/>
      <c r="O35" s="93"/>
      <c r="P35" s="93"/>
      <c r="Q35" s="480"/>
    </row>
    <row r="36" spans="1:21">
      <c r="A36" s="30" t="s">
        <v>45</v>
      </c>
      <c r="C36" s="313" t="s">
        <v>285</v>
      </c>
      <c r="D36" s="46">
        <f>9023+732</f>
        <v>9755</v>
      </c>
      <c r="E36" s="79" t="s">
        <v>47</v>
      </c>
      <c r="F36" s="80" t="s">
        <v>46</v>
      </c>
      <c r="G36" s="55">
        <f>74285+D36</f>
        <v>84040</v>
      </c>
      <c r="H36" s="79" t="s">
        <v>47</v>
      </c>
      <c r="I36" s="79"/>
      <c r="J36" s="220"/>
      <c r="K36" s="220"/>
      <c r="L36" s="10"/>
      <c r="M36" s="10" t="s">
        <v>148</v>
      </c>
      <c r="N36" s="10" t="s">
        <v>32</v>
      </c>
      <c r="O36" s="10" t="s">
        <v>61</v>
      </c>
      <c r="P36" s="155" t="s">
        <v>67</v>
      </c>
      <c r="Q36" s="10" t="s">
        <v>315</v>
      </c>
      <c r="R36" s="54"/>
      <c r="S36" s="54"/>
      <c r="T36" s="112"/>
      <c r="U36" s="68"/>
    </row>
    <row r="37" spans="1:21">
      <c r="A37" s="30" t="s">
        <v>48</v>
      </c>
      <c r="C37" s="313" t="s">
        <v>285</v>
      </c>
      <c r="D37" s="46">
        <f>3254+318+311+265+332+268+356+424</f>
        <v>5528</v>
      </c>
      <c r="E37" s="79" t="s">
        <v>47</v>
      </c>
      <c r="F37" s="80" t="s">
        <v>46</v>
      </c>
      <c r="G37" s="55">
        <f>40799+D37</f>
        <v>46327</v>
      </c>
      <c r="H37" s="79" t="s">
        <v>47</v>
      </c>
      <c r="I37" s="79"/>
      <c r="J37" s="355"/>
      <c r="K37" s="188"/>
      <c r="L37" s="100" t="s">
        <v>618</v>
      </c>
      <c r="M37" s="11"/>
      <c r="N37" s="67">
        <v>2052</v>
      </c>
      <c r="O37" s="76">
        <v>40</v>
      </c>
      <c r="P37" s="76">
        <f t="shared" ref="P37:P66" si="1">N37-O37</f>
        <v>2012</v>
      </c>
      <c r="Q37" s="10">
        <f>P37*(1-S37)*1.057</f>
        <v>2126.6839999999997</v>
      </c>
      <c r="R37" s="54">
        <f t="shared" ref="R37:R69" si="2">P37*S37*1.2</f>
        <v>0</v>
      </c>
      <c r="S37" s="103"/>
      <c r="T37" s="36"/>
      <c r="U37" s="46"/>
    </row>
    <row r="38" spans="1:21" ht="8.8000000000000007" customHeight="1">
      <c r="A38" s="30"/>
      <c r="B38" s="15"/>
      <c r="C38" s="99"/>
      <c r="D38" s="452"/>
      <c r="E38" s="452"/>
      <c r="F38" s="452"/>
      <c r="G38" s="452"/>
      <c r="H38" s="79"/>
      <c r="I38" s="79"/>
      <c r="J38" s="188"/>
      <c r="K38" s="188"/>
      <c r="L38" s="100" t="s">
        <v>619</v>
      </c>
      <c r="M38" s="11"/>
      <c r="N38" s="67">
        <v>2052</v>
      </c>
      <c r="O38" s="76">
        <v>67</v>
      </c>
      <c r="P38" s="76">
        <f t="shared" si="1"/>
        <v>1985</v>
      </c>
      <c r="Q38" s="10">
        <f>P38*(1-S38)*1.065</f>
        <v>2114.0250000000001</v>
      </c>
      <c r="R38" s="54">
        <f t="shared" si="2"/>
        <v>0</v>
      </c>
      <c r="S38" s="103"/>
      <c r="T38" s="36"/>
      <c r="U38" s="46"/>
    </row>
    <row r="39" spans="1:21">
      <c r="A39" s="31" t="s">
        <v>50</v>
      </c>
      <c r="J39" s="34"/>
      <c r="K39" s="34"/>
      <c r="L39" s="100" t="s">
        <v>584</v>
      </c>
      <c r="M39" s="11"/>
      <c r="N39" s="67">
        <v>2060</v>
      </c>
      <c r="O39" s="76">
        <v>70</v>
      </c>
      <c r="P39" s="76">
        <f t="shared" si="1"/>
        <v>1990</v>
      </c>
      <c r="Q39" s="10">
        <f>P39*(1-S39)*1.057</f>
        <v>2103.4299999999998</v>
      </c>
      <c r="R39" s="54">
        <f t="shared" si="2"/>
        <v>0</v>
      </c>
      <c r="S39" s="103"/>
      <c r="T39" s="36"/>
      <c r="U39" s="46"/>
    </row>
    <row r="40" spans="1:21" ht="15.05" customHeight="1">
      <c r="A40" s="842" t="s">
        <v>1</v>
      </c>
      <c r="B40" s="619" t="s">
        <v>681</v>
      </c>
      <c r="C40" s="942" t="s">
        <v>36</v>
      </c>
      <c r="D40" s="943"/>
      <c r="E40" s="842" t="s">
        <v>37</v>
      </c>
      <c r="F40" s="842"/>
      <c r="G40" s="842"/>
      <c r="H40" s="842"/>
      <c r="I40" s="887" t="s">
        <v>392</v>
      </c>
      <c r="J40" s="409"/>
      <c r="K40" s="238"/>
      <c r="L40" s="100" t="s">
        <v>585</v>
      </c>
      <c r="M40" s="11"/>
      <c r="N40" s="67">
        <v>1311</v>
      </c>
      <c r="O40" s="76">
        <v>47</v>
      </c>
      <c r="P40" s="76">
        <f t="shared" si="1"/>
        <v>1264</v>
      </c>
      <c r="Q40" s="10">
        <f t="shared" ref="Q40:Q45" si="3">P40*(1-S40)*1.057</f>
        <v>1336.048</v>
      </c>
      <c r="R40" s="54">
        <f t="shared" si="2"/>
        <v>0</v>
      </c>
      <c r="S40" s="103"/>
      <c r="T40" s="36"/>
      <c r="U40" s="46"/>
    </row>
    <row r="41" spans="1:21" ht="15.05" customHeight="1">
      <c r="A41" s="842"/>
      <c r="B41" s="204" t="s">
        <v>35</v>
      </c>
      <c r="C41" s="944"/>
      <c r="D41" s="945"/>
      <c r="E41" s="624" t="s">
        <v>34</v>
      </c>
      <c r="F41" s="624" t="s">
        <v>38</v>
      </c>
      <c r="G41" s="842" t="s">
        <v>7</v>
      </c>
      <c r="H41" s="842"/>
      <c r="I41" s="888"/>
      <c r="J41" s="56"/>
      <c r="K41" s="56"/>
      <c r="L41" s="100" t="s">
        <v>586</v>
      </c>
      <c r="M41" s="11"/>
      <c r="N41" s="67">
        <v>2091</v>
      </c>
      <c r="O41" s="76">
        <v>78</v>
      </c>
      <c r="P41" s="76">
        <f t="shared" si="1"/>
        <v>2013</v>
      </c>
      <c r="Q41" s="10">
        <f>P41*(1-S41)*1.06</f>
        <v>2133.7800000000002</v>
      </c>
      <c r="R41" s="54">
        <f t="shared" si="2"/>
        <v>0</v>
      </c>
      <c r="S41" s="103"/>
      <c r="T41" s="36"/>
      <c r="U41" s="46"/>
    </row>
    <row r="42" spans="1:21" ht="16.75" customHeight="1">
      <c r="A42" s="599" t="s">
        <v>642</v>
      </c>
      <c r="B42" s="447">
        <v>7080</v>
      </c>
      <c r="C42" s="903"/>
      <c r="D42" s="904"/>
      <c r="E42" s="447">
        <v>7080</v>
      </c>
      <c r="F42" s="447">
        <f t="shared" ref="F42:F48" si="4">B42-C42-E42</f>
        <v>0</v>
      </c>
      <c r="G42" s="883">
        <f t="shared" ref="G42" si="5">SUM(E42:F42)</f>
        <v>7080</v>
      </c>
      <c r="H42" s="884"/>
      <c r="I42" s="450"/>
      <c r="J42" s="57">
        <f>B42-C42-G42</f>
        <v>0</v>
      </c>
      <c r="K42" s="440"/>
      <c r="L42" s="100" t="s">
        <v>587</v>
      </c>
      <c r="M42" s="11"/>
      <c r="N42" s="67">
        <v>1361</v>
      </c>
      <c r="O42" s="76">
        <v>53</v>
      </c>
      <c r="P42" s="76">
        <f t="shared" si="1"/>
        <v>1308</v>
      </c>
      <c r="Q42" s="10">
        <f t="shared" ref="Q42:Q43" si="6">P42*(1-S42)*1.06</f>
        <v>1386.48</v>
      </c>
      <c r="R42" s="54">
        <f t="shared" si="2"/>
        <v>0</v>
      </c>
      <c r="S42" s="103"/>
      <c r="T42" s="36"/>
      <c r="U42" s="46"/>
    </row>
    <row r="43" spans="1:21" ht="16.75" customHeight="1">
      <c r="A43" s="570" t="s">
        <v>632</v>
      </c>
      <c r="B43" s="630">
        <v>6730</v>
      </c>
      <c r="C43" s="883"/>
      <c r="D43" s="884"/>
      <c r="E43" s="630">
        <v>6730</v>
      </c>
      <c r="F43" s="447">
        <f t="shared" si="4"/>
        <v>0</v>
      </c>
      <c r="G43" s="883">
        <f t="shared" ref="G43" si="7">SUM(E43:F43)</f>
        <v>6730</v>
      </c>
      <c r="H43" s="884"/>
      <c r="I43" s="444"/>
      <c r="J43" s="57">
        <f>B43-C43-G43</f>
        <v>0</v>
      </c>
      <c r="K43" s="57"/>
      <c r="L43" s="100" t="s">
        <v>588</v>
      </c>
      <c r="M43" s="11"/>
      <c r="N43" s="67">
        <v>896</v>
      </c>
      <c r="O43" s="76">
        <v>29</v>
      </c>
      <c r="P43" s="76">
        <f t="shared" si="1"/>
        <v>867</v>
      </c>
      <c r="Q43" s="10">
        <f t="shared" si="6"/>
        <v>919.0200000000001</v>
      </c>
      <c r="R43" s="54">
        <f t="shared" si="2"/>
        <v>0</v>
      </c>
      <c r="S43" s="103"/>
      <c r="T43" s="36"/>
      <c r="U43" s="46"/>
    </row>
    <row r="44" spans="1:21" ht="16.75" customHeight="1">
      <c r="A44" s="564" t="s">
        <v>627</v>
      </c>
      <c r="B44" s="630">
        <v>6347</v>
      </c>
      <c r="C44" s="883">
        <f>1569+2114+464+1600+300</f>
        <v>6047</v>
      </c>
      <c r="D44" s="884"/>
      <c r="E44" s="630">
        <v>0</v>
      </c>
      <c r="F44" s="447">
        <f t="shared" si="4"/>
        <v>300</v>
      </c>
      <c r="G44" s="883">
        <f t="shared" ref="G44:G45" si="8">SUM(E44:F44)</f>
        <v>300</v>
      </c>
      <c r="H44" s="884"/>
      <c r="I44" s="450"/>
      <c r="J44" s="57">
        <f t="shared" ref="J44:J49" si="9">B44-C44-G44</f>
        <v>0</v>
      </c>
      <c r="K44" s="260"/>
      <c r="L44" s="100" t="s">
        <v>589</v>
      </c>
      <c r="M44" s="11"/>
      <c r="N44" s="67">
        <v>2075</v>
      </c>
      <c r="O44" s="76"/>
      <c r="P44" s="76">
        <f t="shared" si="1"/>
        <v>2075</v>
      </c>
      <c r="Q44" s="10">
        <f>P44*(1-S44)*1.063</f>
        <v>2205.7249999999999</v>
      </c>
      <c r="R44" s="54">
        <f t="shared" si="2"/>
        <v>0</v>
      </c>
      <c r="S44" s="103"/>
      <c r="T44" s="36"/>
      <c r="U44" s="46"/>
    </row>
    <row r="45" spans="1:21" ht="16.75" customHeight="1">
      <c r="A45" s="572" t="s">
        <v>634</v>
      </c>
      <c r="B45" s="630">
        <v>6714</v>
      </c>
      <c r="C45" s="883"/>
      <c r="D45" s="884"/>
      <c r="E45" s="630">
        <v>6714</v>
      </c>
      <c r="F45" s="447">
        <f t="shared" si="4"/>
        <v>0</v>
      </c>
      <c r="G45" s="883">
        <f t="shared" si="8"/>
        <v>6714</v>
      </c>
      <c r="H45" s="884"/>
      <c r="I45" s="450"/>
      <c r="J45" s="57"/>
      <c r="K45" s="57"/>
      <c r="L45" s="100" t="s">
        <v>590</v>
      </c>
      <c r="M45" s="11"/>
      <c r="N45" s="67">
        <v>2027</v>
      </c>
      <c r="O45" s="76">
        <v>58</v>
      </c>
      <c r="P45" s="76">
        <f t="shared" si="1"/>
        <v>1969</v>
      </c>
      <c r="Q45" s="10">
        <f t="shared" si="3"/>
        <v>2081.2329999999997</v>
      </c>
      <c r="R45" s="54">
        <f t="shared" si="2"/>
        <v>0</v>
      </c>
      <c r="S45" s="103"/>
      <c r="T45" s="36"/>
      <c r="U45" s="46"/>
    </row>
    <row r="46" spans="1:21" ht="16.75" customHeight="1">
      <c r="A46" s="596" t="s">
        <v>640</v>
      </c>
      <c r="B46" s="630">
        <v>27400</v>
      </c>
      <c r="C46" s="883">
        <f>2006+2081+1392+1491+1299+1407+1300-200-1081+1241+1196+1217+1997+1358+2052+2021-100+450</f>
        <v>21127</v>
      </c>
      <c r="D46" s="884"/>
      <c r="E46" s="630">
        <f>27400-11170-2000-4000-4000-500</f>
        <v>5730</v>
      </c>
      <c r="F46" s="447">
        <f t="shared" si="4"/>
        <v>543</v>
      </c>
      <c r="G46" s="883">
        <f t="shared" ref="G46" si="10">SUM(E46:F46)</f>
        <v>6273</v>
      </c>
      <c r="H46" s="884"/>
      <c r="I46" s="450"/>
      <c r="J46" s="57">
        <f t="shared" si="9"/>
        <v>0</v>
      </c>
      <c r="K46" s="57"/>
      <c r="L46" s="100" t="s">
        <v>591</v>
      </c>
      <c r="M46" s="11"/>
      <c r="N46" s="67">
        <v>1371</v>
      </c>
      <c r="O46" s="76">
        <v>45</v>
      </c>
      <c r="P46" s="76">
        <f t="shared" si="1"/>
        <v>1326</v>
      </c>
      <c r="Q46" s="10">
        <f>P46*(1-S46)*1.062</f>
        <v>1408.212</v>
      </c>
      <c r="R46" s="54">
        <f t="shared" si="2"/>
        <v>0</v>
      </c>
      <c r="S46" s="103"/>
      <c r="T46" s="36"/>
      <c r="U46" s="46"/>
    </row>
    <row r="47" spans="1:21" ht="16.75" customHeight="1">
      <c r="A47" s="600" t="s">
        <v>643</v>
      </c>
      <c r="B47" s="630">
        <v>6800</v>
      </c>
      <c r="C47" s="883"/>
      <c r="D47" s="884"/>
      <c r="E47" s="630">
        <v>6800</v>
      </c>
      <c r="F47" s="447">
        <f t="shared" si="4"/>
        <v>0</v>
      </c>
      <c r="G47" s="883">
        <f t="shared" ref="G47:G48" si="11">SUM(E47:F47)</f>
        <v>6800</v>
      </c>
      <c r="H47" s="884"/>
      <c r="I47" s="450"/>
      <c r="J47" s="57">
        <f t="shared" si="9"/>
        <v>0</v>
      </c>
      <c r="K47" s="57"/>
      <c r="L47" s="100" t="s">
        <v>592</v>
      </c>
      <c r="M47" s="11"/>
      <c r="N47" s="67">
        <v>1459</v>
      </c>
      <c r="O47" s="76">
        <v>55</v>
      </c>
      <c r="P47" s="76">
        <f t="shared" si="1"/>
        <v>1404</v>
      </c>
      <c r="Q47" s="10">
        <f>P47*(1-S47)*1.062</f>
        <v>1491.048</v>
      </c>
      <c r="R47" s="54">
        <f t="shared" si="2"/>
        <v>0</v>
      </c>
      <c r="S47" s="103"/>
      <c r="T47" s="36"/>
      <c r="U47" s="46"/>
    </row>
    <row r="48" spans="1:21">
      <c r="A48" s="618" t="s">
        <v>680</v>
      </c>
      <c r="B48" s="630">
        <v>27531</v>
      </c>
      <c r="C48" s="883">
        <f>1359+2140+1356</f>
        <v>4855</v>
      </c>
      <c r="D48" s="884"/>
      <c r="E48" s="630">
        <f>27531-9000-2000</f>
        <v>16531</v>
      </c>
      <c r="F48" s="447">
        <f t="shared" si="4"/>
        <v>6145</v>
      </c>
      <c r="G48" s="883">
        <f t="shared" si="11"/>
        <v>22676</v>
      </c>
      <c r="H48" s="884"/>
      <c r="I48" s="450" t="s">
        <v>416</v>
      </c>
      <c r="J48" s="57"/>
      <c r="K48" s="57"/>
      <c r="L48" s="100" t="s">
        <v>593</v>
      </c>
      <c r="M48" s="11"/>
      <c r="N48" s="67"/>
      <c r="O48" s="76"/>
      <c r="P48" s="76">
        <f t="shared" si="1"/>
        <v>0</v>
      </c>
      <c r="Q48" s="10">
        <f t="shared" ref="Q48:Q51" si="12">P48*(1-S48)*1.056</f>
        <v>0</v>
      </c>
      <c r="R48" s="54">
        <f t="shared" si="2"/>
        <v>0</v>
      </c>
      <c r="S48" s="103"/>
      <c r="T48" s="36"/>
      <c r="U48" s="46"/>
    </row>
    <row r="49" spans="1:21" ht="17.399999999999999" customHeight="1">
      <c r="A49" s="148" t="s">
        <v>31</v>
      </c>
      <c r="B49" s="622">
        <f>SUM(B42:B48)</f>
        <v>88602</v>
      </c>
      <c r="C49" s="845">
        <f>SUM(C42:D48)</f>
        <v>32029</v>
      </c>
      <c r="D49" s="845"/>
      <c r="E49" s="622">
        <f>SUM(E42:E48)</f>
        <v>49585</v>
      </c>
      <c r="F49" s="622">
        <f>SUM(F42:F48)</f>
        <v>6988</v>
      </c>
      <c r="G49" s="845">
        <f>SUM(G42:H48)</f>
        <v>56573</v>
      </c>
      <c r="H49" s="845"/>
      <c r="I49" s="371"/>
      <c r="J49" s="57">
        <f t="shared" si="9"/>
        <v>0</v>
      </c>
      <c r="K49" s="56"/>
      <c r="L49" s="100" t="s">
        <v>594</v>
      </c>
      <c r="M49" s="11"/>
      <c r="N49" s="67"/>
      <c r="O49" s="76"/>
      <c r="P49" s="76">
        <f t="shared" si="1"/>
        <v>0</v>
      </c>
      <c r="Q49" s="10">
        <f t="shared" si="12"/>
        <v>0</v>
      </c>
      <c r="R49" s="54">
        <f t="shared" si="2"/>
        <v>0</v>
      </c>
      <c r="S49" s="103"/>
      <c r="T49" s="36"/>
      <c r="U49" s="46"/>
    </row>
    <row r="50" spans="1:21" ht="8.8000000000000007" customHeight="1">
      <c r="D50" s="221"/>
      <c r="J50" s="541"/>
      <c r="K50" s="104"/>
      <c r="L50" s="100" t="s">
        <v>595</v>
      </c>
      <c r="M50" s="11"/>
      <c r="N50" s="67"/>
      <c r="O50" s="76"/>
      <c r="P50" s="76">
        <f t="shared" si="1"/>
        <v>0</v>
      </c>
      <c r="Q50" s="10">
        <f t="shared" si="12"/>
        <v>0</v>
      </c>
      <c r="R50" s="54">
        <f t="shared" si="2"/>
        <v>0</v>
      </c>
      <c r="S50" s="103"/>
      <c r="T50" s="36"/>
      <c r="U50" s="46"/>
    </row>
    <row r="51" spans="1:21" ht="16.3" customHeight="1">
      <c r="A51" s="15" t="s">
        <v>78</v>
      </c>
      <c r="F51" s="42"/>
      <c r="G51" s="42"/>
      <c r="J51" s="7"/>
      <c r="K51" s="104"/>
      <c r="L51" s="100" t="s">
        <v>596</v>
      </c>
      <c r="M51" s="11"/>
      <c r="N51" s="67"/>
      <c r="O51" s="76"/>
      <c r="P51" s="76">
        <f t="shared" si="1"/>
        <v>0</v>
      </c>
      <c r="Q51" s="10">
        <f t="shared" si="12"/>
        <v>0</v>
      </c>
      <c r="R51" s="54">
        <f t="shared" si="2"/>
        <v>0</v>
      </c>
      <c r="S51" s="103"/>
      <c r="T51" s="36"/>
      <c r="U51" s="46"/>
    </row>
    <row r="52" spans="1:21" ht="16.3" customHeight="1">
      <c r="A52" s="833" t="s">
        <v>1</v>
      </c>
      <c r="B52" s="835" t="s">
        <v>37</v>
      </c>
      <c r="C52" s="836"/>
      <c r="D52" s="837" t="s">
        <v>35</v>
      </c>
      <c r="E52" s="838"/>
      <c r="F52" s="837" t="s">
        <v>36</v>
      </c>
      <c r="G52" s="838"/>
      <c r="H52" s="839" t="s">
        <v>6</v>
      </c>
      <c r="I52" s="836"/>
      <c r="J52" s="104"/>
      <c r="K52" s="104"/>
      <c r="L52" s="100" t="s">
        <v>597</v>
      </c>
      <c r="M52" s="11"/>
      <c r="N52" s="67">
        <v>1271</v>
      </c>
      <c r="O52" s="76">
        <v>48</v>
      </c>
      <c r="P52" s="76">
        <f t="shared" si="1"/>
        <v>1223</v>
      </c>
      <c r="Q52" s="10">
        <f>P52*(1-S52)*1.062</f>
        <v>1298.826</v>
      </c>
      <c r="R52" s="54">
        <f t="shared" si="2"/>
        <v>0</v>
      </c>
      <c r="S52" s="103"/>
      <c r="T52" s="36"/>
      <c r="U52" s="46"/>
    </row>
    <row r="53" spans="1:21" ht="16.3" customHeight="1">
      <c r="A53" s="834"/>
      <c r="B53" s="623" t="s">
        <v>3</v>
      </c>
      <c r="C53" s="152" t="s">
        <v>82</v>
      </c>
      <c r="D53" s="623" t="s">
        <v>80</v>
      </c>
      <c r="E53" s="152" t="s">
        <v>81</v>
      </c>
      <c r="F53" s="152" t="s">
        <v>80</v>
      </c>
      <c r="G53" s="151" t="s">
        <v>81</v>
      </c>
      <c r="H53" s="840"/>
      <c r="I53" s="841"/>
      <c r="J53" s="104"/>
      <c r="K53" s="240"/>
      <c r="L53" s="100" t="s">
        <v>598</v>
      </c>
      <c r="M53" s="11"/>
      <c r="N53" s="67">
        <v>1403</v>
      </c>
      <c r="O53" s="76">
        <v>76</v>
      </c>
      <c r="P53" s="76">
        <f t="shared" si="1"/>
        <v>1327</v>
      </c>
      <c r="Q53" s="10">
        <f>P53*(1-S53)*1.06</f>
        <v>1406.6200000000001</v>
      </c>
      <c r="R53" s="54">
        <f t="shared" si="2"/>
        <v>0</v>
      </c>
      <c r="S53" s="103"/>
      <c r="T53" s="36"/>
      <c r="U53" s="46"/>
    </row>
    <row r="54" spans="1:21" ht="16.3" customHeight="1">
      <c r="A54" s="160" t="s">
        <v>85</v>
      </c>
      <c r="B54" s="149">
        <v>43</v>
      </c>
      <c r="C54" s="154">
        <v>144</v>
      </c>
      <c r="D54" s="184">
        <v>57</v>
      </c>
      <c r="E54" s="153">
        <v>769</v>
      </c>
      <c r="F54" s="153">
        <v>30</v>
      </c>
      <c r="G54" s="185">
        <v>838</v>
      </c>
      <c r="H54" s="846">
        <f>B54+D54-F54</f>
        <v>70</v>
      </c>
      <c r="I54" s="847"/>
      <c r="J54" s="240"/>
      <c r="K54" s="241"/>
      <c r="L54" s="100" t="s">
        <v>599</v>
      </c>
      <c r="M54" s="11"/>
      <c r="N54" s="67">
        <v>1371</v>
      </c>
      <c r="O54" s="76">
        <v>51</v>
      </c>
      <c r="P54" s="76">
        <f t="shared" si="1"/>
        <v>1320</v>
      </c>
      <c r="Q54" s="10">
        <f t="shared" ref="Q54:Q55" si="13">P54*(1-S54)*1.06</f>
        <v>1399.2</v>
      </c>
      <c r="R54" s="54">
        <f t="shared" si="2"/>
        <v>0</v>
      </c>
      <c r="S54" s="103"/>
      <c r="T54" s="36"/>
      <c r="U54" s="46"/>
    </row>
    <row r="55" spans="1:21" ht="16.3" customHeight="1">
      <c r="A55" s="595" t="s">
        <v>639</v>
      </c>
      <c r="B55" s="149">
        <v>113</v>
      </c>
      <c r="C55" s="626">
        <v>77</v>
      </c>
      <c r="D55" s="184">
        <v>0</v>
      </c>
      <c r="E55" s="153">
        <f>356+116</f>
        <v>472</v>
      </c>
      <c r="F55" s="153">
        <v>13</v>
      </c>
      <c r="G55" s="185">
        <v>510</v>
      </c>
      <c r="H55" s="846">
        <f>B55+D55-F55</f>
        <v>100</v>
      </c>
      <c r="I55" s="847"/>
      <c r="J55" s="241"/>
      <c r="K55" s="127"/>
      <c r="L55" s="100" t="s">
        <v>600</v>
      </c>
      <c r="M55" s="67"/>
      <c r="N55" s="67">
        <v>1213</v>
      </c>
      <c r="O55" s="76">
        <v>42</v>
      </c>
      <c r="P55" s="76">
        <f t="shared" si="1"/>
        <v>1171</v>
      </c>
      <c r="Q55" s="10">
        <f t="shared" si="13"/>
        <v>1241.26</v>
      </c>
      <c r="R55" s="54">
        <f t="shared" si="2"/>
        <v>0</v>
      </c>
      <c r="S55" s="103"/>
      <c r="T55" s="36"/>
      <c r="U55" s="46"/>
    </row>
    <row r="56" spans="1:21" ht="16.75" customHeight="1">
      <c r="A56" s="149" t="s">
        <v>77</v>
      </c>
      <c r="B56" s="149">
        <f>SUM(B54:B55)</f>
        <v>156</v>
      </c>
      <c r="C56" s="149">
        <f>SUM(C54:C55)</f>
        <v>221</v>
      </c>
      <c r="D56" s="149">
        <f t="shared" ref="D56:G56" si="14">SUM(D54:D55)</f>
        <v>57</v>
      </c>
      <c r="E56" s="149">
        <f t="shared" si="14"/>
        <v>1241</v>
      </c>
      <c r="F56" s="149">
        <f t="shared" si="14"/>
        <v>43</v>
      </c>
      <c r="G56" s="149">
        <f t="shared" si="14"/>
        <v>1348</v>
      </c>
      <c r="H56" s="846">
        <f t="shared" ref="H56" si="15">B56+D56-F56</f>
        <v>170</v>
      </c>
      <c r="I56" s="847"/>
      <c r="J56" s="495"/>
      <c r="L56" s="100" t="s">
        <v>601</v>
      </c>
      <c r="M56" s="11"/>
      <c r="N56" s="67">
        <v>1146</v>
      </c>
      <c r="O56" s="76">
        <v>39</v>
      </c>
      <c r="P56" s="76">
        <f t="shared" si="1"/>
        <v>1107</v>
      </c>
      <c r="Q56" s="10">
        <f>P56*(1-S56)*1.08</f>
        <v>1195.5600000000002</v>
      </c>
      <c r="R56" s="54">
        <f t="shared" si="2"/>
        <v>0</v>
      </c>
      <c r="S56" s="103"/>
      <c r="T56" s="36"/>
      <c r="U56" s="46"/>
    </row>
    <row r="57" spans="1:21" ht="19.899999999999999" customHeight="1">
      <c r="K57" s="127"/>
      <c r="L57" s="100" t="s">
        <v>602</v>
      </c>
      <c r="M57" s="11"/>
      <c r="N57" s="67">
        <v>1165</v>
      </c>
      <c r="O57" s="76">
        <v>38</v>
      </c>
      <c r="P57" s="76">
        <f t="shared" si="1"/>
        <v>1127</v>
      </c>
      <c r="Q57" s="10">
        <f t="shared" ref="Q57:Q58" si="16">P57*(1-S57)*1.08</f>
        <v>1217.1600000000001</v>
      </c>
      <c r="R57" s="54">
        <f t="shared" si="2"/>
        <v>0</v>
      </c>
      <c r="S57" s="103"/>
      <c r="T57" s="36"/>
      <c r="U57" s="46"/>
    </row>
    <row r="58" spans="1:21" ht="19.899999999999999" customHeight="1">
      <c r="J58" s="396"/>
      <c r="K58" s="59"/>
      <c r="L58" s="100" t="s">
        <v>603</v>
      </c>
      <c r="M58" s="11"/>
      <c r="N58" s="67">
        <v>1924</v>
      </c>
      <c r="O58" s="76">
        <v>75</v>
      </c>
      <c r="P58" s="76">
        <f t="shared" si="1"/>
        <v>1849</v>
      </c>
      <c r="Q58" s="10">
        <f t="shared" si="16"/>
        <v>1996.92</v>
      </c>
      <c r="R58" s="54">
        <f t="shared" si="2"/>
        <v>0</v>
      </c>
      <c r="S58" s="103"/>
      <c r="T58" s="36"/>
      <c r="U58" s="46"/>
    </row>
    <row r="59" spans="1:21" ht="19.899999999999999" customHeight="1">
      <c r="J59" s="59"/>
      <c r="K59" s="59"/>
      <c r="L59" s="100" t="s">
        <v>604</v>
      </c>
      <c r="M59" s="11"/>
      <c r="N59" s="67">
        <v>1297</v>
      </c>
      <c r="O59" s="76">
        <v>40</v>
      </c>
      <c r="P59" s="76">
        <f t="shared" si="1"/>
        <v>1257</v>
      </c>
      <c r="Q59" s="10">
        <f>P59*(1-S59)*1.08</f>
        <v>1357.5600000000002</v>
      </c>
      <c r="R59" s="54">
        <f t="shared" si="2"/>
        <v>0</v>
      </c>
      <c r="S59" s="103"/>
      <c r="T59" s="36"/>
      <c r="U59" s="46"/>
    </row>
    <row r="60" spans="1:21" ht="19.899999999999999" customHeight="1">
      <c r="J60" s="59"/>
      <c r="L60" s="100" t="s">
        <v>605</v>
      </c>
      <c r="M60" s="11"/>
      <c r="N60" s="67">
        <v>1963</v>
      </c>
      <c r="O60" s="76">
        <v>63</v>
      </c>
      <c r="P60" s="76">
        <f t="shared" si="1"/>
        <v>1900</v>
      </c>
      <c r="Q60" s="10">
        <f t="shared" ref="Q60:Q61" si="17">P60*(1-S60)*1.08</f>
        <v>2052</v>
      </c>
      <c r="R60" s="54">
        <f t="shared" si="2"/>
        <v>0</v>
      </c>
      <c r="S60" s="103"/>
      <c r="T60" s="36"/>
      <c r="U60" s="46"/>
    </row>
    <row r="61" spans="1:21" ht="19.899999999999999" customHeight="1">
      <c r="L61" s="100" t="s">
        <v>606</v>
      </c>
      <c r="M61" s="11"/>
      <c r="N61" s="67">
        <v>1962</v>
      </c>
      <c r="O61" s="76">
        <v>91</v>
      </c>
      <c r="P61" s="76">
        <f t="shared" si="1"/>
        <v>1871</v>
      </c>
      <c r="Q61" s="10">
        <f t="shared" si="17"/>
        <v>2020.68</v>
      </c>
      <c r="R61" s="54">
        <f t="shared" si="2"/>
        <v>0</v>
      </c>
      <c r="S61" s="103"/>
      <c r="T61" s="36"/>
      <c r="U61" s="46"/>
    </row>
    <row r="62" spans="1:21" ht="19.899999999999999" customHeight="1">
      <c r="L62" s="100" t="s">
        <v>607</v>
      </c>
      <c r="M62" s="11"/>
      <c r="N62" s="67">
        <v>2040</v>
      </c>
      <c r="O62" s="76">
        <v>80</v>
      </c>
      <c r="P62" s="76">
        <f t="shared" si="1"/>
        <v>1960</v>
      </c>
      <c r="Q62" s="10">
        <f>P62*(1-S62)*1.07</f>
        <v>2097.2000000000003</v>
      </c>
      <c r="R62" s="54">
        <f t="shared" si="2"/>
        <v>0</v>
      </c>
      <c r="S62" s="103"/>
      <c r="T62" s="36"/>
      <c r="U62" s="46"/>
    </row>
    <row r="63" spans="1:21" ht="19.899999999999999" customHeight="1">
      <c r="L63" s="100" t="s">
        <v>608</v>
      </c>
      <c r="M63" s="11"/>
      <c r="N63" s="67">
        <v>1233</v>
      </c>
      <c r="O63" s="76">
        <v>44</v>
      </c>
      <c r="P63" s="76">
        <f t="shared" si="1"/>
        <v>1189</v>
      </c>
      <c r="Q63" s="10">
        <f>P63*(1-S63)*1.074</f>
        <v>1276.9860000000001</v>
      </c>
      <c r="R63" s="54">
        <f t="shared" si="2"/>
        <v>0</v>
      </c>
      <c r="S63" s="103"/>
      <c r="T63" s="36"/>
      <c r="U63" s="46"/>
    </row>
    <row r="64" spans="1:21">
      <c r="I64" s="461"/>
      <c r="J64" s="60"/>
      <c r="L64" s="100" t="s">
        <v>609</v>
      </c>
      <c r="M64" s="11"/>
      <c r="N64" s="67">
        <v>1312</v>
      </c>
      <c r="O64" s="76">
        <v>47</v>
      </c>
      <c r="P64" s="76">
        <f t="shared" si="1"/>
        <v>1265</v>
      </c>
      <c r="Q64" s="10">
        <f t="shared" ref="Q64:Q66" si="18">P64*(1-S64)*1.074</f>
        <v>1358.6100000000001</v>
      </c>
      <c r="R64" s="54">
        <f t="shared" si="2"/>
        <v>0</v>
      </c>
      <c r="S64" s="103"/>
      <c r="T64" s="36"/>
      <c r="U64" s="46"/>
    </row>
    <row r="65" spans="12:21">
      <c r="L65" s="100" t="s">
        <v>610</v>
      </c>
      <c r="M65" s="11"/>
      <c r="N65" s="67">
        <v>2076</v>
      </c>
      <c r="O65" s="76">
        <v>83</v>
      </c>
      <c r="P65" s="76">
        <f t="shared" si="1"/>
        <v>1993</v>
      </c>
      <c r="Q65" s="10">
        <f t="shared" si="18"/>
        <v>2140.482</v>
      </c>
      <c r="R65" s="54">
        <f t="shared" si="2"/>
        <v>0</v>
      </c>
      <c r="S65" s="103"/>
      <c r="T65" s="36"/>
      <c r="U65" s="46"/>
    </row>
    <row r="66" spans="12:21">
      <c r="L66" s="100" t="s">
        <v>611</v>
      </c>
      <c r="M66" s="11"/>
      <c r="N66" s="67">
        <v>1307</v>
      </c>
      <c r="O66" s="76">
        <v>44</v>
      </c>
      <c r="P66" s="76">
        <f t="shared" si="1"/>
        <v>1263</v>
      </c>
      <c r="Q66" s="10">
        <f t="shared" si="18"/>
        <v>1356.462</v>
      </c>
      <c r="R66" s="54">
        <f t="shared" si="2"/>
        <v>0</v>
      </c>
      <c r="S66" s="103"/>
      <c r="T66" s="36"/>
      <c r="U66" s="46"/>
    </row>
    <row r="67" spans="12:21">
      <c r="L67" s="100"/>
      <c r="M67" s="11"/>
      <c r="N67" s="76"/>
      <c r="O67" s="76"/>
      <c r="P67" s="76"/>
      <c r="Q67" s="10"/>
      <c r="R67" s="54">
        <f t="shared" si="2"/>
        <v>0</v>
      </c>
      <c r="S67" s="103"/>
      <c r="T67" s="36"/>
      <c r="U67" s="46"/>
    </row>
    <row r="68" spans="12:21">
      <c r="L68" s="100"/>
      <c r="M68" s="11"/>
      <c r="N68" s="76"/>
      <c r="O68" s="76"/>
      <c r="P68" s="76"/>
      <c r="Q68" s="10"/>
      <c r="R68" s="54"/>
      <c r="S68" s="103"/>
      <c r="T68" s="36"/>
      <c r="U68" s="46"/>
    </row>
    <row r="69" spans="12:21">
      <c r="L69" s="100"/>
      <c r="M69" s="11"/>
      <c r="N69" s="67"/>
      <c r="O69" s="76"/>
      <c r="P69" s="76"/>
      <c r="Q69" s="10"/>
      <c r="R69" s="54">
        <f t="shared" si="2"/>
        <v>0</v>
      </c>
      <c r="S69" s="103"/>
      <c r="T69" s="36"/>
      <c r="U69" s="46"/>
    </row>
    <row r="70" spans="12:21">
      <c r="L70" s="11" t="s">
        <v>7</v>
      </c>
      <c r="M70" s="120">
        <f t="shared" ref="M70:R70" si="19">SUM(M37:M69)</f>
        <v>0</v>
      </c>
      <c r="N70" s="120">
        <f t="shared" si="19"/>
        <v>41438</v>
      </c>
      <c r="O70" s="61">
        <f t="shared" si="19"/>
        <v>1403</v>
      </c>
      <c r="P70" s="61">
        <f t="shared" si="19"/>
        <v>40035</v>
      </c>
      <c r="Q70" s="10">
        <f t="shared" ref="Q70" si="20">P70*(1-S70)*1.057</f>
        <v>42316.994999999995</v>
      </c>
      <c r="R70" s="61">
        <f t="shared" si="19"/>
        <v>0</v>
      </c>
      <c r="S70" s="62"/>
      <c r="T70" s="113"/>
      <c r="U70" s="46"/>
    </row>
    <row r="71" spans="12:21">
      <c r="L71" s="101" t="s">
        <v>56</v>
      </c>
      <c r="M71" s="9"/>
      <c r="Q71" s="36"/>
      <c r="S71" s="63"/>
      <c r="T71" s="70"/>
      <c r="U71" s="69"/>
    </row>
    <row r="72" spans="12:21">
      <c r="Q72" s="49"/>
      <c r="R72" s="64"/>
    </row>
    <row r="73" spans="12:21">
      <c r="M73" s="114"/>
      <c r="Q73" s="111"/>
    </row>
    <row r="82" spans="12:18">
      <c r="N82" s="46"/>
      <c r="O82" s="46"/>
      <c r="P82" s="46"/>
      <c r="Q82" s="65"/>
      <c r="R82" s="65"/>
    </row>
    <row r="83" spans="12:18">
      <c r="M83" s="72"/>
    </row>
    <row r="84" spans="12:18">
      <c r="M84" s="72"/>
    </row>
    <row r="85" spans="12:18">
      <c r="L85" s="284"/>
      <c r="M85" s="72"/>
    </row>
    <row r="86" spans="12:18">
      <c r="L86" s="284"/>
    </row>
    <row r="88" spans="12:18">
      <c r="L88" s="284"/>
    </row>
    <row r="89" spans="12:18">
      <c r="L89" s="284"/>
      <c r="M89" s="284"/>
    </row>
  </sheetData>
  <mergeCells count="100">
    <mergeCell ref="H54:I54"/>
    <mergeCell ref="H55:I55"/>
    <mergeCell ref="H56:I56"/>
    <mergeCell ref="C49:D49"/>
    <mergeCell ref="G49:H49"/>
    <mergeCell ref="A52:A53"/>
    <mergeCell ref="B52:C52"/>
    <mergeCell ref="D52:E52"/>
    <mergeCell ref="F52:G52"/>
    <mergeCell ref="H52:I53"/>
    <mergeCell ref="C46:D46"/>
    <mergeCell ref="G46:H46"/>
    <mergeCell ref="C47:D47"/>
    <mergeCell ref="G47:H47"/>
    <mergeCell ref="C48:D48"/>
    <mergeCell ref="G48:H48"/>
    <mergeCell ref="C43:D43"/>
    <mergeCell ref="G43:H43"/>
    <mergeCell ref="C44:D44"/>
    <mergeCell ref="G44:H44"/>
    <mergeCell ref="C45:D45"/>
    <mergeCell ref="G45:H45"/>
    <mergeCell ref="A40:A41"/>
    <mergeCell ref="C40:D41"/>
    <mergeCell ref="E40:H40"/>
    <mergeCell ref="I40:I41"/>
    <mergeCell ref="G41:H41"/>
    <mergeCell ref="G30:G32"/>
    <mergeCell ref="H30:H32"/>
    <mergeCell ref="C42:D42"/>
    <mergeCell ref="G42:H42"/>
    <mergeCell ref="C33:D33"/>
    <mergeCell ref="E33:F33"/>
    <mergeCell ref="C34:D34"/>
    <mergeCell ref="E34:F34"/>
    <mergeCell ref="C35:D35"/>
    <mergeCell ref="E35:F35"/>
    <mergeCell ref="I30:I32"/>
    <mergeCell ref="C31:D31"/>
    <mergeCell ref="C32:D32"/>
    <mergeCell ref="E32:F32"/>
    <mergeCell ref="B27:B29"/>
    <mergeCell ref="C27:D27"/>
    <mergeCell ref="E27:F28"/>
    <mergeCell ref="G27:G29"/>
    <mergeCell ref="H27:H29"/>
    <mergeCell ref="I27:I29"/>
    <mergeCell ref="C28:D28"/>
    <mergeCell ref="C29:D29"/>
    <mergeCell ref="E29:F29"/>
    <mergeCell ref="B30:B32"/>
    <mergeCell ref="C30:D30"/>
    <mergeCell ref="E30:F31"/>
    <mergeCell ref="B25:B26"/>
    <mergeCell ref="C25:D25"/>
    <mergeCell ref="E25:F26"/>
    <mergeCell ref="G25:G26"/>
    <mergeCell ref="H25:H26"/>
    <mergeCell ref="I25:I26"/>
    <mergeCell ref="C26:D26"/>
    <mergeCell ref="C17:D17"/>
    <mergeCell ref="E17:F17"/>
    <mergeCell ref="G17:I17"/>
    <mergeCell ref="C18:D18"/>
    <mergeCell ref="G18:I18"/>
    <mergeCell ref="A23:A24"/>
    <mergeCell ref="B23:B24"/>
    <mergeCell ref="C23:D24"/>
    <mergeCell ref="E23:F24"/>
    <mergeCell ref="G23:I23"/>
    <mergeCell ref="C15:D15"/>
    <mergeCell ref="E15:F15"/>
    <mergeCell ref="G15:I15"/>
    <mergeCell ref="C16:D16"/>
    <mergeCell ref="E16:F16"/>
    <mergeCell ref="G16:I16"/>
    <mergeCell ref="C9:D9"/>
    <mergeCell ref="E9:F9"/>
    <mergeCell ref="H9:I9"/>
    <mergeCell ref="A13:A14"/>
    <mergeCell ref="B13:D13"/>
    <mergeCell ref="E13:I13"/>
    <mergeCell ref="C14:D14"/>
    <mergeCell ref="E14:F14"/>
    <mergeCell ref="G14:I14"/>
    <mergeCell ref="Q5:R5"/>
    <mergeCell ref="H6:I6"/>
    <mergeCell ref="C7:D7"/>
    <mergeCell ref="E7:F7"/>
    <mergeCell ref="H7:I7"/>
    <mergeCell ref="C8:D8"/>
    <mergeCell ref="E8:F8"/>
    <mergeCell ref="H8:I8"/>
    <mergeCell ref="A1:I1"/>
    <mergeCell ref="H4:I4"/>
    <mergeCell ref="A5:A6"/>
    <mergeCell ref="B5:B6"/>
    <mergeCell ref="C5:D6"/>
    <mergeCell ref="E5:F6"/>
    <mergeCell ref="G5:I5"/>
  </mergeCells>
  <phoneticPr fontId="156" type="noConversion"/>
  <pageMargins left="0.78740157480314965" right="0" top="0" bottom="0" header="0.31496062992125984" footer="0.31496062992125984"/>
  <pageSetup paperSize="9" scale="9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 지정된 범위</vt:lpstr>
      </vt:variant>
      <vt:variant>
        <vt:i4>25</vt:i4>
      </vt:variant>
    </vt:vector>
  </HeadingPairs>
  <TitlesOfParts>
    <vt:vector size="52" baseType="lpstr">
      <vt:lpstr>1.31</vt:lpstr>
      <vt:lpstr>2.28</vt:lpstr>
      <vt:lpstr>3.31</vt:lpstr>
      <vt:lpstr>4.30</vt:lpstr>
      <vt:lpstr>5.31</vt:lpstr>
      <vt:lpstr>6.30</vt:lpstr>
      <vt:lpstr>7.31</vt:lpstr>
      <vt:lpstr>8.31</vt:lpstr>
      <vt:lpstr>9.30</vt:lpstr>
      <vt:lpstr>10.1</vt:lpstr>
      <vt:lpstr>10.2</vt:lpstr>
      <vt:lpstr>10.3</vt:lpstr>
      <vt:lpstr>10.4</vt:lpstr>
      <vt:lpstr>10.5</vt:lpstr>
      <vt:lpstr>10.6</vt:lpstr>
      <vt:lpstr>10.7</vt:lpstr>
      <vt:lpstr>10.8</vt:lpstr>
      <vt:lpstr>10.9</vt:lpstr>
      <vt:lpstr>10.10</vt:lpstr>
      <vt:lpstr>10.11</vt:lpstr>
      <vt:lpstr>10.12</vt:lpstr>
      <vt:lpstr>10.13</vt:lpstr>
      <vt:lpstr>10.14</vt:lpstr>
      <vt:lpstr>10.15</vt:lpstr>
      <vt:lpstr>10월 계획(0930)</vt:lpstr>
      <vt:lpstr>Sheet1</vt:lpstr>
      <vt:lpstr>써팬진동</vt:lpstr>
      <vt:lpstr>'1.31'!Print_Area</vt:lpstr>
      <vt:lpstr>'10.1'!Print_Area</vt:lpstr>
      <vt:lpstr>'10.10'!Print_Area</vt:lpstr>
      <vt:lpstr>'10.11'!Print_Area</vt:lpstr>
      <vt:lpstr>'10.12'!Print_Area</vt:lpstr>
      <vt:lpstr>'10.13'!Print_Area</vt:lpstr>
      <vt:lpstr>'10.14'!Print_Area</vt:lpstr>
      <vt:lpstr>'10.15'!Print_Area</vt:lpstr>
      <vt:lpstr>'10.2'!Print_Area</vt:lpstr>
      <vt:lpstr>'10.3'!Print_Area</vt:lpstr>
      <vt:lpstr>'10.4'!Print_Area</vt:lpstr>
      <vt:lpstr>'10.5'!Print_Area</vt:lpstr>
      <vt:lpstr>'10.6'!Print_Area</vt:lpstr>
      <vt:lpstr>'10.7'!Print_Area</vt:lpstr>
      <vt:lpstr>'10.8'!Print_Area</vt:lpstr>
      <vt:lpstr>'10.9'!Print_Area</vt:lpstr>
      <vt:lpstr>'10월 계획(0930)'!Print_Area</vt:lpstr>
      <vt:lpstr>'2.28'!Print_Area</vt:lpstr>
      <vt:lpstr>'3.31'!Print_Area</vt:lpstr>
      <vt:lpstr>'4.30'!Print_Area</vt:lpstr>
      <vt:lpstr>'5.31'!Print_Area</vt:lpstr>
      <vt:lpstr>'6.30'!Print_Area</vt:lpstr>
      <vt:lpstr>'7.31'!Print_Area</vt:lpstr>
      <vt:lpstr>'8.31'!Print_Area</vt:lpstr>
      <vt:lpstr>'9.30'!Print_Area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2019-10-15T23:12:55Z</cp:lastPrinted>
  <dcterms:created xsi:type="dcterms:W3CDTF">2018-03-10T00:27:42Z</dcterms:created>
  <dcterms:modified xsi:type="dcterms:W3CDTF">2019-10-16T04:55:10Z</dcterms:modified>
</cp:coreProperties>
</file>