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98\Desktop\"/>
    </mc:Choice>
  </mc:AlternateContent>
  <xr:revisionPtr revIDLastSave="0" documentId="13_ncr:1_{536361A1-F4EA-4492-A564-6F0278E0921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법인 및 사업장 정보" sheetId="1" r:id="rId1"/>
    <sheet name="활동데이터 수집시트(Y2015~Y2018)" sheetId="2" r:id="rId2"/>
    <sheet name="(참고)오피넷단가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 localSheetId="2">#REF!</definedName>
    <definedName name="_">#REF!</definedName>
    <definedName name="_1" localSheetId="2">#REF!</definedName>
    <definedName name="_1">#REF!</definedName>
    <definedName name="_1_?쨲?f" localSheetId="2">#REF!</definedName>
    <definedName name="_1_?쨲?f">#REF!</definedName>
    <definedName name="_2" localSheetId="2">#REF!</definedName>
    <definedName name="_2">#REF!</definedName>
    <definedName name="_2B2_" localSheetId="2">#REF!</definedName>
    <definedName name="_2B2_">#REF!</definedName>
    <definedName name="_6FF3_" localSheetId="2">#REF!</definedName>
    <definedName name="_6FF3_">#REF!</definedName>
    <definedName name="_7x1_" localSheetId="2">#REF!</definedName>
    <definedName name="_7x1_">#REF!</definedName>
    <definedName name="_8x2_" localSheetId="2">#REF!</definedName>
    <definedName name="_8x2_">#REF!</definedName>
    <definedName name="_AU100000" localSheetId="2">#REF!</definedName>
    <definedName name="_AU100000">#REF!</definedName>
    <definedName name="_AU66000" localSheetId="2">#REF!</definedName>
    <definedName name="_AU66000">#REF!</definedName>
    <definedName name="_AU69999" localSheetId="2">#REF!</definedName>
    <definedName name="_AU69999">#REF!</definedName>
    <definedName name="_AU70000" localSheetId="2">#REF!</definedName>
    <definedName name="_AU70000">#REF!</definedName>
    <definedName name="_dt1" localSheetId="2">#REF!</definedName>
    <definedName name="_dt1">#REF!</definedName>
    <definedName name="_GAP1" localSheetId="2">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</definedName>
    <definedName name="_GAP1">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,'[1]1.변경범위'!#REF!</definedName>
    <definedName name="_P1" localSheetId="2">#REF!</definedName>
    <definedName name="_P1">#REF!</definedName>
    <definedName name="_P2" localSheetId="2">#REF!</definedName>
    <definedName name="_P2">#REF!</definedName>
    <definedName name="_PLT1" localSheetId="2">#REF!</definedName>
    <definedName name="_PLT1">#REF!</definedName>
    <definedName name="_PLT2" localSheetId="2">#REF!</definedName>
    <definedName name="_PLT2">#REF!</definedName>
    <definedName name="√">"SQRT"</definedName>
    <definedName name="↑" localSheetId="2">#REF!</definedName>
    <definedName name="↑">#REF!</definedName>
    <definedName name="A" localSheetId="2">[2]Sheet1!#REF!</definedName>
    <definedName name="A">[2]Sheet1!#REF!</definedName>
    <definedName name="AA" localSheetId="2">#REF!</definedName>
    <definedName name="AA">#REF!</definedName>
    <definedName name="AAA" localSheetId="2">#REF!</definedName>
    <definedName name="AAA">#REF!</definedName>
    <definedName name="AAAA" localSheetId="2">#REF!</definedName>
    <definedName name="AAAA">#REF!</definedName>
    <definedName name="ALT_YY" localSheetId="2">#REF!</definedName>
    <definedName name="ALT_YY">#REF!</definedName>
    <definedName name="b" localSheetId="2">[3]차수!#REF!</definedName>
    <definedName name="b">[3]차수!#REF!</definedName>
    <definedName name="BB" localSheetId="2">#REF!</definedName>
    <definedName name="BB">#REF!</definedName>
    <definedName name="BRKT_ASST" localSheetId="2">#REF!</definedName>
    <definedName name="BRKT_ASST">#REF!</definedName>
    <definedName name="btw_">[4]Sheet5!$A$12:$IV$12,[4]Sheet5!$A$18:$IV$18,[4]Sheet5!$A$23:$IV$23,[4]Sheet5!$A$28:$IV$28</definedName>
    <definedName name="btw_01" localSheetId="2">#REF!,#REF!,#REF!,#REF!,#REF!,#REF!,#REF!,#REF!,#REF!</definedName>
    <definedName name="btw_01">#REF!,#REF!,#REF!,#REF!,#REF!,#REF!,#REF!,#REF!,#REF!</definedName>
    <definedName name="btw_02" localSheetId="2">'[4]Sheet6 (3)'!#REF!,'[4]Sheet6 (3)'!#REF!,'[4]Sheet6 (3)'!#REF!,'[4]Sheet6 (3)'!#REF!,'[4]Sheet6 (3)'!#REF!</definedName>
    <definedName name="btw_02">'[4]Sheet6 (3)'!#REF!,'[4]Sheet6 (3)'!#REF!,'[4]Sheet6 (3)'!#REF!,'[4]Sheet6 (3)'!#REF!,'[4]Sheet6 (3)'!#REF!</definedName>
    <definedName name="btw_03" localSheetId="2">#REF!,#REF!,#REF!,#REF!,#REF!</definedName>
    <definedName name="btw_03">#REF!,#REF!,#REF!,#REF!,#REF!</definedName>
    <definedName name="CC" localSheetId="2">[5]B네리BOM!#REF!</definedName>
    <definedName name="CC">[5]B네리BOM!#REF!</definedName>
    <definedName name="CCC" localSheetId="2">#REF!</definedName>
    <definedName name="CCC">#REF!</definedName>
    <definedName name="CDE" localSheetId="2">#REF!</definedName>
    <definedName name="CDE">#REF!</definedName>
    <definedName name="CRTC" localSheetId="2">#REF!</definedName>
    <definedName name="CRTC">#REF!</definedName>
    <definedName name="_xlnm.Database" localSheetId="2">#REF!</definedName>
    <definedName name="_xlnm.Database">#REF!</definedName>
    <definedName name="DD" localSheetId="2">#REF!</definedName>
    <definedName name="DD">#REF!</definedName>
    <definedName name="DKDKFG8TBTB2RT" localSheetId="2">[6]첨부2!#REF!</definedName>
    <definedName name="DKDKFG8TBTB2RT">[6]첨부2!#REF!</definedName>
    <definedName name="DL" localSheetId="2">#REF!</definedName>
    <definedName name="DL">#REF!</definedName>
    <definedName name="DLEHD" localSheetId="2">#REF!</definedName>
    <definedName name="DLEHD">#REF!</definedName>
    <definedName name="DSA" localSheetId="2">#REF!</definedName>
    <definedName name="DSA">#REF!</definedName>
    <definedName name="EE" localSheetId="2">#REF!</definedName>
    <definedName name="EE">#REF!</definedName>
    <definedName name="EO" localSheetId="2">#REF!</definedName>
    <definedName name="EO">#REF!</definedName>
    <definedName name="FF" localSheetId="2">[5]B네리BOM!#REF!</definedName>
    <definedName name="FF">[5]B네리BOM!#REF!</definedName>
    <definedName name="FFF" localSheetId="2">#REF!</definedName>
    <definedName name="FFF">#REF!</definedName>
    <definedName name="FG22TBTB3RTDKDKDK" localSheetId="2">[3]차수!#REF!</definedName>
    <definedName name="FG22TBTB3RTDKDKDK">[3]차수!#REF!</definedName>
    <definedName name="gap" localSheetId="2">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$A$8:$IV$8,[7]TCA!$A$12:$IV$13,[7]TCA!$A$18:$IV$38,[7]TCA!$A$42:$IV$42</definedName>
    <definedName name="gap">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#REF!,[7]TCA!$A$8:$IV$8,[7]TCA!$A$12:$IV$13,[7]TCA!$A$18:$IV$38,[7]TCA!$A$42:$IV$42</definedName>
    <definedName name="GG" localSheetId="2">[5]B네리BOM!#REF!</definedName>
    <definedName name="GG">[5]B네리BOM!#REF!</definedName>
    <definedName name="H">"Text 853"</definedName>
    <definedName name="HH" localSheetId="2">[5]B네리BOM!#REF!</definedName>
    <definedName name="HH">[5]B네리BOM!#REF!</definedName>
    <definedName name="II" localSheetId="2">[5]B네리BOM!#REF!</definedName>
    <definedName name="II">[5]B네리BOM!#REF!</definedName>
    <definedName name="imsi">[8]Sheet5!$A$12:$IV$12,[8]Sheet5!$A$18:$IV$18,[8]Sheet5!$A$23:$IV$23,[8]Sheet5!$A$28:$IV$28</definedName>
    <definedName name="imsi_2" localSheetId="2">'[8]Sheet6 (3)'!#REF!,'[8]Sheet6 (3)'!#REF!,'[8]Sheet6 (3)'!#REF!,'[8]Sheet6 (3)'!#REF!,'[8]Sheet6 (3)'!#REF!</definedName>
    <definedName name="imsi_2">'[8]Sheet6 (3)'!#REF!,'[8]Sheet6 (3)'!#REF!,'[8]Sheet6 (3)'!#REF!,'[8]Sheet6 (3)'!#REF!,'[8]Sheet6 (3)'!#REF!</definedName>
    <definedName name="imsi_3" localSheetId="2">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$A$8:$IV$8,[9]TCA!$A$12:$IV$13,[9]TCA!$A$18:$IV$38,[9]TCA!$A$42:$IV$42</definedName>
    <definedName name="imsi_3">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#REF!,[9]TCA!$A$8:$IV$8,[9]TCA!$A$12:$IV$13,[9]TCA!$A$18:$IV$38,[9]TCA!$A$42:$IV$42</definedName>
    <definedName name="IV" localSheetId="2">#REF!</definedName>
    <definedName name="IV">#REF!</definedName>
    <definedName name="JJ" localSheetId="2">[5]B네리BOM!#REF!</definedName>
    <definedName name="JJ">[5]B네리BOM!#REF!</definedName>
    <definedName name="KK" localSheetId="2">[5]B네리BOM!#REF!</definedName>
    <definedName name="KK">[5]B네리BOM!#REF!</definedName>
    <definedName name="LL" localSheetId="2">[5]B네리BOM!#REF!</definedName>
    <definedName name="LL">[5]B네리BOM!#REF!</definedName>
    <definedName name="M" localSheetId="2">[10]월별영외!#REF!</definedName>
    <definedName name="M">[10]월별영외!#REF!</definedName>
    <definedName name="MCP" localSheetId="2">#REF!</definedName>
    <definedName name="MCP">#REF!</definedName>
    <definedName name="MM" localSheetId="2">[5]B네리BOM!#REF!</definedName>
    <definedName name="MM">[5]B네리BOM!#REF!</definedName>
    <definedName name="MMM" localSheetId="2">#REF!</definedName>
    <definedName name="MMM">#REF!</definedName>
    <definedName name="MS검사구" localSheetId="2">#REF!</definedName>
    <definedName name="MS검사구">#REF!</definedName>
    <definedName name="M행" localSheetId="2">#REF!</definedName>
    <definedName name="M행">#REF!</definedName>
    <definedName name="N" localSheetId="2">#REF!</definedName>
    <definedName name="N">#REF!</definedName>
    <definedName name="NN">[5]B네리BOM!#REF!</definedName>
    <definedName name="N행">'[11]2.대외공문'!#REF!</definedName>
    <definedName name="O" localSheetId="2">#REF!</definedName>
    <definedName name="O">#REF!</definedName>
    <definedName name="OO" localSheetId="2">[5]B네리BOM!#REF!</definedName>
    <definedName name="OO">[5]B네리BOM!#REF!</definedName>
    <definedName name="O행" localSheetId="2">#REF!</definedName>
    <definedName name="O행">#REF!</definedName>
    <definedName name="plt" localSheetId="2">#REF!</definedName>
    <definedName name="plt">#REF!</definedName>
    <definedName name="pltt" localSheetId="2">#REF!</definedName>
    <definedName name="pltt">#REF!</definedName>
    <definedName name="pnl" localSheetId="2">#REF!</definedName>
    <definedName name="pnl">#REF!</definedName>
    <definedName name="podt1RT" localSheetId="2">#REF!</definedName>
    <definedName name="podt1RT">#REF!</definedName>
    <definedName name="PP" localSheetId="2">#REF!</definedName>
    <definedName name="PP">#REF!</definedName>
    <definedName name="PPP" localSheetId="2">#REF!</definedName>
    <definedName name="PPP">#REF!</definedName>
    <definedName name="prints_titles" localSheetId="2">#REF!</definedName>
    <definedName name="prints_titles">#REF!</definedName>
    <definedName name="P행" localSheetId="2">#REF!</definedName>
    <definedName name="P행">#REF!</definedName>
    <definedName name="Q" localSheetId="2">#REF!</definedName>
    <definedName name="Q">#REF!</definedName>
    <definedName name="QQQQ" localSheetId="2">#REF!</definedName>
    <definedName name="QQQQ">#REF!</definedName>
    <definedName name="Q행" localSheetId="2">#REF!</definedName>
    <definedName name="Q행">#REF!</definedName>
    <definedName name="RJATK">'[12]64164'!$F$12</definedName>
    <definedName name="RR" localSheetId="2">#REF!</definedName>
    <definedName name="RR">#REF!</definedName>
    <definedName name="rrpnl" localSheetId="2">#REF!</definedName>
    <definedName name="rrpnl">#REF!</definedName>
    <definedName name="R행" localSheetId="2">#REF!</definedName>
    <definedName name="R행">#REF!</definedName>
    <definedName name="SDFG" localSheetId="2">#REF!</definedName>
    <definedName name="SDFG">#REF!</definedName>
    <definedName name="SK" localSheetId="2">#REF!</definedName>
    <definedName name="SK">#REF!</definedName>
    <definedName name="SSS" localSheetId="2">#REF!</definedName>
    <definedName name="SSS">#REF!</definedName>
    <definedName name="S행" localSheetId="2">#REF!</definedName>
    <definedName name="S행">#REF!</definedName>
    <definedName name="TIP" localSheetId="2">#REF!</definedName>
    <definedName name="TIP">#REF!</definedName>
    <definedName name="TREE" localSheetId="2">#REF!</definedName>
    <definedName name="TREE">#REF!</definedName>
    <definedName name="TT" localSheetId="2">#REF!</definedName>
    <definedName name="TT">#REF!</definedName>
    <definedName name="ttt" localSheetId="2">#REF!</definedName>
    <definedName name="ttt">#REF!</definedName>
    <definedName name="T행" localSheetId="2">#REF!</definedName>
    <definedName name="T행">#REF!</definedName>
    <definedName name="USE">[5]B네리BOM!#REF!</definedName>
    <definedName name="U행" localSheetId="2">#REF!</definedName>
    <definedName name="U행">#REF!</definedName>
    <definedName name="VVV" localSheetId="2">#REF!</definedName>
    <definedName name="VVV">#REF!</definedName>
    <definedName name="V행" localSheetId="2">#REF!</definedName>
    <definedName name="V행">#REF!</definedName>
    <definedName name="W" localSheetId="2">#REF!</definedName>
    <definedName name="W">#REF!</definedName>
    <definedName name="WELD" localSheetId="2">#REF!</definedName>
    <definedName name="WELD">#REF!</definedName>
    <definedName name="wrn.PVC." localSheetId="2" hidden="1">{#N/A,#N/A,FALSE,"P.V.C 9월 압출 CAPA";#N/A,#N/A,FALSE,"P.V.C 10월 압출 CAPA ";#N/A,#N/A,FALSE,"P.V.C 11월 압출 CAPA ";#N/A,#N/A,FALSE,"P.V.C 12월 압출 CAPA "}</definedName>
    <definedName name="wrn.PVC." hidden="1">{#N/A,#N/A,FALSE,"P.V.C 9월 압출 CAPA";#N/A,#N/A,FALSE,"P.V.C 10월 압출 CAPA ";#N/A,#N/A,FALSE,"P.V.C 11월 압출 CAPA ";#N/A,#N/A,FALSE,"P.V.C 12월 압출 CAPA "}</definedName>
    <definedName name="WW" localSheetId="2">#REF!</definedName>
    <definedName name="WW">#REF!</definedName>
    <definedName name="WWW" localSheetId="2">#REF!</definedName>
    <definedName name="WWW">#REF!</definedName>
    <definedName name="W행" localSheetId="2">'[11]2.대외공문'!#REF!</definedName>
    <definedName name="W행">'[11]2.대외공문'!#REF!</definedName>
    <definedName name="X행" localSheetId="2">#REF!</definedName>
    <definedName name="X행">#REF!</definedName>
    <definedName name="ZZZC" localSheetId="2">#REF!</definedName>
    <definedName name="ZZZC">#REF!</definedName>
    <definedName name="π">PI()</definedName>
    <definedName name="가" localSheetId="2">#REF!,#REF!,#REF!,#REF!,#REF!,#REF!,#REF!,#REF!,#REF!,#REF!,#REF!,#REF!,#REF!,#REF!,#REF!,#REF!,#REF!,#REF!</definedName>
    <definedName name="가">#REF!,#REF!,#REF!,#REF!,#REF!,#REF!,#REF!,#REF!,#REF!,#REF!,#REF!,#REF!,#REF!,#REF!,#REF!,#REF!,#REF!,#REF!</definedName>
    <definedName name="가라" localSheetId="2">#REF!</definedName>
    <definedName name="가라">#REF!</definedName>
    <definedName name="간접연료" localSheetId="2">#REF!</definedName>
    <definedName name="간접연료">#REF!</definedName>
    <definedName name="고정연료" localSheetId="2">#REF!</definedName>
    <definedName name="고정연료">#REF!</definedName>
    <definedName name="고정연료명" localSheetId="2">#REF!</definedName>
    <definedName name="고정연료명">#REF!</definedName>
    <definedName name="공1" localSheetId="2">#REF!</definedName>
    <definedName name="공1">#REF!</definedName>
    <definedName name="공정배출원구분">[13]공정배출목록!$B$25:$B$35</definedName>
    <definedName name="공혈" localSheetId="2">#REF!</definedName>
    <definedName name="공혈">#REF!</definedName>
    <definedName name="공혈문제견본" localSheetId="2">#REF!</definedName>
    <definedName name="공혈문제견본">#REF!</definedName>
    <definedName name="관장기관" localSheetId="2">#REF!</definedName>
    <definedName name="관장기관">#REF!</definedName>
    <definedName name="기안갑" localSheetId="2">'[11]2.대외공문'!#REF!</definedName>
    <definedName name="기안갑">'[11]2.대외공문'!#REF!</definedName>
    <definedName name="기안을" localSheetId="2">'[11]2.대외공문'!#REF!</definedName>
    <definedName name="기안을">'[11]2.대외공문'!#REF!</definedName>
    <definedName name="單位阡원_阡￥" localSheetId="2">#REF!</definedName>
    <definedName name="單位阡원_阡￥">#REF!</definedName>
    <definedName name="대" localSheetId="2">#REF!</definedName>
    <definedName name="대">#REF!</definedName>
    <definedName name="대상년도" localSheetId="2">#REF!</definedName>
    <definedName name="대상년도">#REF!</definedName>
    <definedName name="대회" localSheetId="2">#REF!</definedName>
    <definedName name="대회">#REF!</definedName>
    <definedName name="ㄹ" localSheetId="2">#REF!</definedName>
    <definedName name="ㄹ">#REF!</definedName>
    <definedName name="ㅁ" localSheetId="2">#REF!</definedName>
    <definedName name="ㅁ">#REF!</definedName>
    <definedName name="ㅁ1" localSheetId="2">#REF!</definedName>
    <definedName name="ㅁ1">#REF!</definedName>
    <definedName name="ㅁㄴ" localSheetId="2">#REF!</definedName>
    <definedName name="ㅁㄴ">#REF!</definedName>
    <definedName name="ㅁㄴㅇㄱ" localSheetId="2">#REF!</definedName>
    <definedName name="ㅁㄴㅇㄱ">#REF!</definedName>
    <definedName name="민" localSheetId="2">#REF!</definedName>
    <definedName name="민">#REF!</definedName>
    <definedName name="ㅂ" localSheetId="2" hidden="1">{#N/A,#N/A,FALSE,"P.V.C 9월 압출 CAPA";#N/A,#N/A,FALSE,"P.V.C 10월 압출 CAPA ";#N/A,#N/A,FALSE,"P.V.C 11월 압출 CAPA ";#N/A,#N/A,FALSE,"P.V.C 12월 압출 CAPA "}</definedName>
    <definedName name="ㅂ" hidden="1">{#N/A,#N/A,FALSE,"P.V.C 9월 압출 CAPA";#N/A,#N/A,FALSE,"P.V.C 10월 압출 CAPA ";#N/A,#N/A,FALSE,"P.V.C 11월 압출 CAPA ";#N/A,#N/A,FALSE,"P.V.C 12월 압출 CAPA "}</definedName>
    <definedName name="ㅂㅈㄷㅌ" localSheetId="2">#REF!</definedName>
    <definedName name="ㅂㅈㄷㅌ">#REF!</definedName>
    <definedName name="방법론선택">[13]공정배출목록!$A$32:$A$33</definedName>
    <definedName name="배출시설명" localSheetId="2">#REF!</definedName>
    <definedName name="배출시설명">#REF!</definedName>
    <definedName name="배출시설일련번호" localSheetId="2">#REF!</definedName>
    <definedName name="배출시설일련번호">#REF!</definedName>
    <definedName name="배출활동명" localSheetId="2">#REF!</definedName>
    <definedName name="배출활동명">#REF!</definedName>
    <definedName name="변경" localSheetId="2">[14]Sheet1!#REF!</definedName>
    <definedName name="변경">[14]Sheet1!#REF!</definedName>
    <definedName name="사업장명" localSheetId="2">#REF!</definedName>
    <definedName name="사업장명">#REF!</definedName>
    <definedName name="사업장명_1" localSheetId="2">#REF!</definedName>
    <definedName name="사업장명_1">#REF!</definedName>
    <definedName name="사출1" localSheetId="2">#REF!</definedName>
    <definedName name="사출1">#REF!</definedName>
    <definedName name="석유화학공정">[13]공정배출목록!$A$1:$A$17</definedName>
    <definedName name="석회석">'[13]공정배출(발전)'!$N$4:$N$9</definedName>
    <definedName name="선박연료">'[13]이동연소 연료 배출계수'!$A$9:$A$15</definedName>
    <definedName name="설" localSheetId="2" hidden="1">{#N/A,#N/A,FALSE,"P.V.C 9월 압출 CAPA";#N/A,#N/A,FALSE,"P.V.C 10월 압출 CAPA ";#N/A,#N/A,FALSE,"P.V.C 11월 압출 CAPA ";#N/A,#N/A,FALSE,"P.V.C 12월 압출 CAPA "}</definedName>
    <definedName name="설" hidden="1">{#N/A,#N/A,FALSE,"P.V.C 9월 압출 CAPA";#N/A,#N/A,FALSE,"P.V.C 10월 압출 CAPA ";#N/A,#N/A,FALSE,"P.V.C 11월 압출 CAPA ";#N/A,#N/A,FALSE,"P.V.C 12월 압출 CAPA "}</definedName>
    <definedName name="소각물질명" localSheetId="2">#REF!</definedName>
    <definedName name="소각물질명">#REF!</definedName>
    <definedName name="소물_BRKT_SUB_용접RH" localSheetId="2">#REF!</definedName>
    <definedName name="소물_BRKT_SUB_용접RH">#REF!</definedName>
    <definedName name="ㅇ" localSheetId="2">#REF!</definedName>
    <definedName name="ㅇ">#REF!</definedName>
    <definedName name="ㅇㄷㄷ겨">'[15]차체부품 INS REPORT(갑)'!$E$13</definedName>
    <definedName name="ㅇㅎㅇ로ㅓ" localSheetId="2">#REF!</definedName>
    <definedName name="ㅇㅎㅇ로ㅓ">#REF!</definedName>
    <definedName name="여여영" localSheetId="2">#REF!</definedName>
    <definedName name="여여영">#REF!</definedName>
    <definedName name="연료고정" localSheetId="2">#REF!,#REF!,#REF!,#REF!,#REF!,#REF!,#REF!,#REF!,#REF!,#REF!,#REF!,#REF!,#REF!,#REF!,#REF!,#REF!,#REF!,#REF!</definedName>
    <definedName name="연료고정">#REF!,#REF!,#REF!,#REF!,#REF!,#REF!,#REF!,#REF!,#REF!,#REF!,#REF!,#REF!,#REF!,#REF!,#REF!,#REF!,#REF!,#REF!</definedName>
    <definedName name="연료명" localSheetId="2">#REF!</definedName>
    <definedName name="연료명">#REF!</definedName>
    <definedName name="연료명고정" localSheetId="2">#REF!,#REF!,#REF!,#REF!,#REF!,#REF!,#REF!,#REF!,#REF!,#REF!,#REF!,#REF!,#REF!,#REF!,#REF!,#REF!,#REF!,#REF!</definedName>
    <definedName name="연료명고정">#REF!,#REF!,#REF!,#REF!,#REF!,#REF!,#REF!,#REF!,#REF!,#REF!,#REF!,#REF!,#REF!,#REF!,#REF!,#REF!,#REF!,#REF!</definedName>
    <definedName name="연료타입">[13]설비타입!$K$3:$K$5</definedName>
    <definedName name="영" localSheetId="2">#REF!</definedName>
    <definedName name="영">#REF!</definedName>
    <definedName name="이동연료" localSheetId="2">#REF!</definedName>
    <definedName name="이동연료">#REF!</definedName>
    <definedName name="이동연료명" localSheetId="2">#REF!</definedName>
    <definedName name="이동연료명">#REF!</definedName>
    <definedName name="정유공정">[13]공정배출목록!$E$2:$E$11</definedName>
    <definedName name="제목" localSheetId="2">#REF!</definedName>
    <definedName name="제목">#REF!</definedName>
    <definedName name="제조" localSheetId="2" hidden="1">{#N/A,#N/A,FALSE,"P.V.C 9월 압출 CAPA";#N/A,#N/A,FALSE,"P.V.C 10월 압출 CAPA ";#N/A,#N/A,FALSE,"P.V.C 11월 압출 CAPA ";#N/A,#N/A,FALSE,"P.V.C 12월 압출 CAPA "}</definedName>
    <definedName name="제조" hidden="1">{#N/A,#N/A,FALSE,"P.V.C 9월 압출 CAPA";#N/A,#N/A,FALSE,"P.V.C 10월 압출 CAPA ";#N/A,#N/A,FALSE,"P.V.C 11월 압출 CAPA ";#N/A,#N/A,FALSE,"P.V.C 12월 압출 CAPA "}</definedName>
    <definedName name="제조건물수선비">'[16]부문기표-1'!#REF!</definedName>
    <definedName name="제조경비" localSheetId="2" hidden="1">{#N/A,#N/A,FALSE,"P.V.C 9월 압출 CAPA";#N/A,#N/A,FALSE,"P.V.C 10월 압출 CAPA ";#N/A,#N/A,FALSE,"P.V.C 11월 압출 CAPA ";#N/A,#N/A,FALSE,"P.V.C 12월 압출 CAPA "}</definedName>
    <definedName name="제조경비" hidden="1">{#N/A,#N/A,FALSE,"P.V.C 9월 압출 CAPA";#N/A,#N/A,FALSE,"P.V.C 10월 압출 CAPA ";#N/A,#N/A,FALSE,"P.V.C 11월 압출 CAPA ";#N/A,#N/A,FALSE,"P.V.C 12월 압출 CAPA "}</definedName>
    <definedName name="제조경비4" localSheetId="2" hidden="1">{#N/A,#N/A,FALSE,"P.V.C 9월 압출 CAPA";#N/A,#N/A,FALSE,"P.V.C 10월 압출 CAPA ";#N/A,#N/A,FALSE,"P.V.C 11월 압출 CAPA ";#N/A,#N/A,FALSE,"P.V.C 12월 압출 CAPA "}</definedName>
    <definedName name="제조경비4" hidden="1">{#N/A,#N/A,FALSE,"P.V.C 9월 압출 CAPA";#N/A,#N/A,FALSE,"P.V.C 10월 압출 CAPA ";#N/A,#N/A,FALSE,"P.V.C 11월 압출 CAPA ";#N/A,#N/A,FALSE,"P.V.C 12월 압출 CAPA "}</definedName>
    <definedName name="제조경비5" localSheetId="2" hidden="1">{#N/A,#N/A,FALSE,"P.V.C 9월 압출 CAPA";#N/A,#N/A,FALSE,"P.V.C 10월 압출 CAPA ";#N/A,#N/A,FALSE,"P.V.C 11월 압출 CAPA ";#N/A,#N/A,FALSE,"P.V.C 12월 압출 CAPA "}</definedName>
    <definedName name="제조경비5" hidden="1">{#N/A,#N/A,FALSE,"P.V.C 9월 압출 CAPA";#N/A,#N/A,FALSE,"P.V.C 10월 압출 CAPA ";#N/A,#N/A,FALSE,"P.V.C 11월 압출 CAPA ";#N/A,#N/A,FALSE,"P.V.C 12월 압출 CAPA "}</definedName>
    <definedName name="제조공기구수선비">'[16]부문기표-1'!#REF!</definedName>
    <definedName name="제조기계장치수선비">'[16]부문기표-1'!#REF!</definedName>
    <definedName name="제조기타소모품">'[16]부문기표-1'!#REF!</definedName>
    <definedName name="제조기타수선비">'[16]부문기표-1'!#REF!</definedName>
    <definedName name="제조생산소모품">'[16]부문기표-1'!#REF!</definedName>
    <definedName name="제조서식및용지대">'[16]부문기표-1'!#REF!</definedName>
    <definedName name="제조소모성공기구">'[16]부문기표-1'!#REF!</definedName>
    <definedName name="제조소모품합">'[16]부문기표-1'!#REF!</definedName>
    <definedName name="제조수선비합">'[16]부문기표-1'!#REF!</definedName>
    <definedName name="제조전산용품대">'[16]부문기표-1'!#REF!</definedName>
    <definedName name="제조전산유지보수비">'[16]부문기표-1'!#REF!</definedName>
    <definedName name="제지공정">[13]공정배출목록!$G$2</definedName>
    <definedName name="제출처" localSheetId="2">#REF!</definedName>
    <definedName name="제출처">#REF!</definedName>
    <definedName name="중소기업여부" localSheetId="2">#REF!</definedName>
    <definedName name="중소기업여부">#REF!</definedName>
    <definedName name="ㅊㄹㄷㄱ" localSheetId="2">#REF!</definedName>
    <definedName name="ㅊㄹㄷㄱ">#REF!</definedName>
    <definedName name="참고1" localSheetId="2">#REF!</definedName>
    <definedName name="참고1">#REF!</definedName>
    <definedName name="참고2" localSheetId="2">#REF!</definedName>
    <definedName name="참고2">#REF!</definedName>
    <definedName name="참고3" localSheetId="2">#REF!</definedName>
    <definedName name="참고3">#REF!</definedName>
    <definedName name="참고4" localSheetId="2">#REF!</definedName>
    <definedName name="참고4">#REF!</definedName>
    <definedName name="참고5" localSheetId="2">#REF!</definedName>
    <definedName name="참고5">#REF!</definedName>
    <definedName name="참고6" localSheetId="2">#REF!</definedName>
    <definedName name="참고6">#REF!</definedName>
    <definedName name="참고7" localSheetId="2">#REF!</definedName>
    <definedName name="참고7">#REF!</definedName>
    <definedName name="첨부1.공급방안" localSheetId="2">#REF!</definedName>
    <definedName name="첨부1.공급방안">#REF!</definedName>
    <definedName name="ㅋㄴㄴㅁ" localSheetId="2">#REF!</definedName>
    <definedName name="ㅋㄴㄴㅁ">#REF!</definedName>
    <definedName name="ㅌㅌㅌㅊㅍ" localSheetId="2">#REF!</definedName>
    <definedName name="ㅌㅌㅌㅊㅍ">#REF!</definedName>
    <definedName name="탄산염" localSheetId="2">#REF!</definedName>
    <definedName name="탄산염">#REF!</definedName>
    <definedName name="탄산염사용" localSheetId="2">#REF!</definedName>
    <definedName name="탄산염사용">#REF!</definedName>
    <definedName name="탄산염종류" localSheetId="2">#REF!</definedName>
    <definedName name="탄산염종류">#REF!</definedName>
    <definedName name="탈루구분">[13]탈루정보!$A$2:$A$13</definedName>
    <definedName name="탈루배출" localSheetId="2">#REF!</definedName>
    <definedName name="탈루배출">#REF!</definedName>
    <definedName name="ㅍ" localSheetId="2" hidden="1">{#N/A,#N/A,FALSE,"P.V.C 9월 압출 CAPA";#N/A,#N/A,FALSE,"P.V.C 10월 압출 CAPA ";#N/A,#N/A,FALSE,"P.V.C 11월 압출 CAPA ";#N/A,#N/A,FALSE,"P.V.C 12월 압출 CAPA "}</definedName>
    <definedName name="ㅍ" hidden="1">{#N/A,#N/A,FALSE,"P.V.C 9월 압출 CAPA";#N/A,#N/A,FALSE,"P.V.C 10월 압출 CAPA ";#N/A,#N/A,FALSE,"P.V.C 11월 압출 CAPA ";#N/A,#N/A,FALSE,"P.V.C 12월 압출 CAPA "}</definedName>
    <definedName name="ㅍㅇㄹ">'[15]차체부품 INS REPORT(갑)'!$E$13</definedName>
    <definedName name="판관4" localSheetId="2" hidden="1">{#N/A,#N/A,FALSE,"P.V.C 9월 압출 CAPA";#N/A,#N/A,FALSE,"P.V.C 10월 압출 CAPA ";#N/A,#N/A,FALSE,"P.V.C 11월 압출 CAPA ";#N/A,#N/A,FALSE,"P.V.C 12월 압출 CAPA "}</definedName>
    <definedName name="판관4" hidden="1">{#N/A,#N/A,FALSE,"P.V.C 9월 압출 CAPA";#N/A,#N/A,FALSE,"P.V.C 10월 압출 CAPA ";#N/A,#N/A,FALSE,"P.V.C 11월 압출 CAPA ";#N/A,#N/A,FALSE,"P.V.C 12월 압출 CAPA "}</definedName>
    <definedName name="판관5" localSheetId="2" hidden="1">{#N/A,#N/A,FALSE,"P.V.C 9월 압출 CAPA";#N/A,#N/A,FALSE,"P.V.C 10월 압출 CAPA ";#N/A,#N/A,FALSE,"P.V.C 11월 압출 CAPA ";#N/A,#N/A,FALSE,"P.V.C 12월 압출 CAPA "}</definedName>
    <definedName name="판관5" hidden="1">{#N/A,#N/A,FALSE,"P.V.C 9월 압출 CAPA";#N/A,#N/A,FALSE,"P.V.C 10월 압출 CAPA ";#N/A,#N/A,FALSE,"P.V.C 11월 압출 CAPA ";#N/A,#N/A,FALSE,"P.V.C 12월 압출 CAPA "}</definedName>
    <definedName name="판관기타소모품">'[16]부문기표-1'!#REF!</definedName>
    <definedName name="판관기타수선비">'[16]부문기표-1'!#REF!</definedName>
    <definedName name="판관비" localSheetId="2" hidden="1">{#N/A,#N/A,FALSE,"P.V.C 9월 압출 CAPA";#N/A,#N/A,FALSE,"P.V.C 10월 압출 CAPA ";#N/A,#N/A,FALSE,"P.V.C 11월 압출 CAPA ";#N/A,#N/A,FALSE,"P.V.C 12월 압출 CAPA "}</definedName>
    <definedName name="판관비" hidden="1">{#N/A,#N/A,FALSE,"P.V.C 9월 압출 CAPA";#N/A,#N/A,FALSE,"P.V.C 10월 압출 CAPA ";#N/A,#N/A,FALSE,"P.V.C 11월 압출 CAPA ";#N/A,#N/A,FALSE,"P.V.C 12월 압출 CAPA "}</definedName>
    <definedName name="판관비2" localSheetId="2" hidden="1">{#N/A,#N/A,FALSE,"P.V.C 9월 압출 CAPA";#N/A,#N/A,FALSE,"P.V.C 10월 압출 CAPA ";#N/A,#N/A,FALSE,"P.V.C 11월 압출 CAPA ";#N/A,#N/A,FALSE,"P.V.C 12월 압출 CAPA "}</definedName>
    <definedName name="판관비2" hidden="1">{#N/A,#N/A,FALSE,"P.V.C 9월 압출 CAPA";#N/A,#N/A,FALSE,"P.V.C 10월 압출 CAPA ";#N/A,#N/A,FALSE,"P.V.C 11월 압출 CAPA ";#N/A,#N/A,FALSE,"P.V.C 12월 압출 CAPA "}</definedName>
    <definedName name="판관비4" localSheetId="2" hidden="1">{#N/A,#N/A,FALSE,"P.V.C 9월 압출 CAPA";#N/A,#N/A,FALSE,"P.V.C 10월 압출 CAPA ";#N/A,#N/A,FALSE,"P.V.C 11월 압출 CAPA ";#N/A,#N/A,FALSE,"P.V.C 12월 압출 CAPA "}</definedName>
    <definedName name="판관비4" hidden="1">{#N/A,#N/A,FALSE,"P.V.C 9월 압출 CAPA";#N/A,#N/A,FALSE,"P.V.C 10월 압출 CAPA ";#N/A,#N/A,FALSE,"P.V.C 11월 압출 CAPA ";#N/A,#N/A,FALSE,"P.V.C 12월 압출 CAPA "}</definedName>
    <definedName name="판관비5" localSheetId="2" hidden="1">{#N/A,#N/A,FALSE,"P.V.C 9월 압출 CAPA";#N/A,#N/A,FALSE,"P.V.C 10월 압출 CAPA ";#N/A,#N/A,FALSE,"P.V.C 11월 압출 CAPA ";#N/A,#N/A,FALSE,"P.V.C 12월 압출 CAPA "}</definedName>
    <definedName name="판관비5" hidden="1">{#N/A,#N/A,FALSE,"P.V.C 9월 압출 CAPA";#N/A,#N/A,FALSE,"P.V.C 10월 압출 CAPA ";#N/A,#N/A,FALSE,"P.V.C 11월 압출 CAPA ";#N/A,#N/A,FALSE,"P.V.C 12월 압출 CAPA "}</definedName>
    <definedName name="판관비7" localSheetId="2" hidden="1">{#N/A,#N/A,FALSE,"P.V.C 9월 압출 CAPA";#N/A,#N/A,FALSE,"P.V.C 10월 압출 CAPA ";#N/A,#N/A,FALSE,"P.V.C 11월 압출 CAPA ";#N/A,#N/A,FALSE,"P.V.C 12월 압출 CAPA "}</definedName>
    <definedName name="판관비7" hidden="1">{#N/A,#N/A,FALSE,"P.V.C 9월 압출 CAPA";#N/A,#N/A,FALSE,"P.V.C 10월 압출 CAPA ";#N/A,#N/A,FALSE,"P.V.C 11월 압출 CAPA ";#N/A,#N/A,FALSE,"P.V.C 12월 압출 CAPA "}</definedName>
    <definedName name="판관비8" localSheetId="2" hidden="1">{#N/A,#N/A,FALSE,"P.V.C 9월 압출 CAPA";#N/A,#N/A,FALSE,"P.V.C 10월 압출 CAPA ";#N/A,#N/A,FALSE,"P.V.C 11월 압출 CAPA ";#N/A,#N/A,FALSE,"P.V.C 12월 압출 CAPA "}</definedName>
    <definedName name="판관비8" hidden="1">{#N/A,#N/A,FALSE,"P.V.C 9월 압출 CAPA";#N/A,#N/A,FALSE,"P.V.C 10월 압출 CAPA ";#N/A,#N/A,FALSE,"P.V.C 11월 압출 CAPA ";#N/A,#N/A,FALSE,"P.V.C 12월 압출 CAPA "}</definedName>
    <definedName name="판관사무용품대">'[16]부문기표-1'!#REF!</definedName>
    <definedName name="판관서식및용지대">'[16]부문기표-1'!#REF!</definedName>
    <definedName name="판관소모품합">'[16]부문기표-1'!#REF!</definedName>
    <definedName name="판관수선비합">'[16]부문기표-1'!#REF!</definedName>
    <definedName name="판관전산용품대">'[16]부문기표-1'!#REF!</definedName>
    <definedName name="판관전산유지보수비">'[16]부문기표-1'!#REF!</definedName>
    <definedName name="포장비합">'[16]부문기표-1'!#REF!</definedName>
    <definedName name="표1" localSheetId="2">#REF!</definedName>
    <definedName name="표1">#REF!</definedName>
    <definedName name="표2" localSheetId="2">#REF!</definedName>
    <definedName name="표2">#REF!</definedName>
    <definedName name="표3" localSheetId="2">#REF!</definedName>
    <definedName name="표3">#REF!</definedName>
    <definedName name="표4" localSheetId="2">#REF!</definedName>
    <definedName name="표4">#REF!</definedName>
    <definedName name="표지" localSheetId="2" hidden="1">{#N/A,#N/A,FALSE,"P.V.C 9월 압출 CAPA";#N/A,#N/A,FALSE,"P.V.C 10월 압출 CAPA ";#N/A,#N/A,FALSE,"P.V.C 11월 압출 CAPA ";#N/A,#N/A,FALSE,"P.V.C 12월 압출 CAPA "}</definedName>
    <definedName name="표지" hidden="1">{#N/A,#N/A,FALSE,"P.V.C 9월 압출 CAPA";#N/A,#N/A,FALSE,"P.V.C 10월 압출 CAPA ";#N/A,#N/A,FALSE,"P.V.C 11월 압출 CAPA ";#N/A,#N/A,FALSE,"P.V.C 12월 압출 CAPA "}</definedName>
    <definedName name="ㅎ" localSheetId="2">#REF!</definedName>
    <definedName name="ㅎ">#REF!</definedName>
    <definedName name="ㅎㅎㅎㅎㅎㅎ" localSheetId="2">#REF!</definedName>
    <definedName name="ㅎㅎㅎㅎㅎㅎ">#REF!</definedName>
    <definedName name="학자금07년" localSheetId="2" hidden="1">{#N/A,#N/A,FALSE,"P.V.C 9월 압출 CAPA";#N/A,#N/A,FALSE,"P.V.C 10월 압출 CAPA ";#N/A,#N/A,FALSE,"P.V.C 11월 압출 CAPA ";#N/A,#N/A,FALSE,"P.V.C 12월 압출 CAPA "}</definedName>
    <definedName name="학자금07년" hidden="1">{#N/A,#N/A,FALSE,"P.V.C 9월 압출 CAPA";#N/A,#N/A,FALSE,"P.V.C 10월 압출 CAPA ";#N/A,#N/A,FALSE,"P.V.C 11월 압출 CAPA ";#N/A,#N/A,FALSE,"P.V.C 12월 압출 CAPA "}</definedName>
    <definedName name="항공기종1">'[13]이동연소 연료 배출계수(항공)'!$C$2:$C$13</definedName>
    <definedName name="항공기종2">'[13]이동연소 연료 배출계수(항공)'!$C$15:$C$66</definedName>
    <definedName name="활동데이터구분" localSheetId="2">#REF!</definedName>
    <definedName name="활동데이터구분">#REF!</definedName>
    <definedName name="ㅗ" localSheetId="2">#REF!</definedName>
    <definedName name="ㅗ">#REF!</definedName>
    <definedName name="ㅜㅜㅜㅡ" localSheetId="2">#REF!</definedName>
    <definedName name="ㅜㅜㅜㅡ">#REF!</definedName>
    <definedName name="ㅠㅜㅡ">'[15]차체부품 INS REPORT(갑)'!$E$13</definedName>
    <definedName name="ㅣㅣㅐㅐㅔ" localSheetId="2">#REF!</definedName>
    <definedName name="ㅣㅣㅐㅐㅔ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2" l="1"/>
  <c r="N49" i="2"/>
  <c r="J30" i="2"/>
  <c r="T11" i="2"/>
  <c r="F25" i="1" l="1"/>
  <c r="F48" i="1" s="1"/>
  <c r="F20" i="1"/>
  <c r="F43" i="1" s="1"/>
  <c r="F15" i="1"/>
  <c r="F38" i="1" s="1"/>
  <c r="T10" i="2"/>
  <c r="F10" i="1"/>
  <c r="F33" i="1" s="1"/>
  <c r="L70" i="2"/>
  <c r="T68" i="2"/>
  <c r="R67" i="2"/>
  <c r="N68" i="2"/>
  <c r="K68" i="2"/>
  <c r="I68" i="2"/>
  <c r="T49" i="2"/>
  <c r="S49" i="2"/>
  <c r="P49" i="2"/>
  <c r="M49" i="2"/>
  <c r="M48" i="2"/>
  <c r="J49" i="2"/>
  <c r="I48" i="2"/>
  <c r="T30" i="2"/>
  <c r="Q30" i="2"/>
  <c r="Q29" i="2"/>
  <c r="M30" i="2"/>
  <c r="S10" i="2"/>
  <c r="O11" i="2"/>
  <c r="M10" i="2"/>
  <c r="L11" i="2"/>
  <c r="I11" i="2"/>
  <c r="N71" i="2" l="1"/>
  <c r="N73" i="2" s="1"/>
  <c r="O71" i="2"/>
  <c r="O73" i="2" s="1"/>
  <c r="P71" i="2"/>
  <c r="R71" i="2"/>
  <c r="R73" i="2" s="1"/>
  <c r="T73" i="2"/>
  <c r="T71" i="2"/>
  <c r="S73" i="2"/>
  <c r="S71" i="2"/>
  <c r="Q73" i="2"/>
  <c r="Q71" i="2"/>
  <c r="P73" i="2"/>
  <c r="M73" i="2"/>
  <c r="M71" i="2"/>
  <c r="L73" i="2"/>
  <c r="L71" i="2"/>
  <c r="K73" i="2"/>
  <c r="K71" i="2"/>
  <c r="J73" i="2"/>
  <c r="J71" i="2"/>
  <c r="I73" i="2"/>
  <c r="I71" i="2"/>
  <c r="T54" i="2" l="1"/>
  <c r="T52" i="2"/>
  <c r="S54" i="2"/>
  <c r="S52" i="2"/>
  <c r="R54" i="2"/>
  <c r="R52" i="2"/>
  <c r="Q54" i="2"/>
  <c r="P54" i="2"/>
  <c r="P52" i="2"/>
  <c r="O54" i="2"/>
  <c r="O52" i="2"/>
  <c r="N54" i="2"/>
  <c r="N52" i="2"/>
  <c r="M54" i="2"/>
  <c r="M52" i="2"/>
  <c r="L54" i="2"/>
  <c r="L52" i="2"/>
  <c r="K54" i="2"/>
  <c r="K52" i="2"/>
  <c r="J54" i="2"/>
  <c r="J52" i="2"/>
  <c r="I54" i="2"/>
  <c r="I52" i="2"/>
  <c r="T35" i="2"/>
  <c r="T33" i="2"/>
  <c r="S35" i="2"/>
  <c r="S33" i="2"/>
  <c r="R35" i="2"/>
  <c r="R33" i="2"/>
  <c r="Q35" i="2"/>
  <c r="Q33" i="2"/>
  <c r="P35" i="2"/>
  <c r="P33" i="2"/>
  <c r="O35" i="2"/>
  <c r="O33" i="2"/>
  <c r="N35" i="2"/>
  <c r="N33" i="2"/>
  <c r="M35" i="2"/>
  <c r="M33" i="2"/>
  <c r="L35" i="2"/>
  <c r="L33" i="2"/>
  <c r="L37" i="2"/>
  <c r="K35" i="2"/>
  <c r="K33" i="2"/>
  <c r="K37" i="2"/>
  <c r="J35" i="2"/>
  <c r="J33" i="2"/>
  <c r="J37" i="2"/>
  <c r="I35" i="2"/>
  <c r="I33" i="2"/>
  <c r="I37" i="2"/>
  <c r="T16" i="2"/>
  <c r="T14" i="2"/>
  <c r="T18" i="2"/>
  <c r="S16" i="2"/>
  <c r="S14" i="2"/>
  <c r="R18" i="2"/>
  <c r="R16" i="2"/>
  <c r="R14" i="2"/>
  <c r="Q16" i="2"/>
  <c r="Q14" i="2"/>
  <c r="Q18" i="2"/>
  <c r="P16" i="2"/>
  <c r="P14" i="2"/>
  <c r="P18" i="2"/>
  <c r="O16" i="2"/>
  <c r="O14" i="2"/>
  <c r="O18" i="2"/>
  <c r="N16" i="2"/>
  <c r="N14" i="2"/>
  <c r="N18" i="2"/>
  <c r="M16" i="2"/>
  <c r="M14" i="2"/>
  <c r="M18" i="2"/>
  <c r="L16" i="2"/>
  <c r="L14" i="2"/>
  <c r="L18" i="2"/>
  <c r="K16" i="2"/>
  <c r="K14" i="2"/>
  <c r="J16" i="2"/>
  <c r="J14" i="2"/>
  <c r="J18" i="2"/>
  <c r="I16" i="2"/>
  <c r="I14" i="2"/>
  <c r="I18" i="2"/>
  <c r="N40" i="2"/>
  <c r="L40" i="2"/>
  <c r="P60" i="2"/>
  <c r="U79" i="2" l="1"/>
  <c r="U78" i="2"/>
  <c r="U77" i="2"/>
  <c r="U75" i="2"/>
  <c r="U73" i="2"/>
  <c r="U71" i="2"/>
  <c r="U70" i="2"/>
  <c r="U69" i="2"/>
  <c r="U68" i="2"/>
  <c r="U67" i="2"/>
  <c r="U60" i="2"/>
  <c r="U59" i="2"/>
  <c r="U58" i="2"/>
  <c r="U56" i="2"/>
  <c r="U54" i="2"/>
  <c r="U52" i="2"/>
  <c r="U51" i="2"/>
  <c r="U50" i="2"/>
  <c r="U49" i="2"/>
  <c r="U48" i="2"/>
  <c r="U41" i="2"/>
  <c r="U40" i="2"/>
  <c r="U39" i="2"/>
  <c r="U37" i="2"/>
  <c r="U35" i="2"/>
  <c r="U33" i="2"/>
  <c r="U32" i="2"/>
  <c r="U31" i="2"/>
  <c r="U30" i="2"/>
  <c r="U29" i="2"/>
  <c r="U18" i="2"/>
  <c r="U16" i="2"/>
  <c r="U11" i="2"/>
  <c r="U22" i="2"/>
  <c r="D49" i="1" l="1"/>
  <c r="D44" i="1"/>
  <c r="D39" i="1"/>
  <c r="D34" i="1"/>
  <c r="D48" i="1"/>
  <c r="D43" i="1"/>
  <c r="D38" i="1"/>
  <c r="D33" i="1"/>
  <c r="H23" i="1"/>
  <c r="H18" i="1"/>
  <c r="H13" i="1"/>
  <c r="H46" i="1"/>
  <c r="H41" i="1"/>
  <c r="H36" i="1"/>
  <c r="H31" i="1"/>
  <c r="H8" i="1"/>
  <c r="T38" i="2" l="1"/>
  <c r="S38" i="2"/>
  <c r="R38" i="2"/>
  <c r="Q38" i="2"/>
  <c r="P38" i="2"/>
  <c r="O38" i="2"/>
  <c r="N38" i="2"/>
  <c r="M38" i="2"/>
  <c r="L38" i="2"/>
  <c r="K38" i="2"/>
  <c r="J38" i="2"/>
  <c r="I38" i="2"/>
  <c r="U38" i="2" l="1"/>
  <c r="F45" i="1"/>
  <c r="F40" i="1"/>
  <c r="F35" i="1"/>
  <c r="F30" i="1"/>
  <c r="T76" i="2"/>
  <c r="S76" i="2"/>
  <c r="R76" i="2"/>
  <c r="Q76" i="2"/>
  <c r="P76" i="2"/>
  <c r="O76" i="2"/>
  <c r="N76" i="2"/>
  <c r="M76" i="2"/>
  <c r="L76" i="2"/>
  <c r="K76" i="2"/>
  <c r="J76" i="2"/>
  <c r="T74" i="2"/>
  <c r="S74" i="2"/>
  <c r="R74" i="2"/>
  <c r="Q74" i="2"/>
  <c r="P74" i="2"/>
  <c r="O74" i="2"/>
  <c r="N74" i="2"/>
  <c r="M74" i="2"/>
  <c r="L74" i="2"/>
  <c r="K74" i="2"/>
  <c r="J74" i="2"/>
  <c r="T72" i="2"/>
  <c r="S72" i="2"/>
  <c r="R72" i="2"/>
  <c r="Q72" i="2"/>
  <c r="P72" i="2"/>
  <c r="O72" i="2"/>
  <c r="N72" i="2"/>
  <c r="M72" i="2"/>
  <c r="L72" i="2"/>
  <c r="K72" i="2"/>
  <c r="J72" i="2"/>
  <c r="I76" i="2"/>
  <c r="I74" i="2"/>
  <c r="I72" i="2"/>
  <c r="T57" i="2"/>
  <c r="S57" i="2"/>
  <c r="R57" i="2"/>
  <c r="Q57" i="2"/>
  <c r="P57" i="2"/>
  <c r="O57" i="2"/>
  <c r="N57" i="2"/>
  <c r="M57" i="2"/>
  <c r="L57" i="2"/>
  <c r="K57" i="2"/>
  <c r="J57" i="2"/>
  <c r="T55" i="2"/>
  <c r="S55" i="2"/>
  <c r="R55" i="2"/>
  <c r="Q55" i="2"/>
  <c r="P55" i="2"/>
  <c r="O55" i="2"/>
  <c r="N55" i="2"/>
  <c r="M55" i="2"/>
  <c r="L55" i="2"/>
  <c r="K55" i="2"/>
  <c r="J55" i="2"/>
  <c r="T53" i="2"/>
  <c r="S53" i="2"/>
  <c r="R53" i="2"/>
  <c r="Q53" i="2"/>
  <c r="P53" i="2"/>
  <c r="O53" i="2"/>
  <c r="N53" i="2"/>
  <c r="M53" i="2"/>
  <c r="L53" i="2"/>
  <c r="K53" i="2"/>
  <c r="J53" i="2"/>
  <c r="I57" i="2"/>
  <c r="I55" i="2"/>
  <c r="I53" i="2"/>
  <c r="T36" i="2"/>
  <c r="S36" i="2"/>
  <c r="R36" i="2"/>
  <c r="Q36" i="2"/>
  <c r="P36" i="2"/>
  <c r="O36" i="2"/>
  <c r="N36" i="2"/>
  <c r="M36" i="2"/>
  <c r="L36" i="2"/>
  <c r="K36" i="2"/>
  <c r="J36" i="2"/>
  <c r="T34" i="2"/>
  <c r="S34" i="2"/>
  <c r="R34" i="2"/>
  <c r="Q34" i="2"/>
  <c r="P34" i="2"/>
  <c r="O34" i="2"/>
  <c r="N34" i="2"/>
  <c r="M34" i="2"/>
  <c r="L34" i="2"/>
  <c r="K34" i="2"/>
  <c r="J34" i="2"/>
  <c r="I36" i="2"/>
  <c r="I34" i="2"/>
  <c r="T19" i="2"/>
  <c r="S19" i="2"/>
  <c r="R19" i="2"/>
  <c r="Q19" i="2"/>
  <c r="P19" i="2"/>
  <c r="O19" i="2"/>
  <c r="N19" i="2"/>
  <c r="M19" i="2"/>
  <c r="L19" i="2"/>
  <c r="K19" i="2"/>
  <c r="J19" i="2"/>
  <c r="I19" i="2"/>
  <c r="T17" i="2"/>
  <c r="S17" i="2"/>
  <c r="R17" i="2"/>
  <c r="Q17" i="2"/>
  <c r="P17" i="2"/>
  <c r="O17" i="2"/>
  <c r="N17" i="2"/>
  <c r="M17" i="2"/>
  <c r="L17" i="2"/>
  <c r="K17" i="2"/>
  <c r="J17" i="2"/>
  <c r="T15" i="2"/>
  <c r="S15" i="2"/>
  <c r="R15" i="2"/>
  <c r="Q15" i="2"/>
  <c r="P15" i="2"/>
  <c r="O15" i="2"/>
  <c r="N15" i="2"/>
  <c r="M15" i="2"/>
  <c r="L15" i="2"/>
  <c r="K15" i="2"/>
  <c r="J15" i="2"/>
  <c r="I17" i="2"/>
  <c r="I15" i="2"/>
  <c r="U74" i="2" l="1"/>
  <c r="U72" i="2"/>
  <c r="U76" i="2"/>
  <c r="U53" i="2"/>
  <c r="U55" i="2"/>
  <c r="U57" i="2"/>
  <c r="U36" i="2"/>
  <c r="U34" i="2"/>
  <c r="U19" i="2"/>
  <c r="U80" i="2"/>
  <c r="U66" i="2"/>
  <c r="U61" i="2"/>
  <c r="U47" i="2"/>
  <c r="U42" i="2"/>
  <c r="U28" i="2"/>
  <c r="U20" i="2"/>
  <c r="U17" i="2"/>
  <c r="U23" i="2"/>
  <c r="U13" i="2"/>
  <c r="U10" i="2"/>
  <c r="F22" i="1"/>
  <c r="F17" i="1"/>
  <c r="F12" i="1"/>
  <c r="F7" i="1"/>
  <c r="U12" i="2" l="1"/>
  <c r="U21" i="2"/>
  <c r="U9" i="2"/>
  <c r="U15" i="2"/>
  <c r="U14" i="2"/>
</calcChain>
</file>

<file path=xl/sharedStrings.xml><?xml version="1.0" encoding="utf-8"?>
<sst xmlns="http://schemas.openxmlformats.org/spreadsheetml/2006/main" count="664" uniqueCount="200">
  <si>
    <t>법인 일반정보</t>
    <phoneticPr fontId="3" type="noConversion"/>
  </si>
  <si>
    <t>대상년도</t>
    <phoneticPr fontId="3" type="noConversion"/>
  </si>
  <si>
    <t>주요생산제품 처리물질</t>
    <phoneticPr fontId="3" type="noConversion"/>
  </si>
  <si>
    <t>연간생산량(톤)</t>
    <phoneticPr fontId="3" type="noConversion"/>
  </si>
  <si>
    <t>상시 종업원수(명)</t>
    <phoneticPr fontId="3" type="noConversion"/>
  </si>
  <si>
    <t>매출액(백만원)</t>
    <phoneticPr fontId="3" type="noConversion"/>
  </si>
  <si>
    <t>에너지비용(백만원)</t>
    <phoneticPr fontId="3" type="noConversion"/>
  </si>
  <si>
    <t>자본금(백만원)</t>
    <phoneticPr fontId="3" type="noConversion"/>
  </si>
  <si>
    <t>사업장 일반정보</t>
    <phoneticPr fontId="3" type="noConversion"/>
  </si>
  <si>
    <t>고로 슬래그 시멘트</t>
    <phoneticPr fontId="3" type="noConversion"/>
  </si>
  <si>
    <t>고로 슬래그 미분말</t>
    <phoneticPr fontId="3" type="noConversion"/>
  </si>
  <si>
    <t>*에너지비용: 연간 에너지 구매 비용(전력, 도시가스, 유류 모두 포함)</t>
    <phoneticPr fontId="3" type="noConversion"/>
  </si>
  <si>
    <t>대표자</t>
    <phoneticPr fontId="3" type="noConversion"/>
  </si>
  <si>
    <t>성기광</t>
    <phoneticPr fontId="3" type="noConversion"/>
  </si>
  <si>
    <t>이철환</t>
    <phoneticPr fontId="3" type="noConversion"/>
  </si>
  <si>
    <t>연도별 활동데이터 수집</t>
    <phoneticPr fontId="3" type="noConversion"/>
  </si>
  <si>
    <t>구분</t>
    <phoneticPr fontId="3" type="noConversion"/>
  </si>
  <si>
    <t>배출원 정보</t>
  </si>
  <si>
    <t>배출시설</t>
  </si>
  <si>
    <t>연료명/원료명</t>
    <phoneticPr fontId="3" type="noConversion"/>
  </si>
  <si>
    <t>근거자료명</t>
    <phoneticPr fontId="3" type="noConversion"/>
  </si>
  <si>
    <t>단위</t>
  </si>
  <si>
    <t>1월</t>
  </si>
  <si>
    <t>2월</t>
  </si>
  <si>
    <t>3월</t>
  </si>
  <si>
    <t>4월</t>
  </si>
  <si>
    <t xml:space="preserve">5월 </t>
  </si>
  <si>
    <t>6월</t>
  </si>
  <si>
    <t>7월</t>
  </si>
  <si>
    <t>8월</t>
  </si>
  <si>
    <t>9월</t>
  </si>
  <si>
    <t>10월</t>
  </si>
  <si>
    <t>11월</t>
  </si>
  <si>
    <t>12월</t>
  </si>
  <si>
    <t>합계</t>
  </si>
  <si>
    <t>비고</t>
    <phoneticPr fontId="3" type="noConversion"/>
  </si>
  <si>
    <t>001</t>
    <phoneticPr fontId="3" type="noConversion"/>
  </si>
  <si>
    <t>L</t>
    <phoneticPr fontId="3" type="noConversion"/>
  </si>
  <si>
    <t>002</t>
  </si>
  <si>
    <t>경유</t>
    <phoneticPr fontId="3" type="noConversion"/>
  </si>
  <si>
    <t>003</t>
    <phoneticPr fontId="3" type="noConversion"/>
  </si>
  <si>
    <t>kg</t>
    <phoneticPr fontId="3" type="noConversion"/>
  </si>
  <si>
    <t>004</t>
    <phoneticPr fontId="3" type="noConversion"/>
  </si>
  <si>
    <t>005</t>
    <phoneticPr fontId="3" type="noConversion"/>
  </si>
  <si>
    <t>승용 자동차</t>
    <phoneticPr fontId="3" type="noConversion"/>
  </si>
  <si>
    <t>휘발유</t>
    <phoneticPr fontId="3" type="noConversion"/>
  </si>
  <si>
    <t>원</t>
    <phoneticPr fontId="3" type="noConversion"/>
  </si>
  <si>
    <t>006</t>
    <phoneticPr fontId="3" type="noConversion"/>
  </si>
  <si>
    <t>007</t>
    <phoneticPr fontId="3" type="noConversion"/>
  </si>
  <si>
    <t>008</t>
    <phoneticPr fontId="3" type="noConversion"/>
  </si>
  <si>
    <t>009</t>
    <phoneticPr fontId="3" type="noConversion"/>
  </si>
  <si>
    <t>사업장단위전력사용시설</t>
    <phoneticPr fontId="3" type="noConversion"/>
  </si>
  <si>
    <t>전력</t>
    <phoneticPr fontId="3" type="noConversion"/>
  </si>
  <si>
    <t>한전고지서 전력사용량</t>
    <phoneticPr fontId="3" type="noConversion"/>
  </si>
  <si>
    <t>kWh</t>
    <phoneticPr fontId="3" type="noConversion"/>
  </si>
  <si>
    <t>도시가스(LNG)</t>
    <phoneticPr fontId="3" type="noConversion"/>
  </si>
  <si>
    <t>건조기</t>
    <phoneticPr fontId="3" type="noConversion"/>
  </si>
  <si>
    <t>절단기/용접기</t>
    <phoneticPr fontId="3" type="noConversion"/>
  </si>
  <si>
    <t>비상발전기</t>
    <phoneticPr fontId="3" type="noConversion"/>
  </si>
  <si>
    <t>LPG</t>
    <phoneticPr fontId="3" type="noConversion"/>
  </si>
  <si>
    <t>CO2</t>
    <phoneticPr fontId="3" type="noConversion"/>
  </si>
  <si>
    <t>소화기</t>
    <phoneticPr fontId="3" type="noConversion"/>
  </si>
  <si>
    <t xml:space="preserve">ERP 전산 자료(주유 금액) </t>
    <phoneticPr fontId="3" type="noConversion"/>
  </si>
  <si>
    <t>지정주유소 거래 내역서</t>
    <phoneticPr fontId="3" type="noConversion"/>
  </si>
  <si>
    <t>지게차</t>
    <phoneticPr fontId="3" type="noConversion"/>
  </si>
  <si>
    <t>중장비(페이로더)</t>
    <phoneticPr fontId="3" type="noConversion"/>
  </si>
  <si>
    <t>가스공급처 거래내역서</t>
    <phoneticPr fontId="3" type="noConversion"/>
  </si>
  <si>
    <t>지정주유소 거래내역서</t>
    <phoneticPr fontId="3" type="noConversion"/>
  </si>
  <si>
    <t>인천도시가스 고지서</t>
    <phoneticPr fontId="3" type="noConversion"/>
  </si>
  <si>
    <t>Nm3</t>
    <phoneticPr fontId="3" type="noConversion"/>
  </si>
  <si>
    <t xml:space="preserve">2015년 01월 ~ 2018년 12월 </t>
  </si>
  <si>
    <t>주유소 제품별 평균 판매가격</t>
  </si>
  <si>
    <t>LPG충전소 제품별 평균 판매가격</t>
  </si>
  <si>
    <t>기간</t>
  </si>
  <si>
    <t>자동차부탄(원/ℓ)</t>
    <phoneticPr fontId="3" type="noConversion"/>
  </si>
  <si>
    <t xml:space="preserve">구분 : 월간 </t>
  </si>
  <si>
    <t>15년01월</t>
  </si>
  <si>
    <t xml:space="preserve">기간: 2015년 01월 ~ 2018년 12월 </t>
  </si>
  <si>
    <t>15년02월</t>
  </si>
  <si>
    <t xml:space="preserve">제품: 보통휘발유  자동차용경유  </t>
  </si>
  <si>
    <t>15년03월</t>
  </si>
  <si>
    <t>15년04월</t>
  </si>
  <si>
    <t>15년05월</t>
  </si>
  <si>
    <t>15년06월</t>
  </si>
  <si>
    <t>15년07월</t>
  </si>
  <si>
    <t>15년08월</t>
  </si>
  <si>
    <t>15년09월</t>
  </si>
  <si>
    <t>15년10월</t>
  </si>
  <si>
    <t>15년11월</t>
  </si>
  <si>
    <t>15년12월</t>
  </si>
  <si>
    <t>2015년 01월 ~ 2018년 12월 (원/리터)  </t>
  </si>
  <si>
    <t>16년01월</t>
  </si>
  <si>
    <t>16년02월</t>
  </si>
  <si>
    <t>16년03월</t>
  </si>
  <si>
    <t>16년04월</t>
  </si>
  <si>
    <t>16년05월</t>
  </si>
  <si>
    <t>16년06월</t>
  </si>
  <si>
    <t>16년07월</t>
  </si>
  <si>
    <t>16년08월</t>
  </si>
  <si>
    <t>16년09월</t>
  </si>
  <si>
    <t>16년10월</t>
  </si>
  <si>
    <t>16년11월</t>
  </si>
  <si>
    <t>16년12월</t>
  </si>
  <si>
    <t>제품별 평균판매가격 결과</t>
  </si>
  <si>
    <t>구분</t>
  </si>
  <si>
    <t>보통휘발유</t>
  </si>
  <si>
    <t>자동차용경유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</si>
  <si>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</si>
  <si>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</si>
  <si>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</si>
  <si>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</si>
  <si>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</si>
  <si>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</si>
  <si>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</si>
  <si>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</si>
  <si>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</si>
  <si>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</si>
  <si>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</si>
  <si>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</si>
  <si>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보통휘발유(원/리터)</t>
    <phoneticPr fontId="3" type="noConversion"/>
  </si>
  <si>
    <t>17년01월</t>
  </si>
  <si>
    <t>17년02월</t>
  </si>
  <si>
    <t>17년03월</t>
  </si>
  <si>
    <t>17년04월</t>
  </si>
  <si>
    <t>17년05월</t>
  </si>
  <si>
    <t>17년06월</t>
  </si>
  <si>
    <t>17년07월</t>
  </si>
  <si>
    <t>17년08월</t>
  </si>
  <si>
    <t>17년09월</t>
  </si>
  <si>
    <t>17년10월</t>
  </si>
  <si>
    <t>17년11월</t>
  </si>
  <si>
    <t>17년12월</t>
  </si>
  <si>
    <t>자동차용경유(원/리터)</t>
    <phoneticPr fontId="3" type="noConversion"/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</si>
  <si>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</si>
  <si>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</si>
  <si>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</si>
  <si>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</si>
  <si>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</si>
  <si>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</si>
  <si>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</si>
  <si>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</si>
  <si>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</si>
  <si>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</si>
  <si>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</si>
  <si>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</si>
  <si>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18년01월</t>
  </si>
  <si>
    <t>18년02월</t>
  </si>
  <si>
    <t>18년03월</t>
  </si>
  <si>
    <t>18년04월</t>
  </si>
  <si>
    <t>18년05월</t>
  </si>
  <si>
    <t>18년06월</t>
  </si>
  <si>
    <t>18년07월</t>
  </si>
  <si>
    <t>18년08월</t>
  </si>
  <si>
    <t>18년09월</t>
  </si>
  <si>
    <t>18년10월</t>
  </si>
  <si>
    <t>18년11월</t>
  </si>
  <si>
    <t>18년12월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</si>
  <si>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</si>
  <si>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</si>
  <si>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</si>
  <si>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</si>
  <si>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</si>
  <si>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</si>
  <si>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</si>
  <si>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</si>
  <si>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</si>
  <si>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</si>
  <si>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</si>
  <si>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</si>
  <si>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*자동차 부탄 비중 환산계수</t>
    <phoneticPr fontId="3" type="noConversion"/>
  </si>
  <si>
    <t>2018년01월</t>
  </si>
  <si>
    <t>2018년02월</t>
  </si>
  <si>
    <t>2018년03월</t>
  </si>
  <si>
    <t>2018년04월</t>
  </si>
  <si>
    <t>2018년05월</t>
  </si>
  <si>
    <t>2018년06월</t>
  </si>
  <si>
    <t>2018년07월</t>
  </si>
  <si>
    <t>2018년08월</t>
  </si>
  <si>
    <t>2018년09월</t>
  </si>
  <si>
    <t>2018년10월</t>
  </si>
  <si>
    <t>2018년11월</t>
  </si>
  <si>
    <t>2018년12월</t>
  </si>
  <si>
    <t>참고</t>
    <phoneticPr fontId="3" type="noConversion"/>
  </si>
  <si>
    <t>노란색 셀 입력하여 회신</t>
    <phoneticPr fontId="3" type="noConversion"/>
  </si>
  <si>
    <t>시설대수</t>
    <phoneticPr fontId="3" type="noConversion"/>
  </si>
  <si>
    <t>-</t>
    <phoneticPr fontId="3" type="noConversion"/>
  </si>
  <si>
    <t>화물자동차
(그랜드 스타랙스)</t>
    <phoneticPr fontId="3" type="noConversion"/>
  </si>
  <si>
    <t>요소수</t>
    <phoneticPr fontId="3" type="noConversion"/>
  </si>
  <si>
    <t>ERP 전산 자료(반드시 사용량으로 기재)</t>
    <phoneticPr fontId="3" type="noConversion"/>
  </si>
  <si>
    <t>*상시 종업원수 : 해당연도 12월 31일 기준 
(대표이사 제외)</t>
    <phoneticPr fontId="3" type="noConversion"/>
  </si>
  <si>
    <t>매출액(백만원) - 제품</t>
    <phoneticPr fontId="3" type="noConversion"/>
  </si>
  <si>
    <t>*매출액 : 제품, 상품, 기타 매출액 포함 전체 매출액 (재무제표 기준), 제품 매출액 별도 기재</t>
    <phoneticPr fontId="3" type="noConversion"/>
  </si>
  <si>
    <t>*절단기 5, 용접기 1 = 6</t>
    <phoneticPr fontId="3" type="noConversion"/>
  </si>
  <si>
    <t>*요소수 = 페이로더에만 사용 (월 구매량 10리터 * 수량)</t>
    <phoneticPr fontId="3" type="noConversion"/>
  </si>
  <si>
    <t>*차량유지비-유류대(기타챠량) - 화물자동차 (스타렉스-경유), 승용자동차(휘발유, LPG), 16년 4월부터 : 승용차는 차량유지비-유류대(승용차)</t>
    <phoneticPr fontId="3" type="noConversion"/>
  </si>
  <si>
    <t>CO2 : 신영특수가스 (개당 20kg)</t>
    <phoneticPr fontId="3" type="noConversion"/>
  </si>
  <si>
    <t>LPG : 동서종합가스 (개당 20kg)</t>
    <phoneticPr fontId="3" type="noConversion"/>
  </si>
  <si>
    <t>*에너지비용
동력비-전력요금 (전력), 연료비-연료비 (도시가스)
차량유지비-유류대(페이로더, 지게차) -&gt; 제조
차량유지비-유류대(기타차량, 승용차) -&gt; 판관</t>
    <phoneticPr fontId="3" type="noConversion"/>
  </si>
  <si>
    <t>승용자동차 (휘발유) - 1대 (대표이사)</t>
    <phoneticPr fontId="3" type="noConversion"/>
  </si>
  <si>
    <t>승용자동차 (LPG) - 3대 (영업팀)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</si>
</sst>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9"/>
      <color theme="8"/>
      <name val="맑은 고딕"/>
      <family val="2"/>
      <charset val="129"/>
      <scheme val="minor"/>
    </font>
    <font>
      <b/>
      <sz val="11"/>
      <color theme="8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4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shrinkToFit="1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41" fontId="2" fillId="6" borderId="7" xfId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1" fontId="6" fillId="6" borderId="7" xfId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41" fontId="7" fillId="6" borderId="7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shrinkToFit="1"/>
    </xf>
    <xf numFmtId="0" fontId="6" fillId="0" borderId="1" xfId="0" applyFont="1" applyBorder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shrinkToFit="1"/>
    </xf>
    <xf numFmtId="0" fontId="6" fillId="4" borderId="7" xfId="0" quotePrefix="1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/>
    </xf>
    <xf numFmtId="41" fontId="6" fillId="0" borderId="16" xfId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1" fontId="6" fillId="0" borderId="16" xfId="1" quotePrefix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1" fontId="2" fillId="0" borderId="5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1" fontId="7" fillId="0" borderId="8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1" fontId="7" fillId="0" borderId="3" xfId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16" fillId="0" borderId="0" xfId="0" applyFo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11" fillId="7" borderId="40" xfId="0" applyFont="1" applyFill="1" applyBorder="1" applyAlignment="1">
      <alignment horizontal="left" vertical="center"/>
    </xf>
    <xf numFmtId="0" fontId="11" fillId="7" borderId="41" xfId="0" applyFont="1" applyFill="1" applyBorder="1" applyAlignment="1">
      <alignment horizontal="left" vertical="center"/>
    </xf>
    <xf numFmtId="41" fontId="2" fillId="6" borderId="4" xfId="1" applyFont="1" applyFill="1" applyBorder="1" applyAlignment="1">
      <alignment horizontal="center" vertical="center"/>
    </xf>
    <xf numFmtId="41" fontId="2" fillId="6" borderId="5" xfId="1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3" fillId="0" borderId="31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3" fillId="0" borderId="38" xfId="0" applyFont="1" applyBorder="1" applyAlignment="1">
      <alignment horizontal="left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26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41" fontId="6" fillId="6" borderId="17" xfId="1" applyFont="1" applyFill="1" applyBorder="1" applyAlignment="1">
      <alignment horizontal="center" vertical="center"/>
    </xf>
    <xf numFmtId="41" fontId="6" fillId="6" borderId="18" xfId="1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horizontal="left" vertical="center"/>
    </xf>
    <xf numFmtId="0" fontId="14" fillId="7" borderId="29" xfId="0" applyFont="1" applyFill="1" applyBorder="1" applyAlignment="1">
      <alignment horizontal="left" vertical="center"/>
    </xf>
    <xf numFmtId="0" fontId="14" fillId="7" borderId="30" xfId="0" applyFont="1" applyFill="1" applyBorder="1" applyAlignment="1">
      <alignment horizontal="left" vertical="center"/>
    </xf>
    <xf numFmtId="41" fontId="6" fillId="6" borderId="6" xfId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shrinkToFit="1"/>
    </xf>
    <xf numFmtId="0" fontId="12" fillId="0" borderId="18" xfId="0" applyFont="1" applyBorder="1" applyAlignment="1">
      <alignment horizontal="center" vertical="center" shrinkToFit="1"/>
    </xf>
    <xf numFmtId="0" fontId="6" fillId="4" borderId="4" xfId="0" quotePrefix="1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6" fillId="4" borderId="6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19</xdr:row>
      <xdr:rowOff>84892</xdr:rowOff>
    </xdr:from>
    <xdr:to>
      <xdr:col>12</xdr:col>
      <xdr:colOff>256111</xdr:colOff>
      <xdr:row>41</xdr:row>
      <xdr:rowOff>199289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6BD7D6B-8229-4518-AC5C-98B9D9AC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4" y="4190167"/>
          <a:ext cx="6837887" cy="47244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59266\AA&#49444;&#48708;&#44592;\AA&#49444;&#48708;&#44592;\LZ\MXI&#51068;&#5122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608;&#51333;&#49688;/My%20Documents/&#49324;&#50629;&#44228;&#54925;/My%20Documents/Sunghee/&#48512;&#52380;98&#49688;&#51221;/98&#48512;&#49324;&#49688;&#5122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0864;&#54801;\C\windows\TEMP\CE%20PROJECT\BUCKET(SEAT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3\&#51221;&#51116;&#54872;\&#48124;&#45824;&#50689;%20&#50629;&#47924;\SBODY.xls\APRON\1.64542%20W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sian/AppData/Roaming/Microsoft/Excel/Standalone_Version1_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83141\c\&#49569;&#51648;&#47732;\&#49569;&#51648;&#47732;.1\XG&#50696;&#49328;\&#52264;&#51060;&#45236;&#506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QUAL04\&#51452;&#50689;&#51068;\&#51452;&#50689;&#51068;\ASS'Y&#49457;&#51201;&#49436;\&#49888;&#50577;&#49885;sheet.xls\65573&#4988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My%20Documents/MightyDocu/&#51652;&#54665;&amp;&#48120;&#44208;&#47928;&#49436;/&#51452;&#51452;&#52509;&#54924;/&#49548;&#51116;&#51452;&#51452;&#52509;&#54924;/&#49548;&#51116;&#45824;&#54364;&#51060;&#49324;&#48320;&#442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160;&#49324;&#44592;&#51456;(MS&#49324;&#48376;)\64164-3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5064;&#44428;\TOPORDER\AAA97\&#49345;&#48152;&#44592;\&#44277;&#52292;\&#48176;&#52824;&#44277;&#4792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592;&#54925;&#44284;02\MY%20DOCUMENTS\IMSI\&#44228;&#51221;&#48708;&#5085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DYPLAN20\&#54788;&#51652;&#49437;\LKH\AA&#49444;&#48708;&#44592;\&#44277;&#54792;&#47928;&#5122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0864;&#54801;\C\temp\RS(&#51228;&#44228;)\DHLEE\&#49688;&#51221;&#44060;&#48156;&#51068;&#51221;(&#49849;&#50857;2Gr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54788;\C\temp\RS(&#51228;&#44228;)\DHLEE\&#49688;&#51221;&#44060;&#48156;&#51068;&#51221;(&#49849;&#50857;2G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첨부2"/>
      <sheetName val="표지"/>
      <sheetName val="(1)"/>
      <sheetName val="(2)"/>
      <sheetName val="첨부1"/>
      <sheetName val="xxxxxxxxxxxxxxxxxxxxxxxxx"/>
      <sheetName val="현황"/>
      <sheetName val="전체현황현황"/>
      <sheetName val="FLR현황"/>
      <sheetName val="SIDE &amp; BB 현황"/>
      <sheetName val="MOVG 현황"/>
      <sheetName val="1.조립계획.실적"/>
      <sheetName val="END (종합)"/>
      <sheetName val="F_APRON"/>
      <sheetName val="FRTSDMBR"/>
      <sheetName val="DASH"/>
      <sheetName val="CTRFLR"/>
      <sheetName val="RRFLR"/>
      <sheetName val="RR S.MBR"/>
      <sheetName val="BACK"/>
      <sheetName val="SIDE ASSY"/>
      <sheetName val="reinfsdotr"/>
      <sheetName val="sdinr"/>
      <sheetName val="RRFILLER"/>
      <sheetName val="W_HSEINR"/>
      <sheetName val="QTRINR"/>
      <sheetName val="COWL"/>
      <sheetName val="HD.T.GATE"/>
      <sheetName val="FRT DR"/>
      <sheetName val="RR DR"/>
      <sheetName val="의장34반"/>
      <sheetName val="의장2반 "/>
      <sheetName val="B네리BOM"/>
      <sheetName val="Sheet1 (2)"/>
      <sheetName val="door gap &amp; flush(BIW)개정"/>
      <sheetName val="door seal gap(BIW)개정"/>
      <sheetName val="sheet-1"/>
      <sheetName val="sheet-2"/>
      <sheetName val="gap &amp; flush(BIW)"/>
      <sheetName val="gap &amp; flush(조립물)"/>
      <sheetName val="aperture(frt) 개정"/>
      <sheetName val="aperture(rr)개정"/>
      <sheetName val="torgue"/>
      <sheetName val="Frt View개정"/>
      <sheetName val="Rr View개정"/>
      <sheetName val="외관(1)"/>
      <sheetName val="외관(2)"/>
      <sheetName val="1.변경범위"/>
      <sheetName val="97센_협"/>
      <sheetName val="Sheet5"/>
      <sheetName val="Sheet6 (3)"/>
      <sheetName val="dongia (2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작성전제"/>
      <sheetName val="추진전략"/>
      <sheetName val="환경분석"/>
      <sheetName val="경영지표"/>
      <sheetName val="Balance"/>
      <sheetName val="손익"/>
      <sheetName val="월별손익"/>
      <sheetName val="생판"/>
      <sheetName val="월별판매"/>
      <sheetName val="월별생산"/>
      <sheetName val="재료비"/>
      <sheetName val="재료비2"/>
      <sheetName val="제원"/>
      <sheetName val="월별제원"/>
      <sheetName val="판관"/>
      <sheetName val="월별판관"/>
      <sheetName val="영업외"/>
      <sheetName val="월별영외"/>
      <sheetName val="CF"/>
      <sheetName val="부가가치"/>
      <sheetName val="자금수지"/>
      <sheetName val="차입예적금"/>
      <sheetName val="4사분투자"/>
      <sheetName val="투자98"/>
      <sheetName val="자동화98"/>
      <sheetName val="매출채권"/>
      <sheetName val="교육훈련"/>
      <sheetName val="TCA"/>
      <sheetName val="반바리"/>
      <sheetName val="점검일지"/>
      <sheetName val="Sheet5"/>
      <sheetName val="Sheet6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Sheet1"/>
      <sheetName val="Sheet2"/>
      <sheetName val="Sheet3"/>
      <sheetName val="#REF"/>
      <sheetName val="2.대외공문"/>
      <sheetName val="자산대장"/>
      <sheetName val="라인제조"/>
      <sheetName val="월별영외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체부품 INS REPORT(갑)"/>
      <sheetName val="차체 INS REPORT(을) (11)"/>
      <sheetName val="차체 INS REPORT(을) (12)"/>
      <sheetName val="차체 INS REPORT(을) (13)"/>
      <sheetName val="차체부咈 INS REPORT(갑)"/>
      <sheetName val="차체부품 INS REPORT_갑_"/>
      <sheetName val="R&amp;D"/>
      <sheetName val="BUS제원1"/>
      <sheetName val="64164"/>
      <sheetName val="내구품질향상1"/>
      <sheetName val="3"/>
      <sheetName val="대외공문"/>
      <sheetName val="세피아판매"/>
      <sheetName val="2.대외공문"/>
      <sheetName val="Sheet1"/>
      <sheetName val="간이연락"/>
      <sheetName val="시설업체주소록"/>
      <sheetName val="단가"/>
      <sheetName val="비교원RD-S"/>
      <sheetName val="BAFFLE HMC TABLE1"/>
      <sheetName val="현금경비중역"/>
      <sheetName val="실질주주"/>
      <sheetName val="자산대형 완료"/>
      <sheetName val="투자-국내2"/>
      <sheetName val="MH_생산"/>
      <sheetName val="4.기계장치"/>
      <sheetName val="#REF"/>
      <sheetName val="TCA"/>
      <sheetName val="내수1.8GL"/>
      <sheetName val="실적"/>
      <sheetName val="사업계획"/>
      <sheetName val="문서처리전"/>
      <sheetName val="B053 (990701)공정실적PP%계산"/>
      <sheetName val="보고"/>
      <sheetName val="부자재"/>
      <sheetName val="직원신상"/>
      <sheetName val="협조전"/>
      <sheetName val="OPP-수출운송"/>
      <sheetName val="범한여행"/>
      <sheetName val="상상수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들어가기"/>
      <sheetName val="개요"/>
      <sheetName val="Simple"/>
      <sheetName val="Advanced"/>
      <sheetName val="고정배출량"/>
      <sheetName val="고정연소(S)"/>
      <sheetName val="연료 배출계수"/>
      <sheetName val="고정연소(A)"/>
      <sheetName val="이동연소(S)"/>
      <sheetName val="이동연소(A)"/>
      <sheetName val="이동연소(항공)"/>
      <sheetName val="이동연소(철도)"/>
      <sheetName val="이동연소(해운)"/>
      <sheetName val="이동배출량"/>
      <sheetName val="공정배출(제지)"/>
      <sheetName val="공정배출(발전)"/>
      <sheetName val="공정배출(석유화학)"/>
      <sheetName val="공정배출(기타)"/>
      <sheetName val="공정배출(정유)"/>
      <sheetName val="공정배출(철강)"/>
      <sheetName val="공정배출(유리)"/>
      <sheetName val="공정배출(반도체)"/>
      <sheetName val="공정배출(시멘트)"/>
      <sheetName val="간접에너지"/>
      <sheetName val="탈루배출"/>
      <sheetName val="폐기물배출"/>
      <sheetName val="공정배출계수"/>
      <sheetName val="공정배출목록"/>
      <sheetName val="지구온난화지수"/>
      <sheetName val="설비타입"/>
      <sheetName val="이동연소 연료 배출계수(항공)"/>
      <sheetName val="탈루정보"/>
      <sheetName val="이동연소 연료 배출계수"/>
      <sheetName val="전력배출계수"/>
      <sheetName val="공정배출(비철금속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V5" t="str">
            <v>직접입력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N4" t="str">
            <v>MgCO3</v>
          </cell>
        </row>
        <row r="5">
          <cell r="N5" t="str">
            <v>CaMg(CO3)2</v>
          </cell>
        </row>
        <row r="6">
          <cell r="N6" t="str">
            <v>FeCO3</v>
          </cell>
        </row>
        <row r="7">
          <cell r="N7" t="str">
            <v>Ca(Fe,Mg,Mn)(CO3)2</v>
          </cell>
        </row>
        <row r="8">
          <cell r="N8" t="str">
            <v>MnCO3</v>
          </cell>
        </row>
        <row r="9">
          <cell r="N9" t="str">
            <v>Na2CO3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">
          <cell r="A1" t="str">
            <v>석유화학공정</v>
          </cell>
        </row>
        <row r="2">
          <cell r="A2" t="str">
            <v>Furnace Decoking</v>
          </cell>
          <cell r="E2" t="str">
            <v>Aromatics 공정</v>
          </cell>
          <cell r="G2" t="str">
            <v xml:space="preserve">석회소성로 </v>
          </cell>
        </row>
        <row r="3">
          <cell r="A3" t="str">
            <v>NCC_ACETYLENE CONVERTER</v>
          </cell>
          <cell r="E3" t="str">
            <v xml:space="preserve">FCC 설비 </v>
          </cell>
        </row>
        <row r="4">
          <cell r="A4" t="str">
            <v xml:space="preserve">NCC_MAPD CONVERTER </v>
          </cell>
          <cell r="E4" t="str">
            <v xml:space="preserve">수소제조공정 </v>
          </cell>
        </row>
        <row r="5">
          <cell r="A5" t="str">
            <v xml:space="preserve">수소제조공정 </v>
          </cell>
          <cell r="E5" t="str">
            <v>BTX _Catalyst Decoking</v>
          </cell>
        </row>
        <row r="6">
          <cell r="A6" t="str">
            <v>BTX _Catalyst Decoking</v>
          </cell>
          <cell r="E6" t="str">
            <v>SRU, TGTU &amp; Incinerator</v>
          </cell>
        </row>
        <row r="7">
          <cell r="A7" t="str">
            <v>SM_Catalyst Decoking</v>
          </cell>
          <cell r="E7" t="str">
            <v>Flaring</v>
          </cell>
        </row>
        <row r="8">
          <cell r="A8" t="str">
            <v>SRU, TGTU &amp; Incinerator</v>
          </cell>
          <cell r="E8" t="str">
            <v>Amine Unit &amp; Incinerator</v>
          </cell>
        </row>
        <row r="9">
          <cell r="A9" t="str">
            <v>Flaring</v>
          </cell>
          <cell r="E9" t="str">
            <v xml:space="preserve">Gas Treatment Unit </v>
          </cell>
        </row>
        <row r="10">
          <cell r="A10" t="str">
            <v>Amine Unit &amp; Incinerator</v>
          </cell>
          <cell r="E10" t="str">
            <v xml:space="preserve">VOC 처리 설비 </v>
          </cell>
        </row>
        <row r="11">
          <cell r="A11" t="str">
            <v>Ethlyen Glycol(EO/EG)</v>
          </cell>
          <cell r="E11" t="str">
            <v xml:space="preserve">RCO, RTO 설비 </v>
          </cell>
        </row>
        <row r="12">
          <cell r="A12" t="str">
            <v>MMA Production</v>
          </cell>
        </row>
        <row r="13">
          <cell r="A13" t="str">
            <v xml:space="preserve">Carbon Black Prodcution </v>
          </cell>
        </row>
        <row r="14">
          <cell r="A14" t="str">
            <v xml:space="preserve">무수프탈산 공정 </v>
          </cell>
        </row>
        <row r="15">
          <cell r="A15" t="str">
            <v xml:space="preserve">Gas Treatment Unit </v>
          </cell>
        </row>
        <row r="16">
          <cell r="A16" t="str">
            <v xml:space="preserve">VOC 처리 설비 </v>
          </cell>
        </row>
        <row r="17">
          <cell r="A17" t="str">
            <v xml:space="preserve">RCO, RTO 설비 </v>
          </cell>
        </row>
        <row r="25">
          <cell r="B25" t="str">
            <v>공정배출(석유화학)</v>
          </cell>
        </row>
        <row r="26">
          <cell r="B26" t="str">
            <v>공정배출(발전)</v>
          </cell>
        </row>
        <row r="27">
          <cell r="B27" t="str">
            <v>공정배출(반도체)</v>
          </cell>
        </row>
        <row r="28">
          <cell r="B28" t="str">
            <v>공정배출(정유)</v>
          </cell>
        </row>
        <row r="29">
          <cell r="B29" t="str">
            <v>공정배출(항공)</v>
          </cell>
        </row>
        <row r="30">
          <cell r="B30" t="str">
            <v>공정배출(철강)</v>
          </cell>
        </row>
        <row r="31">
          <cell r="B31" t="str">
            <v>공정배출(제지)</v>
          </cell>
        </row>
        <row r="32">
          <cell r="A32" t="str">
            <v>Simple</v>
          </cell>
          <cell r="B32" t="str">
            <v>공정배출(도로)</v>
          </cell>
        </row>
        <row r="33">
          <cell r="A33" t="str">
            <v>Advanced</v>
          </cell>
          <cell r="B33" t="str">
            <v>공정배출(비철금속,유리)</v>
          </cell>
        </row>
        <row r="34">
          <cell r="B34" t="str">
            <v>공정배출(철도)</v>
          </cell>
        </row>
        <row r="35">
          <cell r="B35" t="str">
            <v>공정배출(시멘트)</v>
          </cell>
        </row>
      </sheetData>
      <sheetData sheetId="28"/>
      <sheetData sheetId="29" refreshError="1">
        <row r="3">
          <cell r="K3" t="str">
            <v>액체 연료</v>
          </cell>
        </row>
        <row r="4">
          <cell r="K4" t="str">
            <v>고체 연료</v>
          </cell>
        </row>
        <row r="5">
          <cell r="K5" t="str">
            <v>기체 연료</v>
          </cell>
        </row>
      </sheetData>
      <sheetData sheetId="30">
        <row r="2">
          <cell r="C2" t="str">
            <v>LTO(kg/LTO)-보통형(B737-400)</v>
          </cell>
        </row>
        <row r="3">
          <cell r="C3" t="str">
            <v>LTO(kg/LTO)-구형(B737-100)</v>
          </cell>
        </row>
        <row r="4">
          <cell r="C4" t="str">
            <v>Cruise(kg/tonne)-보통형(B737-400)</v>
          </cell>
        </row>
        <row r="5">
          <cell r="C5" t="str">
            <v>Cruise(kg/tonne)-구형(B737-100)</v>
          </cell>
        </row>
        <row r="6">
          <cell r="C6" t="str">
            <v>LTO(kg/LTO)-보통형(B767)</v>
          </cell>
        </row>
        <row r="7">
          <cell r="C7" t="str">
            <v>LTO(kg/LTO)-보통형 단거리(B737-400)</v>
          </cell>
        </row>
        <row r="8">
          <cell r="C8" t="str">
            <v>LTO(kg/LTO)-보통형 장거리(B747-400)</v>
          </cell>
        </row>
        <row r="9">
          <cell r="C9" t="str">
            <v>LTO(kg/LTO)-구형(DC10)</v>
          </cell>
        </row>
        <row r="10">
          <cell r="C10" t="str">
            <v>LTO(kg/LTO)-구형 단거리(B737-100)</v>
          </cell>
        </row>
        <row r="11">
          <cell r="C11" t="str">
            <v>LTO(kg/LTO)-구형 장거리(B747-100)</v>
          </cell>
        </row>
        <row r="12">
          <cell r="C12" t="str">
            <v>Cruise(kg/tonne)-보통형(B767)</v>
          </cell>
        </row>
        <row r="13">
          <cell r="C13" t="str">
            <v>Cruise(kg/tonne)-보통형(DC10)</v>
          </cell>
        </row>
        <row r="15">
          <cell r="C15" t="str">
            <v>A300</v>
          </cell>
        </row>
        <row r="16">
          <cell r="C16" t="str">
            <v>A310</v>
          </cell>
        </row>
        <row r="17">
          <cell r="C17" t="str">
            <v>A319</v>
          </cell>
        </row>
        <row r="18">
          <cell r="C18" t="str">
            <v>A320</v>
          </cell>
        </row>
        <row r="19">
          <cell r="C19" t="str">
            <v>A321</v>
          </cell>
        </row>
        <row r="20">
          <cell r="C20" t="str">
            <v>A330-200/300</v>
          </cell>
        </row>
        <row r="21">
          <cell r="C21" t="str">
            <v>A340-200</v>
          </cell>
        </row>
        <row r="22">
          <cell r="C22" t="str">
            <v>A340-300</v>
          </cell>
        </row>
        <row r="23">
          <cell r="C23" t="str">
            <v>A340-500/600</v>
          </cell>
        </row>
        <row r="24">
          <cell r="C24" t="str">
            <v>B707</v>
          </cell>
        </row>
        <row r="25">
          <cell r="C25" t="str">
            <v>B717</v>
          </cell>
        </row>
        <row r="26">
          <cell r="C26" t="str">
            <v>B727-100</v>
          </cell>
        </row>
        <row r="27">
          <cell r="C27" t="str">
            <v>B727-200</v>
          </cell>
        </row>
        <row r="28">
          <cell r="C28" t="str">
            <v>B737-100/200</v>
          </cell>
        </row>
        <row r="29">
          <cell r="C29" t="str">
            <v>B737-300/400/500</v>
          </cell>
        </row>
        <row r="30">
          <cell r="C30" t="str">
            <v>B737-600</v>
          </cell>
        </row>
        <row r="31">
          <cell r="C31" t="str">
            <v>B737-700</v>
          </cell>
        </row>
        <row r="32">
          <cell r="C32" t="str">
            <v>B737-800/900</v>
          </cell>
        </row>
        <row r="33">
          <cell r="C33" t="str">
            <v>B747-100</v>
          </cell>
        </row>
        <row r="34">
          <cell r="C34" t="str">
            <v>B747-200</v>
          </cell>
        </row>
        <row r="35">
          <cell r="C35" t="str">
            <v>B747-300</v>
          </cell>
        </row>
        <row r="36">
          <cell r="C36" t="str">
            <v>B747-400</v>
          </cell>
        </row>
        <row r="37">
          <cell r="C37" t="str">
            <v>B757-200</v>
          </cell>
        </row>
        <row r="38">
          <cell r="C38" t="str">
            <v>B757-300</v>
          </cell>
        </row>
        <row r="39">
          <cell r="C39" t="str">
            <v>B767-200</v>
          </cell>
        </row>
        <row r="40">
          <cell r="C40" t="str">
            <v>B767-300</v>
          </cell>
        </row>
        <row r="41">
          <cell r="C41" t="str">
            <v>B767-400</v>
          </cell>
        </row>
        <row r="42">
          <cell r="C42" t="str">
            <v>B777-200/300</v>
          </cell>
        </row>
        <row r="43">
          <cell r="C43" t="str">
            <v>DC10</v>
          </cell>
        </row>
        <row r="44">
          <cell r="C44" t="str">
            <v>DC8-50/60/70</v>
          </cell>
        </row>
        <row r="45">
          <cell r="C45" t="str">
            <v>DC9</v>
          </cell>
        </row>
        <row r="46">
          <cell r="C46" t="str">
            <v>L-1011</v>
          </cell>
        </row>
        <row r="47">
          <cell r="C47" t="str">
            <v>MD-11</v>
          </cell>
        </row>
        <row r="48">
          <cell r="C48" t="str">
            <v>MD-80</v>
          </cell>
        </row>
        <row r="49">
          <cell r="C49" t="str">
            <v>MD-90</v>
          </cell>
        </row>
        <row r="50">
          <cell r="C50" t="str">
            <v>TU-134</v>
          </cell>
        </row>
        <row r="51">
          <cell r="C51" t="str">
            <v>TU-154-M</v>
          </cell>
        </row>
        <row r="52">
          <cell r="C52" t="str">
            <v>TU-154-B</v>
          </cell>
        </row>
        <row r="53">
          <cell r="C53" t="str">
            <v>RJ-RJ85</v>
          </cell>
        </row>
        <row r="54">
          <cell r="C54" t="str">
            <v>BAE 146</v>
          </cell>
        </row>
        <row r="55">
          <cell r="C55" t="str">
            <v>CRJ-100ER</v>
          </cell>
        </row>
        <row r="56">
          <cell r="C56" t="str">
            <v>ERJ-145</v>
          </cell>
        </row>
        <row r="57">
          <cell r="C57" t="str">
            <v>Fokker 100/70/28</v>
          </cell>
        </row>
        <row r="58">
          <cell r="C58" t="str">
            <v>BAC111</v>
          </cell>
        </row>
        <row r="59">
          <cell r="C59" t="str">
            <v>Dornier 328 Jet</v>
          </cell>
        </row>
        <row r="60">
          <cell r="C60" t="str">
            <v>Gulfstream IV</v>
          </cell>
        </row>
        <row r="61">
          <cell r="C61" t="str">
            <v>Gufstream V</v>
          </cell>
        </row>
        <row r="62">
          <cell r="C62" t="str">
            <v>Yak-42M</v>
          </cell>
        </row>
        <row r="63">
          <cell r="C63" t="str">
            <v>Cessna 525/560</v>
          </cell>
        </row>
        <row r="64">
          <cell r="C64" t="str">
            <v>Beech King Air</v>
          </cell>
        </row>
        <row r="65">
          <cell r="C65" t="str">
            <v>DHC8-100</v>
          </cell>
        </row>
        <row r="66">
          <cell r="C66" t="str">
            <v>ATR72-500</v>
          </cell>
        </row>
      </sheetData>
      <sheetData sheetId="31">
        <row r="2">
          <cell r="A2" t="str">
            <v>가정용 냉장고</v>
          </cell>
        </row>
        <row r="3">
          <cell r="A3" t="str">
            <v>상업용 냉장고</v>
          </cell>
        </row>
        <row r="4">
          <cell r="A4" t="str">
            <v>중대형 상업용 냉장고</v>
          </cell>
        </row>
        <row r="5">
          <cell r="A5" t="str">
            <v>차량용 냉장고</v>
          </cell>
        </row>
        <row r="6">
          <cell r="A6" t="str">
            <v>산업용 냉동고</v>
          </cell>
        </row>
        <row r="7">
          <cell r="A7" t="str">
            <v>냉각장치</v>
          </cell>
        </row>
        <row r="8">
          <cell r="A8" t="str">
            <v>가정용/산업용 에어컨</v>
          </cell>
        </row>
        <row r="9">
          <cell r="A9" t="str">
            <v>차량용 에어컨</v>
          </cell>
        </row>
        <row r="10">
          <cell r="A10" t="str">
            <v>고정 소화 장비</v>
          </cell>
        </row>
        <row r="11">
          <cell r="A11" t="str">
            <v>소화기</v>
          </cell>
        </row>
        <row r="12">
          <cell r="A12" t="str">
            <v>가스절연개폐기</v>
          </cell>
        </row>
        <row r="13">
          <cell r="A13" t="str">
            <v>기타</v>
          </cell>
        </row>
      </sheetData>
      <sheetData sheetId="32">
        <row r="9">
          <cell r="A9" t="str">
            <v>차량용 에어컨</v>
          </cell>
        </row>
        <row r="10">
          <cell r="A10" t="str">
            <v>고정 소화 장비</v>
          </cell>
        </row>
        <row r="11">
          <cell r="A11" t="str">
            <v>소화기</v>
          </cell>
        </row>
        <row r="12">
          <cell r="A12" t="str">
            <v>가스절연개폐기</v>
          </cell>
        </row>
        <row r="13">
          <cell r="A13" t="str">
            <v>기타</v>
          </cell>
        </row>
        <row r="14">
          <cell r="A14" t="str">
            <v>선박_B-B/B-C유</v>
          </cell>
        </row>
        <row r="15">
          <cell r="A15" t="str">
            <v>선박_용제</v>
          </cell>
        </row>
      </sheetData>
      <sheetData sheetId="33"/>
      <sheetData sheetId="3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xxxxxxxxxxxxxxxxx"/>
      <sheetName val="표지"/>
      <sheetName val="현황"/>
      <sheetName val="전체현황현황"/>
      <sheetName val="FLR현황"/>
      <sheetName val="SIDE &amp; BB 현황"/>
      <sheetName val="MOVG 현황"/>
      <sheetName val="1.조립계획.실적"/>
      <sheetName val="END (종합)"/>
      <sheetName val="F_APRON"/>
      <sheetName val="FRTSDMBR"/>
      <sheetName val="DASH"/>
      <sheetName val="CTRFLR"/>
      <sheetName val="RRFLR"/>
      <sheetName val="RR S.MBR"/>
      <sheetName val="BACK"/>
      <sheetName val="SIDE ASSY"/>
      <sheetName val="reinfsdotr"/>
      <sheetName val="sdinr"/>
      <sheetName val="RRFILLER"/>
      <sheetName val="W_HSEINR"/>
      <sheetName val="QTRINR"/>
      <sheetName val="COWL"/>
      <sheetName val="HD.T.GATE"/>
      <sheetName val="FRT DR"/>
      <sheetName val="RR DR"/>
      <sheetName val="대외공문 "/>
      <sheetName val="개선대책 양식"/>
      <sheetName val="개선사례양식"/>
      <sheetName val="업무보고서1"/>
      <sheetName val="업무보고서2"/>
      <sheetName val="업무연락서(생산)"/>
      <sheetName val="VISION LAY-OUT 변경검토안"/>
      <sheetName val="업체견적서"/>
      <sheetName val="LAY-OUT(변경전후)"/>
      <sheetName val="UNIT 변경도면"/>
      <sheetName val="표1"/>
      <sheetName val="표2"/>
      <sheetName val="표3"/>
      <sheetName val="#REF"/>
      <sheetName val="2.대외공문"/>
      <sheetName val="라인제조"/>
      <sheetName val="Sheet1"/>
      <sheetName val="科目余额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4516(갑) (2)"/>
      <sheetName val="차체 INS REPORT(을)"/>
      <sheetName val="차체 INS REPORT(을) (2)"/>
      <sheetName val="차체 INS REPORT(을) (3)"/>
      <sheetName val="#REF"/>
      <sheetName val="차체부품 INS REPORT(갑)"/>
      <sheetName val="3"/>
      <sheetName val="R&amp;D"/>
      <sheetName val="기초자료입력"/>
      <sheetName val="기초자료"/>
      <sheetName val="BAL(이력관리)"/>
      <sheetName val="GRACE"/>
      <sheetName val="#REF!"/>
      <sheetName val="Sheet5"/>
      <sheetName val="Sheet6 (3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표이사변경및이사선임품의"/>
      <sheetName val="대표이사변경및이사선임품의N"/>
      <sheetName val="부문기표-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"/>
      <sheetName val="검사기준서"/>
      <sheetName val="차체부품 INSPECTION REPORT"/>
      <sheetName val="64164"/>
      <sheetName val="64164B"/>
      <sheetName val="64164B-1"/>
      <sheetName val="64164B-2"/>
      <sheetName val="64164B-3"/>
      <sheetName val="64164B-4"/>
      <sheetName val="64164B-5"/>
      <sheetName val="xxxxxxxxxxxxxxxxxxxxxxxxx"/>
      <sheetName val="표지"/>
      <sheetName val="현황"/>
      <sheetName val="전체현황현황"/>
      <sheetName val="FLR현황"/>
      <sheetName val="SIDE &amp; BB 현황"/>
      <sheetName val="MOVG 현황"/>
      <sheetName val="1.조립계획.실적"/>
      <sheetName val="END (종합)"/>
      <sheetName val="F_APRON"/>
      <sheetName val="FRTSDMBR"/>
      <sheetName val="DASH"/>
      <sheetName val="CTRFLR"/>
      <sheetName val="RRFLR"/>
      <sheetName val="RR S.MBR"/>
      <sheetName val="BACK"/>
      <sheetName val="SIDE ASSY"/>
      <sheetName val="reinfsdotr"/>
      <sheetName val="sdinr"/>
      <sheetName val="RRFILLER"/>
      <sheetName val="W_HSEINR"/>
      <sheetName val="QTRINR"/>
      <sheetName val="COWL"/>
      <sheetName val="HD.T.GATE"/>
      <sheetName val="FRT DR"/>
      <sheetName val="RR DR"/>
      <sheetName val="3"/>
      <sheetName val="직원신상"/>
      <sheetName val="비교원RD-S"/>
      <sheetName val="내수1.8GL"/>
      <sheetName val="B053 (990701)공정실적PP%계산"/>
      <sheetName val="125PIECE"/>
      <sheetName val="신규DEP"/>
      <sheetName val="64164-38"/>
      <sheetName val="2.대외공문"/>
      <sheetName val="차체부품 INS REPORT(갑)"/>
      <sheetName val="세피아판매"/>
      <sheetName val="월별영외"/>
      <sheetName val="주행"/>
      <sheetName val="Sheet1"/>
      <sheetName val="RESIN ITEM"/>
      <sheetName val="RD제품개발투자비(매가)"/>
      <sheetName val="구동"/>
      <sheetName val="성적서-갑"/>
      <sheetName val="내수1_8GL"/>
      <sheetName val="성적서_갑"/>
      <sheetName val="작업명"/>
      <sheetName val="9806-9901"/>
      <sheetName val="LENS-RED-INNER"/>
      <sheetName val=""/>
      <sheetName val="보고"/>
      <sheetName val="점검일지"/>
      <sheetName val="반바리"/>
      <sheetName val="BRAKE"/>
      <sheetName val="TCA"/>
      <sheetName val="B네리BOM"/>
      <sheetName val="full (2)"/>
      <sheetName val="품의"/>
      <sheetName val="IBASE"/>
      <sheetName val="126.255"/>
      <sheetName val="부품LIST"/>
      <sheetName val="BP Rates"/>
      <sheetName val="접촉온도"/>
      <sheetName val="TOTAL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수"/>
      <sheetName val="3"/>
      <sheetName val="TCA"/>
      <sheetName val="Sheet1"/>
      <sheetName val="Sheet2"/>
      <sheetName val="Sheet3"/>
      <sheetName val="협조전"/>
      <sheetName val="CLM-MP"/>
      <sheetName val="Sheet5"/>
      <sheetName val="Sheet6 (3)"/>
      <sheetName val="RD제품개발투자비(매가)"/>
      <sheetName val="DBL LPG시험"/>
      <sheetName val="XGPROD"/>
      <sheetName val="3.일반사상"/>
      <sheetName val="2.대외공문"/>
      <sheetName val="64164"/>
      <sheetName val="실질주주"/>
      <sheetName val="4.기계장치"/>
      <sheetName val="97센_협"/>
      <sheetName val="집계"/>
      <sheetName val="DUMP"/>
      <sheetName val="차체"/>
      <sheetName val="신규DEP"/>
      <sheetName val="인원"/>
      <sheetName val="배치공문"/>
      <sheetName val="공문"/>
      <sheetName val="HP1AMLIST"/>
      <sheetName val="ML"/>
      <sheetName val="예산계획"/>
      <sheetName val="GB-IC Villingen GG"/>
      <sheetName val="dtxl"/>
      <sheetName val="내수1.8GL"/>
      <sheetName val="94B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차수"/>
      <sheetName val="기획조정위원회_1"/>
      <sheetName val="보고"/>
      <sheetName val="PRESS DATA"/>
      <sheetName val="현금경비중역"/>
      <sheetName val="2.대외공문"/>
      <sheetName val="CLM-MP"/>
      <sheetName val="부품LIST"/>
      <sheetName val="99생산계획"/>
      <sheetName val="월보"/>
      <sheetName val="XGPROD"/>
      <sheetName val="CVT산정"/>
      <sheetName val="품의양"/>
      <sheetName val="DATE"/>
      <sheetName val="신규DEP"/>
      <sheetName val="Sheet"/>
      <sheetName val="TCA"/>
      <sheetName val="#REF"/>
      <sheetName val="RD제품개발투자비(매가)"/>
      <sheetName val="TOT"/>
      <sheetName val="SOURCE"/>
      <sheetName val="팀별 합계"/>
      <sheetName val="HP1AMLIST"/>
      <sheetName val="단가"/>
      <sheetName val="주행"/>
      <sheetName val="Sheet1"/>
      <sheetName val="예정임율"/>
      <sheetName val="126.255"/>
      <sheetName val="Summary"/>
      <sheetName val="차종MH"/>
      <sheetName val="LEGEND"/>
      <sheetName val="Bearbeitungsplan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화학"/>
      <sheetName val="Sheet1"/>
      <sheetName val="화승소재"/>
      <sheetName val="수정전략"/>
      <sheetName val="1.기본예산"/>
      <sheetName val="주요일정"/>
      <sheetName val="비용산출부서 2"/>
      <sheetName val="2.2-2"/>
      <sheetName val="CAPA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집계"/>
      <sheetName val="#REF!"/>
      <sheetName val="기초자료입력"/>
      <sheetName val="GB-IC Villingen GG"/>
      <sheetName val="부문기표-1"/>
      <sheetName val="실질주주"/>
      <sheetName val="4.기계장치"/>
      <sheetName val="단가"/>
      <sheetName val="2.대외공문"/>
      <sheetName val="투입&amp;생산"/>
      <sheetName val="F-1,2"/>
      <sheetName val="SOURCE"/>
      <sheetName val="B네리BOM"/>
      <sheetName val="표준대차대조표(갑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xxxxxxxxxxxxxxxxx"/>
      <sheetName val="표지"/>
      <sheetName val="현황"/>
      <sheetName val="전체현황현황"/>
      <sheetName val="FLR현황"/>
      <sheetName val="SIDE &amp; BB 현황"/>
      <sheetName val="MOVG 현황"/>
      <sheetName val="1.조립계획.실적"/>
      <sheetName val="END (종합)"/>
      <sheetName val="F_APRON"/>
      <sheetName val="FRTSDMBR"/>
      <sheetName val="DASH"/>
      <sheetName val="CTRFLR"/>
      <sheetName val="RRFLR"/>
      <sheetName val="RR S.MBR"/>
      <sheetName val="BACK"/>
      <sheetName val="SIDE ASSY"/>
      <sheetName val="reinfsdotr"/>
      <sheetName val="sdinr"/>
      <sheetName val="RRFILLER"/>
      <sheetName val="W_HSEINR"/>
      <sheetName val="QTRINR"/>
      <sheetName val="COWL"/>
      <sheetName val="HD.T.GATE"/>
      <sheetName val="FRT DR"/>
      <sheetName val="RR DR"/>
      <sheetName val="#REF"/>
      <sheetName val="Sheet1"/>
      <sheetName val="Sheet2"/>
      <sheetName val="Sheet3"/>
      <sheetName val="3"/>
      <sheetName val="자가2급"/>
      <sheetName val="현금경비중역"/>
      <sheetName val="계산정보"/>
      <sheetName val="INPUT"/>
      <sheetName val="1.변경범위"/>
      <sheetName val="계산DATA입력"/>
      <sheetName val="부품LIST"/>
      <sheetName val="첨부2"/>
      <sheetName val="B-III"/>
      <sheetName val="#REF!"/>
      <sheetName val="94B"/>
      <sheetName val="TCA"/>
      <sheetName val="2.대외공문"/>
      <sheetName val="64164"/>
      <sheetName val="공정별불량률"/>
      <sheetName val="자동차계획대비(몇%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GRACE"/>
      <sheetName val="626TD(COLOR)"/>
      <sheetName val="BUS제원1"/>
      <sheetName val="Sheet5"/>
      <sheetName val="Sheet6 (3)"/>
      <sheetName val="수정개발일정(승용2Gr)"/>
      <sheetName val="PRESS DATA"/>
      <sheetName val="CASE ASM"/>
      <sheetName val="3"/>
      <sheetName val="반바리"/>
      <sheetName val="626TD"/>
      <sheetName val="SUB(C)"/>
      <sheetName val="full (2)"/>
      <sheetName val="PROTO"/>
      <sheetName val="소유주(원)"/>
      <sheetName val="협조전"/>
      <sheetName val="첨부2"/>
      <sheetName val="전체현황"/>
      <sheetName val="CVT산정"/>
      <sheetName val="B네리BOM"/>
      <sheetName val="#93"/>
      <sheetName val="CALENDAR"/>
      <sheetName val="월별영외"/>
      <sheetName val="차수"/>
      <sheetName val="점검일지"/>
      <sheetName val="11"/>
      <sheetName val="공정별설비검토"/>
      <sheetName val="교육계획"/>
      <sheetName val="전문품의"/>
      <sheetName val="CFLOW"/>
    </sheetNames>
    <sheetDataSet>
      <sheetData sheetId="0" refreshError="1"/>
      <sheetData sheetId="1" refreshError="1">
        <row r="20">
          <cell r="B20" t="str">
            <v>00MY</v>
          </cell>
          <cell r="C20" t="str">
            <v>·내외장 개선</v>
          </cell>
          <cell r="D20">
            <v>0</v>
          </cell>
          <cell r="E20">
            <v>0</v>
          </cell>
          <cell r="F20">
            <v>0</v>
          </cell>
          <cell r="G20" t="str">
            <v xml:space="preserve">   변경범위 확정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 설계</v>
          </cell>
          <cell r="L20">
            <v>0</v>
          </cell>
          <cell r="M20">
            <v>0</v>
          </cell>
          <cell r="N20" t="str">
            <v>개발 및 육성</v>
          </cell>
          <cell r="O20">
            <v>0</v>
          </cell>
          <cell r="P20">
            <v>0</v>
          </cell>
          <cell r="Q20" t="str">
            <v>MP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.사방침 미확정</v>
          </cell>
        </row>
        <row r="24">
          <cell r="B24" t="str">
            <v>정통</v>
          </cell>
          <cell r="C24" t="str">
            <v>·ETP P/F Base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개발발의</v>
          </cell>
          <cell r="I24">
            <v>0</v>
          </cell>
          <cell r="J24">
            <v>0</v>
          </cell>
          <cell r="K24" t="str">
            <v>상품구상서</v>
          </cell>
          <cell r="L24">
            <v>0</v>
          </cell>
          <cell r="M24">
            <v>0</v>
          </cell>
          <cell r="N24">
            <v>0</v>
          </cell>
          <cell r="O24" t="str">
            <v>MDL품평</v>
          </cell>
          <cell r="P24">
            <v>0</v>
          </cell>
          <cell r="Q24">
            <v>0</v>
          </cell>
          <cell r="R24" t="str">
            <v>개발구상서</v>
          </cell>
          <cell r="S24">
            <v>0</v>
          </cell>
          <cell r="T24" t="str">
            <v>MDL고정</v>
          </cell>
          <cell r="U24">
            <v>0</v>
          </cell>
          <cell r="V24" t="str">
            <v>도면출도完</v>
          </cell>
          <cell r="W24">
            <v>0</v>
          </cell>
          <cell r="X24">
            <v>0</v>
          </cell>
          <cell r="Y24" t="str">
            <v>MP</v>
          </cell>
          <cell r="Z24">
            <v>0</v>
          </cell>
          <cell r="AA24" t="str">
            <v>.사방침 미확정</v>
          </cell>
        </row>
        <row r="25">
          <cell r="B25" t="str">
            <v>FR SDN</v>
          </cell>
          <cell r="C25" t="str">
            <v xml:space="preserve">  - Sash Door Type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△</v>
          </cell>
        </row>
        <row r="26">
          <cell r="C26" t="str">
            <v xml:space="preserve">  - FOH 축소(850)이하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7</v>
          </cell>
        </row>
        <row r="27">
          <cell r="Q27" t="str">
            <v>시작도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시작 및 실험</v>
          </cell>
        </row>
        <row r="32">
          <cell r="B32" t="str">
            <v>FR TYPE</v>
          </cell>
          <cell r="C32" t="str">
            <v xml:space="preserve">·정통 FR SDN과 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개발발의</v>
          </cell>
          <cell r="I32">
            <v>0</v>
          </cell>
          <cell r="J32">
            <v>0</v>
          </cell>
          <cell r="K32" t="str">
            <v>상품구상서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MDL품평</v>
          </cell>
          <cell r="Q32">
            <v>0</v>
          </cell>
          <cell r="R32">
            <v>0</v>
          </cell>
          <cell r="S32" t="str">
            <v>개발구상서</v>
          </cell>
          <cell r="T32">
            <v>0</v>
          </cell>
          <cell r="U32" t="str">
            <v>MDL고정</v>
          </cell>
          <cell r="V32" t="str">
            <v>도면출도完</v>
          </cell>
          <cell r="W32">
            <v>0</v>
          </cell>
          <cell r="X32">
            <v>0</v>
          </cell>
          <cell r="Y32" t="str">
            <v>MP</v>
          </cell>
          <cell r="Z32">
            <v>0</v>
          </cell>
          <cell r="AA32" t="str">
            <v>.사방침 미확정</v>
          </cell>
        </row>
        <row r="33">
          <cell r="B33" t="str">
            <v>전용 TAXI</v>
          </cell>
          <cell r="C33" t="str">
            <v xml:space="preserve">  연계 개발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△</v>
          </cell>
          <cell r="V33" t="str">
            <v>△</v>
          </cell>
        </row>
        <row r="34">
          <cell r="C34" t="str">
            <v xml:space="preserve">  - 영국(런던)Taxi B/M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11</v>
          </cell>
        </row>
        <row r="35">
          <cell r="C35" t="str">
            <v xml:space="preserve">  - LPG 100ℓ 탑재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시작 및 실험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전체현황"/>
      <sheetName val="주소(한문)"/>
      <sheetName val="현금경비중역"/>
      <sheetName val="전산품의"/>
      <sheetName val="Assumptions"/>
      <sheetName val="96수출"/>
      <sheetName val="3.OUTLINE"/>
      <sheetName val="BUS제원1"/>
      <sheetName val="full (2)"/>
      <sheetName val="626TD(COLOR)"/>
      <sheetName val="조립지적"/>
      <sheetName val="Sheet6Ġ(3)"/>
      <sheetName val="2.대외공문"/>
      <sheetName val="월선수금"/>
      <sheetName val="재료비"/>
      <sheetName val="Shået8"/>
      <sheetName val="Process Flow Chart"/>
      <sheetName val="1.변경범위"/>
      <sheetName val="#REF!"/>
      <sheetName val="소유주(원)"/>
      <sheetName val="PTR台손익"/>
      <sheetName val="회의록"/>
      <sheetName val="공작"/>
      <sheetName val="모듈"/>
      <sheetName val="전장"/>
      <sheetName val="차체"/>
      <sheetName val="내장"/>
      <sheetName val="외장"/>
      <sheetName val="해외"/>
      <sheetName val="LOAD HOURS"/>
      <sheetName val="중량및기본제원"/>
      <sheetName val="9914"/>
      <sheetName val="표지"/>
      <sheetName val="Z41,Z42 이외total"/>
      <sheetName val="1차자품목(HC)"/>
      <sheetName val="기획조정위원회_1"/>
      <sheetName val="Claim이력_내수내자"/>
      <sheetName val="간이연락"/>
      <sheetName val="LHD REPORT(갑)"/>
      <sheetName val="ML"/>
      <sheetName val="626TD"/>
      <sheetName val="차수"/>
      <sheetName val="FAB별"/>
      <sheetName val="1.개발개요"/>
      <sheetName val="부자재 대표"/>
      <sheetName val="#93"/>
      <sheetName val="선반OPT"/>
      <sheetName val="2002월별매출수량"/>
      <sheetName val="Facilities, P. Lines &amp; Group"/>
      <sheetName val="Corporate Dates"/>
      <sheetName val="HCode-99F "/>
      <sheetName val="협조전"/>
      <sheetName val="CVT산정"/>
      <sheetName val="Sheet4_(2)"/>
      <sheetName val="Sheet6_(3)"/>
      <sheetName val="3_OUTLINE"/>
      <sheetName val="full_(2)"/>
      <sheetName val="2_대외공문"/>
      <sheetName val="Process_Flow_Chart"/>
      <sheetName val="1_변경범위"/>
      <sheetName val="LHD_REPORT(갑)"/>
      <sheetName val="major"/>
      <sheetName val="301-2"/>
      <sheetName val="304"/>
      <sheetName val="쑸장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PTR台손익"/>
      <sheetName val="시설업체주소록"/>
      <sheetName val="Sheeu3"/>
      <sheetName val="PRESS생산계획"/>
      <sheetName val="#REF"/>
      <sheetName val="2.대외공문"/>
      <sheetName val="전산품의"/>
      <sheetName val="301-2"/>
      <sheetName val="304"/>
      <sheetName val="full (2)"/>
      <sheetName val="OUTLINE"/>
      <sheetName val="월선수금"/>
      <sheetName val="콤비품의-3"/>
      <sheetName val="1.변경범위"/>
      <sheetName val="Z41,Z42 이외total"/>
      <sheetName val="소유주(원)"/>
      <sheetName val="중량및기본제원"/>
      <sheetName val="#REF!"/>
      <sheetName val="Sheet2_x0000_( )"/>
      <sheetName val="회의록"/>
      <sheetName val="월별영외"/>
      <sheetName val="반바리"/>
      <sheetName val="96수출"/>
      <sheetName val="Process Flow Chart"/>
      <sheetName val="첨부2"/>
      <sheetName val="방법1"/>
      <sheetName val="LHD REPORT(갑)"/>
      <sheetName val="F_MA1"/>
      <sheetName val="F_MA2"/>
      <sheetName val="F_MA3"/>
      <sheetName val="F_MA4"/>
      <sheetName val="F_MA5"/>
      <sheetName val="F_MA6"/>
      <sheetName val="F_MA7"/>
      <sheetName val="R_MA1"/>
      <sheetName val="R_MA2"/>
      <sheetName val="R_MA3"/>
      <sheetName val="R_MA4"/>
      <sheetName val="R_MA5"/>
      <sheetName val="R_MA6"/>
      <sheetName val="R_MA7"/>
      <sheetName val="Sheet3_(2)"/>
      <sheetName val="Sheet3_(3)"/>
      <sheetName val="Sheet3_(4)"/>
      <sheetName val="Sheet6_(3)"/>
      <sheetName val="2_대외공문"/>
      <sheetName val="Z41,Z42_이외total"/>
      <sheetName val="full_(2)"/>
      <sheetName val="계산DATA입력"/>
    </sheetNames>
    <sheetDataSet>
      <sheetData sheetId="0" refreshError="1"/>
      <sheetData sheetId="1" refreshError="1">
        <row r="20">
          <cell r="B20" t="str">
            <v>00MY</v>
          </cell>
          <cell r="C20" t="str">
            <v>·내외장 개선</v>
          </cell>
          <cell r="D20">
            <v>0</v>
          </cell>
          <cell r="E20">
            <v>0</v>
          </cell>
          <cell r="F20">
            <v>0</v>
          </cell>
          <cell r="G20" t="str">
            <v xml:space="preserve">   변경범위 확정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 설계</v>
          </cell>
          <cell r="L20">
            <v>0</v>
          </cell>
          <cell r="M20">
            <v>0</v>
          </cell>
          <cell r="N20" t="str">
            <v>개발 및 육성</v>
          </cell>
          <cell r="O20">
            <v>0</v>
          </cell>
          <cell r="P20">
            <v>0</v>
          </cell>
          <cell r="Q20" t="str">
            <v>MP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.사방침 미확정</v>
          </cell>
        </row>
        <row r="24">
          <cell r="B24" t="str">
            <v>정통</v>
          </cell>
          <cell r="C24" t="str">
            <v>·ETP P/F Base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개발발의</v>
          </cell>
          <cell r="I24">
            <v>0</v>
          </cell>
          <cell r="J24">
            <v>0</v>
          </cell>
          <cell r="K24" t="str">
            <v>상품구상서</v>
          </cell>
          <cell r="L24">
            <v>0</v>
          </cell>
          <cell r="M24">
            <v>0</v>
          </cell>
          <cell r="N24">
            <v>0</v>
          </cell>
          <cell r="O24" t="str">
            <v>MDL품평</v>
          </cell>
          <cell r="P24">
            <v>0</v>
          </cell>
          <cell r="Q24">
            <v>0</v>
          </cell>
          <cell r="R24" t="str">
            <v>개발구상서</v>
          </cell>
          <cell r="S24">
            <v>0</v>
          </cell>
          <cell r="T24" t="str">
            <v>MDL고정</v>
          </cell>
          <cell r="U24">
            <v>0</v>
          </cell>
          <cell r="V24" t="str">
            <v>도면출도完</v>
          </cell>
          <cell r="W24">
            <v>0</v>
          </cell>
          <cell r="X24">
            <v>0</v>
          </cell>
          <cell r="Y24" t="str">
            <v>MP</v>
          </cell>
          <cell r="Z24">
            <v>0</v>
          </cell>
          <cell r="AA24" t="str">
            <v>.사방침 미확정</v>
          </cell>
        </row>
        <row r="25">
          <cell r="B25" t="str">
            <v>FR SDN</v>
          </cell>
          <cell r="C25" t="str">
            <v xml:space="preserve">  - Sash Door Type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△</v>
          </cell>
        </row>
        <row r="26">
          <cell r="C26" t="str">
            <v xml:space="preserve">  - FOH 축소(850)이하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7</v>
          </cell>
        </row>
        <row r="27">
          <cell r="Q27" t="str">
            <v>시작도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시작 및 실험</v>
          </cell>
        </row>
        <row r="32">
          <cell r="B32" t="str">
            <v>FR TYPE</v>
          </cell>
          <cell r="C32" t="str">
            <v xml:space="preserve">·정통 FR SDN과 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개발발의</v>
          </cell>
          <cell r="I32">
            <v>0</v>
          </cell>
          <cell r="J32">
            <v>0</v>
          </cell>
          <cell r="K32" t="str">
            <v>상품구상서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MDL품평</v>
          </cell>
          <cell r="Q32">
            <v>0</v>
          </cell>
          <cell r="R32">
            <v>0</v>
          </cell>
          <cell r="S32" t="str">
            <v>개발구상서</v>
          </cell>
          <cell r="T32" t="str">
            <v>MDL고정</v>
          </cell>
          <cell r="U32" t="str">
            <v>MDL고정</v>
          </cell>
          <cell r="V32" t="str">
            <v>도면출도完</v>
          </cell>
          <cell r="W32">
            <v>0</v>
          </cell>
          <cell r="X32">
            <v>0</v>
          </cell>
          <cell r="Y32" t="str">
            <v>MP</v>
          </cell>
          <cell r="Z32">
            <v>0</v>
          </cell>
          <cell r="AA32" t="str">
            <v>.사방침 미확정</v>
          </cell>
        </row>
        <row r="33">
          <cell r="B33" t="str">
            <v>전용 TAXI</v>
          </cell>
          <cell r="C33" t="str">
            <v xml:space="preserve">  연계 개발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△</v>
          </cell>
          <cell r="V33" t="str">
            <v>△</v>
          </cell>
        </row>
        <row r="34">
          <cell r="C34" t="str">
            <v xml:space="preserve">  - 영국(런던)Taxi B/M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11</v>
          </cell>
        </row>
        <row r="35">
          <cell r="C35" t="str">
            <v xml:space="preserve">  - LPG 100ℓ 탑재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시작 및 실험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zoomScale="130" zoomScaleNormal="130" workbookViewId="0"/>
  </sheetViews>
  <sheetFormatPr defaultColWidth="0" defaultRowHeight="15" customHeight="1" zeroHeight="1"/>
  <cols>
    <col min="1" max="1" width="2.59765625" style="1" customWidth="1"/>
    <col min="2" max="2" width="0.69921875" style="1" customWidth="1"/>
    <col min="3" max="3" width="17.59765625" style="2" customWidth="1"/>
    <col min="4" max="4" width="17" style="2" customWidth="1"/>
    <col min="5" max="5" width="17.59765625" style="2" customWidth="1"/>
    <col min="6" max="6" width="17" style="2" customWidth="1"/>
    <col min="7" max="7" width="17.59765625" style="2" customWidth="1"/>
    <col min="8" max="8" width="17" style="2" customWidth="1"/>
    <col min="9" max="9" width="3.8984375" style="1" customWidth="1"/>
    <col min="10" max="10" width="9" style="1" hidden="1" customWidth="1"/>
    <col min="11" max="13" width="11.3984375" style="1" hidden="1" customWidth="1"/>
    <col min="14" max="16384" width="9" style="1" hidden="1"/>
  </cols>
  <sheetData>
    <row r="1" spans="2:10" ht="15" customHeight="1">
      <c r="F1" s="16"/>
      <c r="G1" s="90" t="s">
        <v>197</v>
      </c>
      <c r="H1" s="91"/>
      <c r="I1" s="92"/>
      <c r="J1" s="48"/>
    </row>
    <row r="2" spans="2:10" ht="15" customHeight="1">
      <c r="B2" s="3"/>
      <c r="C2" s="4" t="s">
        <v>0</v>
      </c>
      <c r="E2" s="5"/>
      <c r="F2" s="16"/>
      <c r="G2" s="93"/>
      <c r="H2" s="94"/>
      <c r="I2" s="95"/>
      <c r="J2" s="48"/>
    </row>
    <row r="3" spans="2:10" ht="15" customHeight="1">
      <c r="C3" s="1"/>
      <c r="F3" s="16"/>
      <c r="G3" s="93"/>
      <c r="H3" s="94"/>
      <c r="I3" s="95"/>
      <c r="J3" s="48"/>
    </row>
    <row r="4" spans="2:10" ht="15" customHeight="1" thickBot="1">
      <c r="C4" s="88" t="s">
        <v>183</v>
      </c>
      <c r="D4" s="89"/>
      <c r="E4" s="89"/>
      <c r="F4" s="89"/>
      <c r="G4" s="96"/>
      <c r="H4" s="97"/>
      <c r="I4" s="98"/>
      <c r="J4" s="48"/>
    </row>
    <row r="5" spans="2:10" ht="15" customHeight="1" thickBot="1">
      <c r="C5" s="53" t="s">
        <v>11</v>
      </c>
      <c r="D5" s="13"/>
      <c r="E5" s="13"/>
      <c r="F5" s="49"/>
      <c r="G5" s="79" t="s">
        <v>189</v>
      </c>
      <c r="H5" s="80"/>
      <c r="I5" s="50"/>
    </row>
    <row r="6" spans="2:10" ht="15" customHeight="1" thickBot="1">
      <c r="B6" s="52"/>
      <c r="C6" s="83" t="s">
        <v>191</v>
      </c>
      <c r="D6" s="84"/>
      <c r="E6" s="84"/>
      <c r="F6" s="85"/>
      <c r="G6" s="81"/>
      <c r="H6" s="82"/>
      <c r="I6" s="48"/>
    </row>
    <row r="7" spans="2:10" ht="15" customHeight="1">
      <c r="C7" s="54" t="s">
        <v>1</v>
      </c>
      <c r="D7" s="17">
        <v>2015</v>
      </c>
      <c r="E7" s="17"/>
      <c r="F7" s="55">
        <f>SUM(F8:F9)</f>
        <v>619360.72</v>
      </c>
      <c r="G7" s="51" t="s">
        <v>12</v>
      </c>
      <c r="H7" s="51" t="s">
        <v>13</v>
      </c>
    </row>
    <row r="8" spans="2:10" ht="15" customHeight="1">
      <c r="C8" s="77" t="s">
        <v>2</v>
      </c>
      <c r="D8" s="9" t="s">
        <v>9</v>
      </c>
      <c r="E8" s="10" t="s">
        <v>3</v>
      </c>
      <c r="F8" s="23">
        <v>169216.2</v>
      </c>
      <c r="G8" s="77" t="s">
        <v>4</v>
      </c>
      <c r="H8" s="86">
        <f>22-1</f>
        <v>21</v>
      </c>
    </row>
    <row r="9" spans="2:10" ht="15" customHeight="1">
      <c r="C9" s="78"/>
      <c r="D9" s="9" t="s">
        <v>10</v>
      </c>
      <c r="E9" s="10" t="s">
        <v>3</v>
      </c>
      <c r="F9" s="23">
        <v>450144.52</v>
      </c>
      <c r="G9" s="78"/>
      <c r="H9" s="87"/>
    </row>
    <row r="10" spans="2:10" ht="15" customHeight="1">
      <c r="C10" s="11" t="s">
        <v>5</v>
      </c>
      <c r="D10" s="23">
        <v>28000</v>
      </c>
      <c r="E10" s="24" t="s">
        <v>6</v>
      </c>
      <c r="F10" s="25">
        <f>(1747663223+1650724394+66651+64109109+14567801)/1000000</f>
        <v>3477.1311780000001</v>
      </c>
      <c r="G10" s="11" t="s">
        <v>7</v>
      </c>
      <c r="H10" s="23">
        <v>10000</v>
      </c>
    </row>
    <row r="11" spans="2:10" ht="15" customHeight="1">
      <c r="C11" s="26" t="s">
        <v>190</v>
      </c>
      <c r="D11" s="27">
        <v>25852</v>
      </c>
    </row>
    <row r="12" spans="2:10" ht="15" customHeight="1">
      <c r="C12" s="6" t="s">
        <v>1</v>
      </c>
      <c r="D12" s="7">
        <v>2016</v>
      </c>
      <c r="E12" s="7"/>
      <c r="F12" s="8">
        <f>SUM(F13:F14)</f>
        <v>700533.3899999999</v>
      </c>
      <c r="G12" s="15" t="s">
        <v>12</v>
      </c>
      <c r="H12" s="15" t="s">
        <v>13</v>
      </c>
    </row>
    <row r="13" spans="2:10" ht="15" customHeight="1">
      <c r="C13" s="77" t="s">
        <v>2</v>
      </c>
      <c r="D13" s="9" t="s">
        <v>9</v>
      </c>
      <c r="E13" s="10" t="s">
        <v>3</v>
      </c>
      <c r="F13" s="23">
        <v>149689.79999999999</v>
      </c>
      <c r="G13" s="77" t="s">
        <v>4</v>
      </c>
      <c r="H13" s="86">
        <f>23-1</f>
        <v>22</v>
      </c>
    </row>
    <row r="14" spans="2:10" ht="15" customHeight="1">
      <c r="C14" s="78"/>
      <c r="D14" s="9" t="s">
        <v>10</v>
      </c>
      <c r="E14" s="10" t="s">
        <v>3</v>
      </c>
      <c r="F14" s="23">
        <v>550843.59</v>
      </c>
      <c r="G14" s="78"/>
      <c r="H14" s="87"/>
    </row>
    <row r="15" spans="2:10" ht="15" customHeight="1">
      <c r="C15" s="11" t="s">
        <v>5</v>
      </c>
      <c r="D15" s="23">
        <v>35913</v>
      </c>
      <c r="E15" s="24" t="s">
        <v>6</v>
      </c>
      <c r="F15" s="25">
        <f>(2144965170+1670633665+364453+71242326+3488070+8927631)/1000000</f>
        <v>3899.6213149999999</v>
      </c>
      <c r="G15" s="11" t="s">
        <v>7</v>
      </c>
      <c r="H15" s="23">
        <v>10000</v>
      </c>
    </row>
    <row r="16" spans="2:10" ht="15" customHeight="1">
      <c r="C16" s="26" t="s">
        <v>190</v>
      </c>
      <c r="D16" s="27">
        <v>30137</v>
      </c>
    </row>
    <row r="17" spans="2:8" ht="15" customHeight="1">
      <c r="C17" s="6" t="s">
        <v>1</v>
      </c>
      <c r="D17" s="7">
        <v>2017</v>
      </c>
      <c r="E17" s="7"/>
      <c r="F17" s="8">
        <f>SUM(F18:F19)</f>
        <v>752845.1</v>
      </c>
      <c r="G17" s="15" t="s">
        <v>12</v>
      </c>
      <c r="H17" s="15" t="s">
        <v>13</v>
      </c>
    </row>
    <row r="18" spans="2:8" ht="15" customHeight="1">
      <c r="C18" s="77" t="s">
        <v>2</v>
      </c>
      <c r="D18" s="9" t="s">
        <v>9</v>
      </c>
      <c r="E18" s="10" t="s">
        <v>3</v>
      </c>
      <c r="F18" s="23">
        <v>157230.9</v>
      </c>
      <c r="G18" s="77" t="s">
        <v>4</v>
      </c>
      <c r="H18" s="86">
        <f>23-1</f>
        <v>22</v>
      </c>
    </row>
    <row r="19" spans="2:8" ht="15" customHeight="1">
      <c r="C19" s="78"/>
      <c r="D19" s="9" t="s">
        <v>10</v>
      </c>
      <c r="E19" s="10" t="s">
        <v>3</v>
      </c>
      <c r="F19" s="23">
        <v>595614.19999999995</v>
      </c>
      <c r="G19" s="78"/>
      <c r="H19" s="87"/>
    </row>
    <row r="20" spans="2:8" ht="15" customHeight="1">
      <c r="C20" s="11" t="s">
        <v>5</v>
      </c>
      <c r="D20" s="27">
        <v>39938</v>
      </c>
      <c r="E20" s="24" t="s">
        <v>6</v>
      </c>
      <c r="F20" s="25">
        <f>(2281657671+1896427216+292611+81615052+727237+12703494)/1000000</f>
        <v>4273.4232810000003</v>
      </c>
      <c r="G20" s="11" t="s">
        <v>7</v>
      </c>
      <c r="H20" s="23">
        <v>10000</v>
      </c>
    </row>
    <row r="21" spans="2:8" ht="15" customHeight="1">
      <c r="C21" s="26" t="s">
        <v>190</v>
      </c>
      <c r="D21" s="27">
        <v>34595</v>
      </c>
    </row>
    <row r="22" spans="2:8" ht="15" customHeight="1">
      <c r="C22" s="6" t="s">
        <v>1</v>
      </c>
      <c r="D22" s="7">
        <v>2018</v>
      </c>
      <c r="E22" s="7"/>
      <c r="F22" s="8">
        <f>SUM(F23:F24)</f>
        <v>591494.47</v>
      </c>
      <c r="G22" s="15" t="s">
        <v>12</v>
      </c>
      <c r="H22" s="15" t="s">
        <v>14</v>
      </c>
    </row>
    <row r="23" spans="2:8" ht="15" customHeight="1">
      <c r="C23" s="77" t="s">
        <v>2</v>
      </c>
      <c r="D23" s="9" t="s">
        <v>9</v>
      </c>
      <c r="E23" s="10" t="s">
        <v>3</v>
      </c>
      <c r="F23" s="23">
        <v>124058.5</v>
      </c>
      <c r="G23" s="77" t="s">
        <v>4</v>
      </c>
      <c r="H23" s="86">
        <f>23-1</f>
        <v>22</v>
      </c>
    </row>
    <row r="24" spans="2:8" ht="15" customHeight="1">
      <c r="C24" s="78"/>
      <c r="D24" s="9" t="s">
        <v>10</v>
      </c>
      <c r="E24" s="10" t="s">
        <v>3</v>
      </c>
      <c r="F24" s="23">
        <v>467435.97</v>
      </c>
      <c r="G24" s="78"/>
      <c r="H24" s="87"/>
    </row>
    <row r="25" spans="2:8" ht="15" customHeight="1">
      <c r="C25" s="11" t="s">
        <v>5</v>
      </c>
      <c r="D25" s="27">
        <v>32042</v>
      </c>
      <c r="E25" s="24" t="s">
        <v>6</v>
      </c>
      <c r="F25" s="25">
        <f>(1849477365+1551019345+269858+76749389+660824+14921531)/1000000</f>
        <v>3493.0983120000001</v>
      </c>
      <c r="G25" s="11" t="s">
        <v>7</v>
      </c>
      <c r="H25" s="23">
        <v>10000</v>
      </c>
    </row>
    <row r="26" spans="2:8" ht="15" customHeight="1">
      <c r="C26" s="26" t="s">
        <v>190</v>
      </c>
      <c r="D26" s="27">
        <v>27182</v>
      </c>
    </row>
    <row r="27" spans="2:8" ht="15" customHeight="1"/>
    <row r="28" spans="2:8" ht="15" customHeight="1">
      <c r="B28" s="3"/>
      <c r="C28" s="4" t="s">
        <v>8</v>
      </c>
      <c r="E28" s="14"/>
    </row>
    <row r="29" spans="2:8" ht="15" customHeight="1">
      <c r="B29" s="12"/>
      <c r="C29" s="13"/>
    </row>
    <row r="30" spans="2:8" ht="15" customHeight="1">
      <c r="C30" s="6" t="s">
        <v>1</v>
      </c>
      <c r="D30" s="7">
        <v>2015</v>
      </c>
      <c r="E30" s="7"/>
      <c r="F30" s="8">
        <f>SUM(F31:F32)</f>
        <v>619360.72</v>
      </c>
      <c r="G30" s="15" t="s">
        <v>12</v>
      </c>
      <c r="H30" s="15" t="s">
        <v>13</v>
      </c>
    </row>
    <row r="31" spans="2:8" ht="15" customHeight="1">
      <c r="C31" s="77" t="s">
        <v>2</v>
      </c>
      <c r="D31" s="9" t="s">
        <v>9</v>
      </c>
      <c r="E31" s="10" t="s">
        <v>3</v>
      </c>
      <c r="F31" s="23">
        <v>169216.2</v>
      </c>
      <c r="G31" s="77" t="s">
        <v>4</v>
      </c>
      <c r="H31" s="86">
        <f>H8</f>
        <v>21</v>
      </c>
    </row>
    <row r="32" spans="2:8" ht="15" customHeight="1">
      <c r="C32" s="78"/>
      <c r="D32" s="9" t="s">
        <v>10</v>
      </c>
      <c r="E32" s="10" t="s">
        <v>3</v>
      </c>
      <c r="F32" s="23">
        <v>450144.52</v>
      </c>
      <c r="G32" s="78"/>
      <c r="H32" s="87"/>
    </row>
    <row r="33" spans="3:8" ht="15" customHeight="1">
      <c r="C33" s="11" t="s">
        <v>5</v>
      </c>
      <c r="D33" s="27">
        <f>D10</f>
        <v>28000</v>
      </c>
      <c r="E33" s="24" t="s">
        <v>6</v>
      </c>
      <c r="F33" s="25">
        <f>F10</f>
        <v>3477.1311780000001</v>
      </c>
      <c r="G33" s="11" t="s">
        <v>7</v>
      </c>
      <c r="H33" s="23">
        <v>10000</v>
      </c>
    </row>
    <row r="34" spans="3:8" ht="15" customHeight="1">
      <c r="C34" s="26" t="s">
        <v>190</v>
      </c>
      <c r="D34" s="27">
        <f>D11</f>
        <v>25852</v>
      </c>
    </row>
    <row r="35" spans="3:8" ht="15" customHeight="1">
      <c r="C35" s="6" t="s">
        <v>1</v>
      </c>
      <c r="D35" s="7">
        <v>2016</v>
      </c>
      <c r="E35" s="7"/>
      <c r="F35" s="8">
        <f>SUM(F36:F37)</f>
        <v>700533.3899999999</v>
      </c>
      <c r="G35" s="15" t="s">
        <v>12</v>
      </c>
      <c r="H35" s="15" t="s">
        <v>13</v>
      </c>
    </row>
    <row r="36" spans="3:8" ht="15" customHeight="1">
      <c r="C36" s="77" t="s">
        <v>2</v>
      </c>
      <c r="D36" s="9" t="s">
        <v>9</v>
      </c>
      <c r="E36" s="10" t="s">
        <v>3</v>
      </c>
      <c r="F36" s="23">
        <v>149689.79999999999</v>
      </c>
      <c r="G36" s="77" t="s">
        <v>4</v>
      </c>
      <c r="H36" s="86">
        <f>H13</f>
        <v>22</v>
      </c>
    </row>
    <row r="37" spans="3:8" ht="15" customHeight="1">
      <c r="C37" s="78"/>
      <c r="D37" s="9" t="s">
        <v>10</v>
      </c>
      <c r="E37" s="10" t="s">
        <v>3</v>
      </c>
      <c r="F37" s="23">
        <v>550843.59</v>
      </c>
      <c r="G37" s="78"/>
      <c r="H37" s="87"/>
    </row>
    <row r="38" spans="3:8" ht="15" customHeight="1">
      <c r="C38" s="11" t="s">
        <v>5</v>
      </c>
      <c r="D38" s="27">
        <f>D15</f>
        <v>35913</v>
      </c>
      <c r="E38" s="24" t="s">
        <v>6</v>
      </c>
      <c r="F38" s="25">
        <f>F15</f>
        <v>3899.6213149999999</v>
      </c>
      <c r="G38" s="11" t="s">
        <v>7</v>
      </c>
      <c r="H38" s="23">
        <v>10000</v>
      </c>
    </row>
    <row r="39" spans="3:8" ht="15" customHeight="1">
      <c r="C39" s="26" t="s">
        <v>190</v>
      </c>
      <c r="D39" s="27">
        <f>D16</f>
        <v>30137</v>
      </c>
    </row>
    <row r="40" spans="3:8" ht="15" customHeight="1">
      <c r="C40" s="6" t="s">
        <v>1</v>
      </c>
      <c r="D40" s="7">
        <v>2017</v>
      </c>
      <c r="E40" s="7"/>
      <c r="F40" s="8">
        <f>SUM(F41:F42)</f>
        <v>752845.1</v>
      </c>
      <c r="G40" s="15" t="s">
        <v>12</v>
      </c>
      <c r="H40" s="15" t="s">
        <v>13</v>
      </c>
    </row>
    <row r="41" spans="3:8" ht="15" customHeight="1">
      <c r="C41" s="77" t="s">
        <v>2</v>
      </c>
      <c r="D41" s="9" t="s">
        <v>9</v>
      </c>
      <c r="E41" s="10" t="s">
        <v>3</v>
      </c>
      <c r="F41" s="23">
        <v>157230.9</v>
      </c>
      <c r="G41" s="77" t="s">
        <v>4</v>
      </c>
      <c r="H41" s="86">
        <f>H18</f>
        <v>22</v>
      </c>
    </row>
    <row r="42" spans="3:8" ht="15" customHeight="1">
      <c r="C42" s="78"/>
      <c r="D42" s="9" t="s">
        <v>10</v>
      </c>
      <c r="E42" s="10" t="s">
        <v>3</v>
      </c>
      <c r="F42" s="23">
        <v>595614.19999999995</v>
      </c>
      <c r="G42" s="78"/>
      <c r="H42" s="87"/>
    </row>
    <row r="43" spans="3:8" ht="15" customHeight="1">
      <c r="C43" s="11" t="s">
        <v>5</v>
      </c>
      <c r="D43" s="27">
        <f>D20</f>
        <v>39938</v>
      </c>
      <c r="E43" s="24" t="s">
        <v>6</v>
      </c>
      <c r="F43" s="25">
        <f>F20</f>
        <v>4273.4232810000003</v>
      </c>
      <c r="G43" s="11" t="s">
        <v>7</v>
      </c>
      <c r="H43" s="23">
        <v>10000</v>
      </c>
    </row>
    <row r="44" spans="3:8" ht="15" customHeight="1">
      <c r="C44" s="26" t="s">
        <v>190</v>
      </c>
      <c r="D44" s="27">
        <f>D21</f>
        <v>34595</v>
      </c>
    </row>
    <row r="45" spans="3:8" ht="15" customHeight="1">
      <c r="C45" s="6" t="s">
        <v>1</v>
      </c>
      <c r="D45" s="7">
        <v>2018</v>
      </c>
      <c r="E45" s="7"/>
      <c r="F45" s="8">
        <f>SUM(F46:F47)</f>
        <v>591494.47</v>
      </c>
      <c r="G45" s="15" t="s">
        <v>12</v>
      </c>
      <c r="H45" s="15" t="s">
        <v>14</v>
      </c>
    </row>
    <row r="46" spans="3:8" ht="15" customHeight="1">
      <c r="C46" s="77" t="s">
        <v>2</v>
      </c>
      <c r="D46" s="9" t="s">
        <v>9</v>
      </c>
      <c r="E46" s="10" t="s">
        <v>3</v>
      </c>
      <c r="F46" s="23">
        <v>124058.5</v>
      </c>
      <c r="G46" s="77" t="s">
        <v>4</v>
      </c>
      <c r="H46" s="86">
        <f>H23</f>
        <v>22</v>
      </c>
    </row>
    <row r="47" spans="3:8" ht="15" customHeight="1">
      <c r="C47" s="78"/>
      <c r="D47" s="9" t="s">
        <v>10</v>
      </c>
      <c r="E47" s="10" t="s">
        <v>3</v>
      </c>
      <c r="F47" s="23">
        <v>467435.97</v>
      </c>
      <c r="G47" s="78"/>
      <c r="H47" s="87"/>
    </row>
    <row r="48" spans="3:8" ht="15" customHeight="1">
      <c r="C48" s="11" t="s">
        <v>5</v>
      </c>
      <c r="D48" s="27">
        <f>D25</f>
        <v>32042</v>
      </c>
      <c r="E48" s="24" t="s">
        <v>6</v>
      </c>
      <c r="F48" s="25">
        <f>F25</f>
        <v>3493.0983120000001</v>
      </c>
      <c r="G48" s="11" t="s">
        <v>7</v>
      </c>
      <c r="H48" s="23">
        <v>10000</v>
      </c>
    </row>
    <row r="49" spans="3:4" ht="15" customHeight="1">
      <c r="C49" s="26" t="s">
        <v>190</v>
      </c>
      <c r="D49" s="27">
        <f>D26</f>
        <v>27182</v>
      </c>
    </row>
    <row r="50" spans="3:4" ht="15" customHeight="1"/>
    <row r="51" spans="3:4" ht="15" customHeight="1"/>
    <row r="52" spans="3:4" ht="15" customHeight="1"/>
    <row r="53" spans="3:4" ht="15" customHeight="1"/>
    <row r="54" spans="3:4" ht="15" customHeight="1"/>
    <row r="55" spans="3:4" ht="15" customHeight="1"/>
    <row r="56" spans="3:4" ht="15" customHeight="1"/>
    <row r="57" spans="3:4" ht="15" customHeight="1"/>
    <row r="58" spans="3:4" ht="15" customHeight="1"/>
    <row r="59" spans="3:4" ht="15" customHeight="1"/>
    <row r="60" spans="3:4" ht="15" customHeight="1"/>
    <row r="61" spans="3:4" ht="15" customHeight="1"/>
    <row r="62" spans="3:4" ht="15" customHeight="1"/>
    <row r="63" spans="3:4" ht="15" customHeight="1"/>
    <row r="64" spans="3: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28">
    <mergeCell ref="H46:H47"/>
    <mergeCell ref="C4:F4"/>
    <mergeCell ref="H8:H9"/>
    <mergeCell ref="H13:H14"/>
    <mergeCell ref="H18:H19"/>
    <mergeCell ref="H23:H24"/>
    <mergeCell ref="H31:H32"/>
    <mergeCell ref="H36:H37"/>
    <mergeCell ref="C36:C37"/>
    <mergeCell ref="G36:G37"/>
    <mergeCell ref="C41:C42"/>
    <mergeCell ref="G41:G42"/>
    <mergeCell ref="C46:C47"/>
    <mergeCell ref="G46:G47"/>
    <mergeCell ref="G1:I4"/>
    <mergeCell ref="H41:H42"/>
    <mergeCell ref="C31:C32"/>
    <mergeCell ref="G31:G32"/>
    <mergeCell ref="C23:C24"/>
    <mergeCell ref="G23:G24"/>
    <mergeCell ref="G5:H6"/>
    <mergeCell ref="C6:F6"/>
    <mergeCell ref="C8:C9"/>
    <mergeCell ref="G8:G9"/>
    <mergeCell ref="G13:G14"/>
    <mergeCell ref="C18:C19"/>
    <mergeCell ref="G18:G19"/>
    <mergeCell ref="C13:C1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B90"/>
  <sheetViews>
    <sheetView showGridLines="0" tabSelected="1" topLeftCell="B1" zoomScale="115" zoomScaleNormal="115" workbookViewId="0">
      <pane ySplit="8" topLeftCell="A9" activePane="bottomLeft" state="frozen"/>
      <selection pane="bottomLeft" activeCell="F14" sqref="F14:F15"/>
    </sheetView>
  </sheetViews>
  <sheetFormatPr defaultRowHeight="17.399999999999999" zeroHeight="1"/>
  <cols>
    <col min="1" max="1" width="1.59765625" style="76" customWidth="1"/>
    <col min="2" max="2" width="1.5" style="76" customWidth="1"/>
    <col min="3" max="3" width="7.59765625" style="76" customWidth="1"/>
    <col min="4" max="4" width="17.3984375" style="76" bestFit="1" customWidth="1"/>
    <col min="5" max="5" width="7.5" style="76" bestFit="1" customWidth="1"/>
    <col min="6" max="6" width="11.19921875" style="76" bestFit="1" customWidth="1"/>
    <col min="7" max="7" width="27.59765625" style="76" bestFit="1" customWidth="1"/>
    <col min="8" max="8" width="8.796875" style="76"/>
    <col min="9" max="14" width="9.59765625" style="76" bestFit="1" customWidth="1"/>
    <col min="15" max="18" width="10.5" style="76" bestFit="1" customWidth="1"/>
    <col min="19" max="20" width="9.59765625" style="76" bestFit="1" customWidth="1"/>
    <col min="21" max="21" width="10.5" style="76" bestFit="1" customWidth="1"/>
    <col min="22" max="22" width="14.59765625" style="76" customWidth="1"/>
    <col min="23" max="16384" width="8.796875" style="76"/>
  </cols>
  <sheetData>
    <row r="1" spans="2:28" s="56" customFormat="1" ht="15" customHeight="1">
      <c r="C1" s="57"/>
      <c r="D1" s="58"/>
      <c r="E1" s="58"/>
      <c r="F1" s="57"/>
      <c r="G1" s="57"/>
      <c r="H1" s="59" t="s">
        <v>195</v>
      </c>
      <c r="K1" s="60" t="s">
        <v>198</v>
      </c>
      <c r="U1" s="57"/>
      <c r="V1" s="57"/>
    </row>
    <row r="2" spans="2:28" s="56" customFormat="1" ht="15" customHeight="1">
      <c r="B2" s="61"/>
      <c r="C2" s="62" t="s">
        <v>15</v>
      </c>
      <c r="D2" s="62"/>
      <c r="E2" s="63"/>
      <c r="F2" s="64"/>
      <c r="G2" s="57"/>
      <c r="H2" s="59" t="s">
        <v>196</v>
      </c>
      <c r="K2" s="60" t="s">
        <v>199</v>
      </c>
      <c r="M2" s="58"/>
      <c r="N2" s="58"/>
      <c r="O2" s="65"/>
      <c r="P2" s="65"/>
      <c r="Q2" s="65"/>
      <c r="R2" s="65"/>
      <c r="S2" s="58"/>
      <c r="T2" s="58"/>
      <c r="U2" s="58"/>
      <c r="V2" s="58"/>
    </row>
    <row r="3" spans="2:28" s="56" customFormat="1" ht="15" customHeight="1">
      <c r="B3" s="66"/>
      <c r="C3" s="67"/>
      <c r="D3" s="67"/>
      <c r="E3" s="67"/>
      <c r="F3" s="67"/>
      <c r="G3" s="58"/>
      <c r="H3" s="58"/>
      <c r="I3" s="58"/>
      <c r="J3" s="58"/>
      <c r="K3" s="58"/>
      <c r="L3" s="58"/>
      <c r="M3" s="58"/>
      <c r="N3" s="58"/>
      <c r="O3" s="65"/>
      <c r="P3" s="65"/>
      <c r="Q3" s="65"/>
      <c r="R3" s="65"/>
      <c r="S3" s="58"/>
      <c r="T3" s="58"/>
      <c r="U3" s="58"/>
      <c r="V3" s="58"/>
    </row>
    <row r="4" spans="2:28" s="56" customFormat="1" ht="15" customHeight="1">
      <c r="B4" s="66"/>
      <c r="C4" s="126" t="s">
        <v>183</v>
      </c>
      <c r="D4" s="127"/>
      <c r="E4" s="127"/>
      <c r="F4" s="127"/>
      <c r="G4" s="128"/>
      <c r="H4" s="99" t="s">
        <v>192</v>
      </c>
      <c r="I4" s="100"/>
      <c r="J4" s="101"/>
      <c r="K4" s="58"/>
      <c r="L4" s="58"/>
      <c r="M4" s="58"/>
      <c r="N4" s="58"/>
      <c r="O4" s="65"/>
      <c r="P4" s="65"/>
      <c r="Q4" s="65"/>
      <c r="R4" s="65"/>
      <c r="S4" s="58"/>
      <c r="T4" s="58"/>
      <c r="U4" s="58"/>
      <c r="V4" s="58"/>
    </row>
    <row r="5" spans="2:28" s="56" customFormat="1" ht="15" customHeight="1">
      <c r="B5" s="66"/>
      <c r="C5" s="67"/>
      <c r="D5" s="67"/>
      <c r="E5" s="67"/>
      <c r="F5" s="67"/>
      <c r="G5" s="58"/>
      <c r="H5" s="99" t="s">
        <v>193</v>
      </c>
      <c r="I5" s="100"/>
      <c r="J5" s="100"/>
      <c r="K5" s="100"/>
      <c r="L5" s="101"/>
      <c r="M5" s="58"/>
      <c r="N5" s="58"/>
      <c r="O5" s="65"/>
      <c r="P5" s="65"/>
      <c r="Q5" s="65"/>
      <c r="R5" s="65"/>
      <c r="S5" s="58"/>
      <c r="T5" s="58"/>
      <c r="U5" s="58"/>
      <c r="V5" s="58"/>
    </row>
    <row r="6" spans="2:28" s="56" customFormat="1" ht="15" customHeight="1">
      <c r="B6" s="57"/>
      <c r="C6" s="68" t="s">
        <v>1</v>
      </c>
      <c r="D6" s="69">
        <v>2015</v>
      </c>
      <c r="E6" s="69"/>
      <c r="F6" s="70"/>
      <c r="G6" s="71"/>
      <c r="H6" s="104" t="s">
        <v>194</v>
      </c>
      <c r="I6" s="105"/>
      <c r="J6" s="105"/>
      <c r="K6" s="105"/>
      <c r="L6" s="105"/>
      <c r="M6" s="105"/>
      <c r="N6" s="105"/>
      <c r="O6" s="105"/>
      <c r="P6" s="105"/>
      <c r="Q6" s="105"/>
      <c r="R6" s="106"/>
      <c r="S6" s="72"/>
      <c r="T6" s="72"/>
      <c r="U6" s="71"/>
      <c r="V6" s="71"/>
      <c r="Y6" s="56" t="s">
        <v>182</v>
      </c>
    </row>
    <row r="7" spans="2:28" s="56" customFormat="1" ht="15" customHeight="1">
      <c r="B7" s="73"/>
      <c r="C7" s="118" t="s">
        <v>16</v>
      </c>
      <c r="D7" s="120" t="s">
        <v>17</v>
      </c>
      <c r="E7" s="121"/>
      <c r="F7" s="121"/>
      <c r="G7" s="121"/>
      <c r="H7" s="122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74"/>
      <c r="V7" s="74"/>
      <c r="Y7" s="74">
        <v>2015</v>
      </c>
      <c r="Z7" s="74">
        <v>2016</v>
      </c>
      <c r="AA7" s="74">
        <v>2017</v>
      </c>
      <c r="AB7" s="74">
        <v>2018</v>
      </c>
    </row>
    <row r="8" spans="2:28" s="56" customFormat="1" ht="15" customHeight="1">
      <c r="B8" s="73"/>
      <c r="C8" s="119"/>
      <c r="D8" s="74" t="s">
        <v>18</v>
      </c>
      <c r="E8" s="74" t="s">
        <v>184</v>
      </c>
      <c r="F8" s="74" t="s">
        <v>19</v>
      </c>
      <c r="G8" s="74" t="s">
        <v>20</v>
      </c>
      <c r="H8" s="74" t="s">
        <v>21</v>
      </c>
      <c r="I8" s="74" t="s">
        <v>22</v>
      </c>
      <c r="J8" s="74" t="s">
        <v>23</v>
      </c>
      <c r="K8" s="74" t="s">
        <v>24</v>
      </c>
      <c r="L8" s="74" t="s">
        <v>25</v>
      </c>
      <c r="M8" s="74" t="s">
        <v>26</v>
      </c>
      <c r="N8" s="74" t="s">
        <v>27</v>
      </c>
      <c r="O8" s="74" t="s">
        <v>28</v>
      </c>
      <c r="P8" s="74" t="s">
        <v>29</v>
      </c>
      <c r="Q8" s="74" t="s">
        <v>30</v>
      </c>
      <c r="R8" s="74" t="s">
        <v>31</v>
      </c>
      <c r="S8" s="74" t="s">
        <v>32</v>
      </c>
      <c r="T8" s="74" t="s">
        <v>33</v>
      </c>
      <c r="U8" s="74" t="s">
        <v>34</v>
      </c>
      <c r="V8" s="74" t="s">
        <v>35</v>
      </c>
      <c r="Y8" s="75">
        <v>13142</v>
      </c>
      <c r="Z8" s="75">
        <v>16715</v>
      </c>
      <c r="AA8" s="75">
        <v>17330</v>
      </c>
      <c r="AB8" s="75">
        <v>16183</v>
      </c>
    </row>
    <row r="9" spans="2:28" s="35" customFormat="1" ht="15" customHeight="1">
      <c r="B9" s="28"/>
      <c r="C9" s="38" t="s">
        <v>36</v>
      </c>
      <c r="D9" s="36" t="s">
        <v>56</v>
      </c>
      <c r="E9" s="32">
        <v>1</v>
      </c>
      <c r="F9" s="36" t="s">
        <v>55</v>
      </c>
      <c r="G9" s="34" t="s">
        <v>68</v>
      </c>
      <c r="H9" s="31" t="s">
        <v>69</v>
      </c>
      <c r="I9" s="43">
        <v>77261</v>
      </c>
      <c r="J9" s="43">
        <v>68005</v>
      </c>
      <c r="K9" s="43">
        <v>104997</v>
      </c>
      <c r="L9" s="43">
        <v>182574</v>
      </c>
      <c r="M9" s="43">
        <v>195780</v>
      </c>
      <c r="N9" s="43">
        <v>215381</v>
      </c>
      <c r="O9" s="43">
        <v>259040</v>
      </c>
      <c r="P9" s="43">
        <v>287814</v>
      </c>
      <c r="Q9" s="43">
        <v>245204</v>
      </c>
      <c r="R9" s="43">
        <v>290275</v>
      </c>
      <c r="S9" s="43">
        <v>296847</v>
      </c>
      <c r="T9" s="43">
        <v>178645</v>
      </c>
      <c r="U9" s="33">
        <f>SUM(I9:T9)</f>
        <v>2401823</v>
      </c>
      <c r="V9" s="34"/>
    </row>
    <row r="10" spans="2:28" s="35" customFormat="1" ht="15" customHeight="1">
      <c r="B10" s="28"/>
      <c r="C10" s="112" t="s">
        <v>38</v>
      </c>
      <c r="D10" s="108" t="s">
        <v>57</v>
      </c>
      <c r="E10" s="102">
        <v>6</v>
      </c>
      <c r="F10" s="36" t="s">
        <v>59</v>
      </c>
      <c r="G10" s="41" t="s">
        <v>66</v>
      </c>
      <c r="H10" s="31" t="s">
        <v>41</v>
      </c>
      <c r="I10" s="32"/>
      <c r="J10" s="32"/>
      <c r="K10" s="32"/>
      <c r="L10" s="32"/>
      <c r="M10" s="32">
        <f>2*20</f>
        <v>40</v>
      </c>
      <c r="N10" s="32"/>
      <c r="O10" s="32"/>
      <c r="P10" s="32"/>
      <c r="Q10" s="32"/>
      <c r="R10" s="32"/>
      <c r="S10" s="32">
        <f>3*20</f>
        <v>60</v>
      </c>
      <c r="T10" s="32">
        <f>3*20</f>
        <v>60</v>
      </c>
      <c r="U10" s="33">
        <f t="shared" ref="U10:U23" si="0">SUM(I10:T10)</f>
        <v>160</v>
      </c>
      <c r="V10" s="34"/>
    </row>
    <row r="11" spans="2:28" s="35" customFormat="1" ht="15" customHeight="1">
      <c r="B11" s="28"/>
      <c r="C11" s="113"/>
      <c r="D11" s="125"/>
      <c r="E11" s="103"/>
      <c r="F11" s="36" t="s">
        <v>60</v>
      </c>
      <c r="G11" s="41" t="s">
        <v>66</v>
      </c>
      <c r="H11" s="31" t="s">
        <v>41</v>
      </c>
      <c r="I11" s="32">
        <f>5*20</f>
        <v>100</v>
      </c>
      <c r="J11" s="32"/>
      <c r="K11" s="32"/>
      <c r="L11" s="32">
        <f>5*20</f>
        <v>100</v>
      </c>
      <c r="M11" s="32"/>
      <c r="N11" s="32"/>
      <c r="O11" s="32">
        <f>4*20</f>
        <v>80</v>
      </c>
      <c r="P11" s="32"/>
      <c r="Q11" s="32"/>
      <c r="R11" s="32"/>
      <c r="S11" s="32"/>
      <c r="T11" s="32">
        <f>6*20</f>
        <v>120</v>
      </c>
      <c r="U11" s="33">
        <f t="shared" si="0"/>
        <v>400</v>
      </c>
      <c r="V11" s="34"/>
    </row>
    <row r="12" spans="2:28" s="35" customFormat="1" ht="15" customHeight="1">
      <c r="B12" s="14"/>
      <c r="C12" s="38" t="s">
        <v>40</v>
      </c>
      <c r="D12" s="40" t="s">
        <v>58</v>
      </c>
      <c r="E12" s="32">
        <v>1</v>
      </c>
      <c r="F12" s="36" t="s">
        <v>39</v>
      </c>
      <c r="G12" s="41" t="s">
        <v>67</v>
      </c>
      <c r="H12" s="42" t="s">
        <v>37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>
        <f t="shared" si="0"/>
        <v>0</v>
      </c>
      <c r="V12" s="34"/>
    </row>
    <row r="13" spans="2:28" s="35" customFormat="1" ht="15" customHeight="1">
      <c r="B13" s="14"/>
      <c r="C13" s="38" t="s">
        <v>42</v>
      </c>
      <c r="D13" s="40" t="s">
        <v>61</v>
      </c>
      <c r="E13" s="32">
        <v>10</v>
      </c>
      <c r="F13" s="36" t="s">
        <v>60</v>
      </c>
      <c r="G13" s="41" t="s">
        <v>66</v>
      </c>
      <c r="H13" s="42" t="s">
        <v>41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>
        <f t="shared" si="0"/>
        <v>0</v>
      </c>
      <c r="V13" s="34"/>
    </row>
    <row r="14" spans="2:28" s="35" customFormat="1" ht="15" customHeight="1">
      <c r="B14" s="28"/>
      <c r="C14" s="112" t="s">
        <v>43</v>
      </c>
      <c r="D14" s="123" t="s">
        <v>44</v>
      </c>
      <c r="E14" s="102">
        <v>1</v>
      </c>
      <c r="F14" s="108" t="s">
        <v>45</v>
      </c>
      <c r="G14" s="110" t="s">
        <v>62</v>
      </c>
      <c r="H14" s="31" t="s">
        <v>46</v>
      </c>
      <c r="I14" s="32">
        <f>70000+87250+67750+77350</f>
        <v>302350</v>
      </c>
      <c r="J14" s="32">
        <f>73400+96550+84000</f>
        <v>253950</v>
      </c>
      <c r="K14" s="32">
        <f>91950+89900+77400+90950+80000</f>
        <v>430200</v>
      </c>
      <c r="L14" s="32">
        <f>85150+73550+91900+48400+60000+79000</f>
        <v>438000</v>
      </c>
      <c r="M14" s="32">
        <f>48400+90950+91950+96850+100000</f>
        <v>428150</v>
      </c>
      <c r="N14" s="32">
        <f>87200+87200+91050+48450+89000</f>
        <v>402900</v>
      </c>
      <c r="O14" s="32">
        <f>90100+94000+96900+103000</f>
        <v>384000</v>
      </c>
      <c r="P14" s="32">
        <f>92000+75482+48450+92000+48450+90000+100000</f>
        <v>546382</v>
      </c>
      <c r="Q14" s="32">
        <f>89050+67750+90000+91900+100000</f>
        <v>438700</v>
      </c>
      <c r="R14" s="32">
        <f>89950+87050+84150+87050+62000</f>
        <v>410200</v>
      </c>
      <c r="S14" s="32">
        <f>96000+87000+81000+94000+89000</f>
        <v>447000</v>
      </c>
      <c r="T14" s="32">
        <f>78000+87000+80000+80000+80000</f>
        <v>405000</v>
      </c>
      <c r="U14" s="33">
        <f t="shared" si="0"/>
        <v>4886832</v>
      </c>
      <c r="V14" s="34"/>
    </row>
    <row r="15" spans="2:28" s="35" customFormat="1" ht="15" customHeight="1">
      <c r="B15" s="28"/>
      <c r="C15" s="116"/>
      <c r="D15" s="124"/>
      <c r="E15" s="103"/>
      <c r="F15" s="109"/>
      <c r="G15" s="111"/>
      <c r="H15" s="31" t="s">
        <v>37</v>
      </c>
      <c r="I15" s="43">
        <f>I14/'(참고)오피넷단가'!X11</f>
        <v>200.9210403902128</v>
      </c>
      <c r="J15" s="43">
        <f>J14/'(참고)오피넷단가'!Y11</f>
        <v>176.46568317478406</v>
      </c>
      <c r="K15" s="43">
        <f>K14/'(참고)오피넷단가'!Z11</f>
        <v>285.33527890163828</v>
      </c>
      <c r="L15" s="43">
        <f>L14/'(참고)오피넷단가'!AA11</f>
        <v>290.55882821206814</v>
      </c>
      <c r="M15" s="43">
        <f>M14/'(참고)오피넷단가'!AB11</f>
        <v>277.62287641032293</v>
      </c>
      <c r="N15" s="43">
        <f>N14/'(참고)오피넷단가'!AC11</f>
        <v>254.99515831977874</v>
      </c>
      <c r="O15" s="43">
        <f>O14/'(참고)오피넷단가'!AD11</f>
        <v>243.65173030799102</v>
      </c>
      <c r="P15" s="43">
        <f>P14/'(참고)오피넷단가'!AE11</f>
        <v>353.7620832766803</v>
      </c>
      <c r="Q15" s="43">
        <f>Q14/'(참고)오피넷단가'!AF11</f>
        <v>290.24148197155142</v>
      </c>
      <c r="R15" s="43">
        <f>R14/'(참고)오피넷단가'!AG11</f>
        <v>273.70935562865742</v>
      </c>
      <c r="S15" s="43">
        <f>S14/'(참고)오피넷단가'!AH11</f>
        <v>303.342879246461</v>
      </c>
      <c r="T15" s="43">
        <f>T14/'(참고)오피넷단가'!AI11</f>
        <v>282.63964492086086</v>
      </c>
      <c r="U15" s="33">
        <f t="shared" si="0"/>
        <v>3233.246040761007</v>
      </c>
      <c r="V15" s="34"/>
    </row>
    <row r="16" spans="2:28" s="35" customFormat="1" ht="15" customHeight="1">
      <c r="B16" s="28"/>
      <c r="C16" s="116"/>
      <c r="D16" s="124"/>
      <c r="E16" s="102">
        <v>3</v>
      </c>
      <c r="F16" s="108" t="s">
        <v>59</v>
      </c>
      <c r="G16" s="110" t="s">
        <v>62</v>
      </c>
      <c r="H16" s="31" t="s">
        <v>46</v>
      </c>
      <c r="I16" s="32">
        <f>1165821-I14-I18</f>
        <v>774111</v>
      </c>
      <c r="J16" s="32">
        <f>1013014-J14-J18</f>
        <v>622699</v>
      </c>
      <c r="K16" s="32">
        <f>1307540-K14-K18</f>
        <v>789680</v>
      </c>
      <c r="L16" s="32">
        <f>1334083-L14-L18</f>
        <v>750627</v>
      </c>
      <c r="M16" s="32">
        <f>1143957-M14-M18</f>
        <v>625072</v>
      </c>
      <c r="N16" s="32">
        <f>1201779-N14-N18</f>
        <v>653424</v>
      </c>
      <c r="O16" s="32">
        <f>1254157-O14-O18</f>
        <v>824702</v>
      </c>
      <c r="P16" s="32">
        <f>1448131-P14-P18</f>
        <v>765384</v>
      </c>
      <c r="Q16" s="32">
        <f>1163447-Q14-Q18</f>
        <v>679292</v>
      </c>
      <c r="R16" s="32">
        <f>1209739-R14-R18</f>
        <v>699538</v>
      </c>
      <c r="S16" s="32">
        <f>1140555-S18-S14</f>
        <v>693555</v>
      </c>
      <c r="T16" s="32">
        <f>1188728-T18-T14</f>
        <v>738273</v>
      </c>
      <c r="U16" s="33">
        <f t="shared" si="0"/>
        <v>8616357</v>
      </c>
      <c r="V16" s="34"/>
    </row>
    <row r="17" spans="2:22" s="35" customFormat="1" ht="15" customHeight="1">
      <c r="B17" s="28"/>
      <c r="C17" s="113"/>
      <c r="D17" s="109"/>
      <c r="E17" s="103"/>
      <c r="F17" s="109"/>
      <c r="G17" s="111"/>
      <c r="H17" s="31" t="s">
        <v>37</v>
      </c>
      <c r="I17" s="43">
        <f>I16/'(참고)오피넷단가'!X12</f>
        <v>581.83273580013076</v>
      </c>
      <c r="J17" s="43">
        <f>J16/'(참고)오피넷단가'!Y12</f>
        <v>487.58065021297926</v>
      </c>
      <c r="K17" s="43">
        <f>K16/'(참고)오피넷단가'!Z12</f>
        <v>595.16739271340498</v>
      </c>
      <c r="L17" s="43">
        <f>L16/'(참고)오피넷단가'!AA12</f>
        <v>568.57928464300323</v>
      </c>
      <c r="M17" s="43">
        <f>M16/'(참고)오피넷단가'!AB12</f>
        <v>465.24603097809501</v>
      </c>
      <c r="N17" s="43">
        <f>N16/'(참고)오피넷단가'!AC12</f>
        <v>477.36995908825247</v>
      </c>
      <c r="O17" s="43">
        <f>O16/'(참고)오피넷단가'!AD12</f>
        <v>608.79341527331781</v>
      </c>
      <c r="P17" s="43">
        <f>P16/'(참고)오피넷단가'!AE12</f>
        <v>585.25887579620269</v>
      </c>
      <c r="Q17" s="43">
        <f>Q16/'(참고)오피넷단가'!AF12</f>
        <v>537.50385744467042</v>
      </c>
      <c r="R17" s="43">
        <f>R16/'(참고)오피넷단가'!AG12</f>
        <v>558.77212601444182</v>
      </c>
      <c r="S17" s="43">
        <f>S16/'(참고)오피넷단가'!AH12</f>
        <v>561.60573302562852</v>
      </c>
      <c r="T17" s="43">
        <f>T16/'(참고)오피넷단가'!AI12</f>
        <v>609.62403904114683</v>
      </c>
      <c r="U17" s="33">
        <f t="shared" ref="U17:U19" si="1">SUM(I17:T17)</f>
        <v>6637.3341000312748</v>
      </c>
      <c r="V17" s="34"/>
    </row>
    <row r="18" spans="2:22" s="35" customFormat="1" ht="15" customHeight="1">
      <c r="B18" s="28"/>
      <c r="C18" s="112" t="s">
        <v>47</v>
      </c>
      <c r="D18" s="114" t="s">
        <v>186</v>
      </c>
      <c r="E18" s="102">
        <v>1</v>
      </c>
      <c r="F18" s="108" t="s">
        <v>39</v>
      </c>
      <c r="G18" s="110" t="s">
        <v>62</v>
      </c>
      <c r="H18" s="31" t="s">
        <v>46</v>
      </c>
      <c r="I18" s="32">
        <f>45455+43905</f>
        <v>89360</v>
      </c>
      <c r="J18" s="32">
        <f>45455+45455+45455</f>
        <v>136365</v>
      </c>
      <c r="K18" s="32">
        <v>87660</v>
      </c>
      <c r="L18" s="32">
        <f>45455+54546+45455</f>
        <v>145456</v>
      </c>
      <c r="M18" s="32">
        <f>45455+45280</f>
        <v>90735</v>
      </c>
      <c r="N18" s="32">
        <f>45455+54545+45455</f>
        <v>145455</v>
      </c>
      <c r="O18" s="32">
        <f>45455</f>
        <v>45455</v>
      </c>
      <c r="P18" s="32">
        <f>45455+45455+45455</f>
        <v>136365</v>
      </c>
      <c r="Q18" s="32">
        <f>45455</f>
        <v>45455</v>
      </c>
      <c r="R18" s="32">
        <f>45455+54546</f>
        <v>100001</v>
      </c>
      <c r="S18" s="32">
        <v>0</v>
      </c>
      <c r="T18" s="32">
        <f>45455</f>
        <v>45455</v>
      </c>
      <c r="U18" s="33">
        <f t="shared" si="1"/>
        <v>1067762</v>
      </c>
      <c r="V18" s="34"/>
    </row>
    <row r="19" spans="2:22" s="35" customFormat="1" ht="15" customHeight="1">
      <c r="B19" s="28"/>
      <c r="C19" s="116"/>
      <c r="D19" s="117"/>
      <c r="E19" s="107"/>
      <c r="F19" s="109"/>
      <c r="G19" s="111"/>
      <c r="H19" s="31" t="s">
        <v>37</v>
      </c>
      <c r="I19" s="43">
        <f>I18/'(참고)오피넷단가'!X12</f>
        <v>67.164235195081432</v>
      </c>
      <c r="J19" s="43">
        <f>J18/'(참고)오피넷단가'!Y12</f>
        <v>106.77540090202957</v>
      </c>
      <c r="K19" s="43">
        <f>K18/'(참고)오피넷단가'!Z12</f>
        <v>66.067740914366681</v>
      </c>
      <c r="L19" s="43">
        <f>L18/'(참고)오피넷단가'!AA12</f>
        <v>110.17891499643987</v>
      </c>
      <c r="M19" s="43">
        <f>M18/'(참고)오피넷단가'!AB12</f>
        <v>67.534777786874869</v>
      </c>
      <c r="N19" s="43">
        <f>N18/'(참고)오피넷단가'!AC12</f>
        <v>106.26461133839859</v>
      </c>
      <c r="O19" s="43">
        <f>O18/'(참고)오피넷단가'!AD12</f>
        <v>33.554792750895061</v>
      </c>
      <c r="P19" s="43">
        <f>P18/'(참고)오피넷단가'!AE12</f>
        <v>104.2729226087156</v>
      </c>
      <c r="Q19" s="43">
        <f>Q18/'(참고)오피넷단가'!AF12</f>
        <v>35.967209742124879</v>
      </c>
      <c r="R19" s="43">
        <f>R18/'(참고)오피넷단가'!AG12</f>
        <v>79.878107227298869</v>
      </c>
      <c r="S19" s="43">
        <f>S18/'(참고)오피넷단가'!AH12</f>
        <v>0</v>
      </c>
      <c r="T19" s="43">
        <f>T18/'(참고)오피넷단가'!AI12</f>
        <v>37.534165132160226</v>
      </c>
      <c r="U19" s="33">
        <f t="shared" si="1"/>
        <v>815.19287859438566</v>
      </c>
      <c r="V19" s="34"/>
    </row>
    <row r="20" spans="2:22" s="35" customFormat="1" ht="15" customHeight="1">
      <c r="B20" s="28"/>
      <c r="C20" s="38" t="s">
        <v>48</v>
      </c>
      <c r="D20" s="39" t="s">
        <v>64</v>
      </c>
      <c r="E20" s="32">
        <v>1</v>
      </c>
      <c r="F20" s="36" t="s">
        <v>39</v>
      </c>
      <c r="G20" s="37" t="s">
        <v>63</v>
      </c>
      <c r="H20" s="31" t="s">
        <v>37</v>
      </c>
      <c r="I20" s="32">
        <v>36</v>
      </c>
      <c r="J20" s="32">
        <v>35</v>
      </c>
      <c r="K20" s="32">
        <v>0</v>
      </c>
      <c r="L20" s="32">
        <v>0</v>
      </c>
      <c r="M20" s="32">
        <v>39</v>
      </c>
      <c r="N20" s="32">
        <v>0</v>
      </c>
      <c r="O20" s="32">
        <v>0</v>
      </c>
      <c r="P20" s="32">
        <v>65</v>
      </c>
      <c r="Q20" s="32">
        <v>0</v>
      </c>
      <c r="R20" s="32">
        <v>0</v>
      </c>
      <c r="S20" s="32">
        <v>29</v>
      </c>
      <c r="T20" s="32">
        <v>31</v>
      </c>
      <c r="U20" s="33">
        <f t="shared" ref="U20" si="2">SUM(I20:T20)</f>
        <v>235</v>
      </c>
      <c r="V20" s="34"/>
    </row>
    <row r="21" spans="2:22" s="35" customFormat="1" ht="15" customHeight="1">
      <c r="B21" s="28"/>
      <c r="C21" s="112" t="s">
        <v>49</v>
      </c>
      <c r="D21" s="114" t="s">
        <v>65</v>
      </c>
      <c r="E21" s="102">
        <v>1</v>
      </c>
      <c r="F21" s="36" t="s">
        <v>39</v>
      </c>
      <c r="G21" s="37" t="s">
        <v>63</v>
      </c>
      <c r="H21" s="31" t="s">
        <v>37</v>
      </c>
      <c r="I21" s="32">
        <v>1865</v>
      </c>
      <c r="J21" s="32">
        <v>1612</v>
      </c>
      <c r="K21" s="32">
        <v>2607</v>
      </c>
      <c r="L21" s="32">
        <v>4783</v>
      </c>
      <c r="M21" s="32">
        <v>4992</v>
      </c>
      <c r="N21" s="32">
        <v>4607</v>
      </c>
      <c r="O21" s="32">
        <v>5566</v>
      </c>
      <c r="P21" s="32">
        <v>5904</v>
      </c>
      <c r="Q21" s="32">
        <v>5582</v>
      </c>
      <c r="R21" s="32">
        <v>6685</v>
      </c>
      <c r="S21" s="32">
        <v>5745</v>
      </c>
      <c r="T21" s="32">
        <v>3775</v>
      </c>
      <c r="U21" s="33">
        <f t="shared" si="0"/>
        <v>53723</v>
      </c>
      <c r="V21" s="34"/>
    </row>
    <row r="22" spans="2:22" s="35" customFormat="1" ht="15" customHeight="1">
      <c r="B22" s="28"/>
      <c r="C22" s="113"/>
      <c r="D22" s="115"/>
      <c r="E22" s="103"/>
      <c r="F22" s="29" t="s">
        <v>187</v>
      </c>
      <c r="G22" s="30" t="s">
        <v>188</v>
      </c>
      <c r="H22" s="31" t="s">
        <v>37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3">
        <f t="shared" si="0"/>
        <v>0</v>
      </c>
      <c r="V22" s="34"/>
    </row>
    <row r="23" spans="2:22" s="35" customFormat="1" ht="15" customHeight="1">
      <c r="B23" s="28"/>
      <c r="C23" s="38" t="s">
        <v>50</v>
      </c>
      <c r="D23" s="44" t="s">
        <v>51</v>
      </c>
      <c r="E23" s="45" t="s">
        <v>185</v>
      </c>
      <c r="F23" s="44" t="s">
        <v>52</v>
      </c>
      <c r="G23" s="46" t="s">
        <v>53</v>
      </c>
      <c r="H23" s="47" t="s">
        <v>54</v>
      </c>
      <c r="I23" s="43">
        <v>576120</v>
      </c>
      <c r="J23" s="43">
        <v>556440</v>
      </c>
      <c r="K23" s="43">
        <v>935700</v>
      </c>
      <c r="L23" s="43">
        <v>1448880</v>
      </c>
      <c r="M23" s="43">
        <v>1535340</v>
      </c>
      <c r="N23" s="43">
        <v>1465860</v>
      </c>
      <c r="O23" s="43">
        <v>1793760</v>
      </c>
      <c r="P23" s="43">
        <v>1746720</v>
      </c>
      <c r="Q23" s="43">
        <v>1712640</v>
      </c>
      <c r="R23" s="43">
        <v>1924980</v>
      </c>
      <c r="S23" s="43">
        <v>1808700</v>
      </c>
      <c r="T23" s="43">
        <v>1267764</v>
      </c>
      <c r="U23" s="33">
        <f t="shared" si="0"/>
        <v>16772904</v>
      </c>
      <c r="V23" s="34"/>
    </row>
    <row r="24" spans="2:22"/>
    <row r="25" spans="2:22" s="56" customFormat="1" ht="15" customHeight="1">
      <c r="B25" s="57"/>
      <c r="C25" s="68" t="s">
        <v>1</v>
      </c>
      <c r="D25" s="69">
        <v>2016</v>
      </c>
      <c r="E25" s="69"/>
      <c r="F25" s="70"/>
      <c r="G25" s="71"/>
      <c r="H25" s="7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1"/>
      <c r="V25" s="71"/>
    </row>
    <row r="26" spans="2:22" s="56" customFormat="1" ht="15" customHeight="1">
      <c r="B26" s="73"/>
      <c r="C26" s="118" t="s">
        <v>16</v>
      </c>
      <c r="D26" s="120" t="s">
        <v>17</v>
      </c>
      <c r="E26" s="121"/>
      <c r="F26" s="121"/>
      <c r="G26" s="121"/>
      <c r="H26" s="122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74"/>
      <c r="V26" s="74"/>
    </row>
    <row r="27" spans="2:22" s="56" customFormat="1" ht="15" customHeight="1">
      <c r="B27" s="73"/>
      <c r="C27" s="119"/>
      <c r="D27" s="74" t="s">
        <v>18</v>
      </c>
      <c r="E27" s="74"/>
      <c r="F27" s="74" t="s">
        <v>19</v>
      </c>
      <c r="G27" s="74" t="s">
        <v>20</v>
      </c>
      <c r="H27" s="74" t="s">
        <v>21</v>
      </c>
      <c r="I27" s="74" t="s">
        <v>22</v>
      </c>
      <c r="J27" s="74" t="s">
        <v>23</v>
      </c>
      <c r="K27" s="74" t="s">
        <v>24</v>
      </c>
      <c r="L27" s="74" t="s">
        <v>25</v>
      </c>
      <c r="M27" s="74" t="s">
        <v>26</v>
      </c>
      <c r="N27" s="74" t="s">
        <v>27</v>
      </c>
      <c r="O27" s="74" t="s">
        <v>28</v>
      </c>
      <c r="P27" s="74" t="s">
        <v>29</v>
      </c>
      <c r="Q27" s="74" t="s">
        <v>30</v>
      </c>
      <c r="R27" s="74" t="s">
        <v>31</v>
      </c>
      <c r="S27" s="74" t="s">
        <v>32</v>
      </c>
      <c r="T27" s="74" t="s">
        <v>33</v>
      </c>
      <c r="U27" s="74" t="s">
        <v>34</v>
      </c>
      <c r="V27" s="74" t="s">
        <v>35</v>
      </c>
    </row>
    <row r="28" spans="2:22" s="35" customFormat="1" ht="15" customHeight="1">
      <c r="B28" s="28"/>
      <c r="C28" s="38" t="s">
        <v>36</v>
      </c>
      <c r="D28" s="36" t="s">
        <v>56</v>
      </c>
      <c r="E28" s="32">
        <v>1</v>
      </c>
      <c r="F28" s="36" t="s">
        <v>55</v>
      </c>
      <c r="G28" s="34" t="s">
        <v>68</v>
      </c>
      <c r="H28" s="31" t="s">
        <v>69</v>
      </c>
      <c r="I28" s="43">
        <v>212802</v>
      </c>
      <c r="J28" s="43">
        <v>185942</v>
      </c>
      <c r="K28" s="43">
        <v>270857</v>
      </c>
      <c r="L28" s="43">
        <v>260629</v>
      </c>
      <c r="M28" s="43">
        <v>297389</v>
      </c>
      <c r="N28" s="43">
        <v>300883</v>
      </c>
      <c r="O28" s="43">
        <v>159313</v>
      </c>
      <c r="P28" s="43">
        <v>319250</v>
      </c>
      <c r="Q28" s="43">
        <v>237829</v>
      </c>
      <c r="R28" s="43">
        <v>303948</v>
      </c>
      <c r="S28" s="43">
        <v>296468</v>
      </c>
      <c r="T28" s="43">
        <v>248347</v>
      </c>
      <c r="U28" s="33">
        <f>SUM(I28:T28)</f>
        <v>3093657</v>
      </c>
      <c r="V28" s="34"/>
    </row>
    <row r="29" spans="2:22" s="35" customFormat="1" ht="15" customHeight="1">
      <c r="B29" s="28"/>
      <c r="C29" s="112" t="s">
        <v>38</v>
      </c>
      <c r="D29" s="108" t="s">
        <v>57</v>
      </c>
      <c r="E29" s="102">
        <v>6</v>
      </c>
      <c r="F29" s="36" t="s">
        <v>59</v>
      </c>
      <c r="G29" s="41" t="s">
        <v>66</v>
      </c>
      <c r="H29" s="31" t="s">
        <v>41</v>
      </c>
      <c r="I29" s="32"/>
      <c r="J29" s="32"/>
      <c r="K29" s="32"/>
      <c r="L29" s="32"/>
      <c r="M29" s="32"/>
      <c r="N29" s="32"/>
      <c r="O29" s="32"/>
      <c r="P29" s="32"/>
      <c r="Q29" s="32">
        <f>3*20</f>
        <v>60</v>
      </c>
      <c r="R29" s="32"/>
      <c r="S29" s="32"/>
      <c r="T29" s="32"/>
      <c r="U29" s="33">
        <f t="shared" ref="U29:U41" si="3">SUM(I29:T29)</f>
        <v>60</v>
      </c>
      <c r="V29" s="34"/>
    </row>
    <row r="30" spans="2:22" s="35" customFormat="1" ht="15" customHeight="1">
      <c r="B30" s="28"/>
      <c r="C30" s="113"/>
      <c r="D30" s="125"/>
      <c r="E30" s="103"/>
      <c r="F30" s="36" t="s">
        <v>60</v>
      </c>
      <c r="G30" s="41" t="s">
        <v>66</v>
      </c>
      <c r="H30" s="31" t="s">
        <v>41</v>
      </c>
      <c r="I30" s="32"/>
      <c r="J30" s="32">
        <f>9*20</f>
        <v>180</v>
      </c>
      <c r="K30" s="32"/>
      <c r="L30" s="32"/>
      <c r="M30" s="32">
        <f>3*20</f>
        <v>60</v>
      </c>
      <c r="N30" s="32"/>
      <c r="O30" s="32"/>
      <c r="P30" s="32"/>
      <c r="Q30" s="32">
        <f>2*20</f>
        <v>40</v>
      </c>
      <c r="R30" s="32"/>
      <c r="S30" s="32"/>
      <c r="T30" s="32">
        <f>8*20</f>
        <v>160</v>
      </c>
      <c r="U30" s="33">
        <f t="shared" si="3"/>
        <v>440</v>
      </c>
      <c r="V30" s="34"/>
    </row>
    <row r="31" spans="2:22" s="35" customFormat="1" ht="15" customHeight="1">
      <c r="B31" s="14"/>
      <c r="C31" s="38" t="s">
        <v>40</v>
      </c>
      <c r="D31" s="40" t="s">
        <v>58</v>
      </c>
      <c r="E31" s="32">
        <v>1</v>
      </c>
      <c r="F31" s="36" t="s">
        <v>39</v>
      </c>
      <c r="G31" s="41" t="s">
        <v>67</v>
      </c>
      <c r="H31" s="42" t="s">
        <v>37</v>
      </c>
      <c r="I31" s="32">
        <v>94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>
        <f t="shared" si="3"/>
        <v>94</v>
      </c>
      <c r="V31" s="34"/>
    </row>
    <row r="32" spans="2:22" s="35" customFormat="1" ht="15" customHeight="1">
      <c r="B32" s="14"/>
      <c r="C32" s="38" t="s">
        <v>42</v>
      </c>
      <c r="D32" s="40" t="s">
        <v>61</v>
      </c>
      <c r="E32" s="32">
        <v>10</v>
      </c>
      <c r="F32" s="36" t="s">
        <v>60</v>
      </c>
      <c r="G32" s="41" t="s">
        <v>66</v>
      </c>
      <c r="H32" s="42" t="s">
        <v>41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>
        <f t="shared" si="3"/>
        <v>0</v>
      </c>
      <c r="V32" s="34"/>
    </row>
    <row r="33" spans="2:22" s="35" customFormat="1" ht="15" customHeight="1">
      <c r="B33" s="28"/>
      <c r="C33" s="112" t="s">
        <v>43</v>
      </c>
      <c r="D33" s="123" t="s">
        <v>44</v>
      </c>
      <c r="E33" s="102">
        <v>1</v>
      </c>
      <c r="F33" s="108" t="s">
        <v>45</v>
      </c>
      <c r="G33" s="110" t="s">
        <v>62</v>
      </c>
      <c r="H33" s="31" t="s">
        <v>46</v>
      </c>
      <c r="I33" s="32">
        <f>88000+72350+88750</f>
        <v>249100</v>
      </c>
      <c r="J33" s="32">
        <f>75200+77100+70350</f>
        <v>222650</v>
      </c>
      <c r="K33" s="32">
        <f>77100+79950+77100+57850</f>
        <v>292000</v>
      </c>
      <c r="L33" s="32">
        <f>67500+57850+77100+77100</f>
        <v>279550</v>
      </c>
      <c r="M33" s="32">
        <f>77100+77150+77150+77200</f>
        <v>308600</v>
      </c>
      <c r="N33" s="32">
        <f>85900+82100+77300+7725</f>
        <v>253025</v>
      </c>
      <c r="O33" s="32">
        <f>89000+77300+67650+84050</f>
        <v>318000</v>
      </c>
      <c r="P33" s="32">
        <f>77300+75350+77250+48300+70000+80000+79000+80000</f>
        <v>587200</v>
      </c>
      <c r="Q33" s="32">
        <f>77200+77250+77250+77200</f>
        <v>308900</v>
      </c>
      <c r="R33" s="32">
        <f>77200+77200+77250+77250</f>
        <v>308900</v>
      </c>
      <c r="S33" s="32">
        <f>77250+77250+77250+76300+42608+10000</f>
        <v>360658</v>
      </c>
      <c r="T33" s="32">
        <f>77250+77300+67600+87000</f>
        <v>309150</v>
      </c>
      <c r="U33" s="33">
        <f t="shared" si="3"/>
        <v>3797733</v>
      </c>
      <c r="V33" s="34"/>
    </row>
    <row r="34" spans="2:22" s="35" customFormat="1" ht="15" customHeight="1">
      <c r="B34" s="28"/>
      <c r="C34" s="116"/>
      <c r="D34" s="124"/>
      <c r="E34" s="103"/>
      <c r="F34" s="109"/>
      <c r="G34" s="111"/>
      <c r="H34" s="31" t="s">
        <v>37</v>
      </c>
      <c r="I34" s="43">
        <f>I33/'(참고)오피넷단가'!X15</f>
        <v>179.82313661793901</v>
      </c>
      <c r="J34" s="43">
        <f>J33/'(참고)오피넷단가'!Y15</f>
        <v>164.72459586431398</v>
      </c>
      <c r="K34" s="43">
        <f>K33/'(참고)오피넷단가'!Z15</f>
        <v>216.27546976957774</v>
      </c>
      <c r="L34" s="43">
        <f>L33/'(참고)오피넷단가'!AA15</f>
        <v>205.28882165464773</v>
      </c>
      <c r="M34" s="43">
        <f>M33/'(참고)오피넷단가'!AB15</f>
        <v>222.21582153606866</v>
      </c>
      <c r="N34" s="43">
        <f>N33/'(참고)오피넷단가'!AC15</f>
        <v>176.00882044004814</v>
      </c>
      <c r="O34" s="43">
        <f>O33/'(참고)오피넷단가'!AD15</f>
        <v>221.27126604738544</v>
      </c>
      <c r="P34" s="43">
        <f>P33/'(참고)오피넷단가'!AE15</f>
        <v>415.95534430363602</v>
      </c>
      <c r="Q34" s="43">
        <f>Q33/'(참고)오피넷단가'!AF15</f>
        <v>219.35804573214031</v>
      </c>
      <c r="R34" s="43">
        <f>R33/'(참고)오피넷단가'!AG15</f>
        <v>218.05732034448681</v>
      </c>
      <c r="S34" s="43">
        <f>S33/'(참고)오피넷단가'!AH15</f>
        <v>252.74746837660743</v>
      </c>
      <c r="T34" s="43">
        <f>T33/'(참고)오피넷단가'!AI15</f>
        <v>212.53119392826946</v>
      </c>
      <c r="U34" s="33">
        <f t="shared" si="3"/>
        <v>2704.2573046151206</v>
      </c>
      <c r="V34" s="34"/>
    </row>
    <row r="35" spans="2:22" s="35" customFormat="1" ht="15" customHeight="1">
      <c r="B35" s="28"/>
      <c r="C35" s="116"/>
      <c r="D35" s="124"/>
      <c r="E35" s="102">
        <v>3</v>
      </c>
      <c r="F35" s="108" t="s">
        <v>59</v>
      </c>
      <c r="G35" s="110" t="s">
        <v>62</v>
      </c>
      <c r="H35" s="31" t="s">
        <v>46</v>
      </c>
      <c r="I35" s="32">
        <f>993415-I37-I33</f>
        <v>657951</v>
      </c>
      <c r="J35" s="32">
        <f>952685-J37-J33</f>
        <v>636380</v>
      </c>
      <c r="K35" s="32">
        <f>983937-K37-K33</f>
        <v>610118</v>
      </c>
      <c r="L35" s="32">
        <f>871034-L33</f>
        <v>591484</v>
      </c>
      <c r="M35" s="32">
        <f>978300-M33</f>
        <v>669700</v>
      </c>
      <c r="N35" s="32">
        <f>1089160-N33</f>
        <v>836135</v>
      </c>
      <c r="O35" s="32">
        <f>929051-O33</f>
        <v>611051</v>
      </c>
      <c r="P35" s="32">
        <f>1216276-P33</f>
        <v>629076</v>
      </c>
      <c r="Q35" s="32">
        <f>935913-Q33</f>
        <v>627013</v>
      </c>
      <c r="R35" s="32">
        <f>787681-R33</f>
        <v>478781</v>
      </c>
      <c r="S35" s="32">
        <f>1057492-S33</f>
        <v>696834</v>
      </c>
      <c r="T35" s="32">
        <f>1062724-T33</f>
        <v>753574</v>
      </c>
      <c r="U35" s="33">
        <f t="shared" si="3"/>
        <v>7798097</v>
      </c>
      <c r="V35" s="34"/>
    </row>
    <row r="36" spans="2:22" s="35" customFormat="1" ht="15" customHeight="1">
      <c r="B36" s="28"/>
      <c r="C36" s="113"/>
      <c r="D36" s="109"/>
      <c r="E36" s="103"/>
      <c r="F36" s="109"/>
      <c r="G36" s="111"/>
      <c r="H36" s="31" t="s">
        <v>37</v>
      </c>
      <c r="I36" s="43">
        <f>I35/'(참고)오피넷단가'!X16</f>
        <v>568.50768579402597</v>
      </c>
      <c r="J36" s="43">
        <f>J35/'(참고)오피넷단가'!Y16</f>
        <v>577.93882592269699</v>
      </c>
      <c r="K36" s="43">
        <f>K35/'(참고)오피넷단가'!Z16</f>
        <v>553.06893894755922</v>
      </c>
      <c r="L36" s="43">
        <f>L35/'(참고)오피넷단가'!AA16</f>
        <v>527.47021473924519</v>
      </c>
      <c r="M36" s="43">
        <f>M35/'(참고)오피넷단가'!AB16</f>
        <v>578.36964876372076</v>
      </c>
      <c r="N36" s="43">
        <f>N35/'(참고)오피넷단가'!AC16</f>
        <v>682.41991430320343</v>
      </c>
      <c r="O36" s="43">
        <f>O35/'(참고)오피넷단가'!AD16</f>
        <v>497.44865146494953</v>
      </c>
      <c r="P36" s="43">
        <f>P35/'(참고)오피넷단가'!AE16</f>
        <v>521.09474660790909</v>
      </c>
      <c r="Q36" s="43">
        <f>Q35/'(참고)오피넷단가'!AF16</f>
        <v>521.19048410692915</v>
      </c>
      <c r="R36" s="43">
        <f>R35/'(참고)오피넷단가'!AG16</f>
        <v>395.31433195171491</v>
      </c>
      <c r="S36" s="43">
        <f>S35/'(참고)오피넷단가'!AH16</f>
        <v>569.90014148667331</v>
      </c>
      <c r="T36" s="43">
        <f>T35/'(참고)오피넷단가'!AI16</f>
        <v>603.0280478533989</v>
      </c>
      <c r="U36" s="33">
        <f t="shared" ref="U36:U39" si="4">SUM(I36:T36)</f>
        <v>6595.7516319420256</v>
      </c>
      <c r="V36" s="34"/>
    </row>
    <row r="37" spans="2:22" s="35" customFormat="1" ht="15" customHeight="1">
      <c r="B37" s="28"/>
      <c r="C37" s="112" t="s">
        <v>47</v>
      </c>
      <c r="D37" s="114" t="s">
        <v>186</v>
      </c>
      <c r="E37" s="102">
        <v>1</v>
      </c>
      <c r="F37" s="108" t="s">
        <v>39</v>
      </c>
      <c r="G37" s="110" t="s">
        <v>62</v>
      </c>
      <c r="H37" s="31" t="s">
        <v>46</v>
      </c>
      <c r="I37" s="32">
        <f>36364+50000</f>
        <v>86364</v>
      </c>
      <c r="J37" s="32">
        <f>45455+48200</f>
        <v>93655</v>
      </c>
      <c r="K37" s="32">
        <f>36364+45455</f>
        <v>81819</v>
      </c>
      <c r="L37" s="32">
        <f>36364+36364</f>
        <v>72728</v>
      </c>
      <c r="M37" s="32">
        <v>45455</v>
      </c>
      <c r="N37" s="32">
        <v>0</v>
      </c>
      <c r="O37" s="32">
        <v>48300</v>
      </c>
      <c r="P37" s="32">
        <v>146600</v>
      </c>
      <c r="Q37" s="32">
        <v>48300</v>
      </c>
      <c r="R37" s="32">
        <v>98300</v>
      </c>
      <c r="S37" s="32">
        <v>50000</v>
      </c>
      <c r="T37" s="32">
        <v>48350</v>
      </c>
      <c r="U37" s="33">
        <f t="shared" si="4"/>
        <v>819871</v>
      </c>
      <c r="V37" s="34"/>
    </row>
    <row r="38" spans="2:22" s="35" customFormat="1" ht="15" customHeight="1">
      <c r="B38" s="28"/>
      <c r="C38" s="116"/>
      <c r="D38" s="117"/>
      <c r="E38" s="107"/>
      <c r="F38" s="109"/>
      <c r="G38" s="111"/>
      <c r="H38" s="31" t="s">
        <v>37</v>
      </c>
      <c r="I38" s="43">
        <f>I37/'(참고)오피넷단가'!X16</f>
        <v>74.62348681879844</v>
      </c>
      <c r="J38" s="43">
        <f>J37/'(참고)오피넷단가'!Y16</f>
        <v>85.054308340598666</v>
      </c>
      <c r="K38" s="43">
        <f>K37/'(참고)오피넷단가'!Z16</f>
        <v>74.168517427367078</v>
      </c>
      <c r="L38" s="43">
        <f>L37/'(참고)오피넷단가'!AA16</f>
        <v>64.856959406435053</v>
      </c>
      <c r="M38" s="43">
        <f>M37/'(참고)오피넷단가'!AB16</f>
        <v>39.256073442668253</v>
      </c>
      <c r="N38" s="43">
        <f>N37/'(참고)오피넷단가'!AC16</f>
        <v>0</v>
      </c>
      <c r="O38" s="43">
        <f>O37/'(참고)오피넷단가'!AD16</f>
        <v>39.320400205149916</v>
      </c>
      <c r="P38" s="43">
        <f>P37/'(참고)오피넷단가'!AE16</f>
        <v>121.43602657344974</v>
      </c>
      <c r="Q38" s="43">
        <f>Q37/'(참고)오피넷단가'!AF16</f>
        <v>40.148290996143103</v>
      </c>
      <c r="R38" s="43">
        <f>R37/'(참고)오피넷단가'!AG16</f>
        <v>81.163201611704665</v>
      </c>
      <c r="S38" s="43">
        <f>S37/'(참고)오피넷단가'!AH16</f>
        <v>40.892102099400525</v>
      </c>
      <c r="T38" s="43">
        <f>T37/'(참고)오피넷단가'!AI16</f>
        <v>38.690833433361341</v>
      </c>
      <c r="U38" s="33">
        <f t="shared" si="4"/>
        <v>699.61020035507681</v>
      </c>
      <c r="V38" s="34"/>
    </row>
    <row r="39" spans="2:22" s="35" customFormat="1" ht="15" customHeight="1">
      <c r="B39" s="28"/>
      <c r="C39" s="38" t="s">
        <v>48</v>
      </c>
      <c r="D39" s="39" t="s">
        <v>64</v>
      </c>
      <c r="E39" s="32">
        <v>1</v>
      </c>
      <c r="F39" s="36" t="s">
        <v>39</v>
      </c>
      <c r="G39" s="37" t="s">
        <v>63</v>
      </c>
      <c r="H39" s="31" t="s">
        <v>37</v>
      </c>
      <c r="I39" s="32">
        <v>31</v>
      </c>
      <c r="J39" s="32">
        <v>0</v>
      </c>
      <c r="K39" s="32">
        <v>33</v>
      </c>
      <c r="L39" s="32">
        <v>39</v>
      </c>
      <c r="M39" s="32">
        <v>0</v>
      </c>
      <c r="N39" s="32">
        <v>35</v>
      </c>
      <c r="O39" s="32">
        <v>66</v>
      </c>
      <c r="P39" s="32">
        <v>19</v>
      </c>
      <c r="Q39" s="32">
        <v>26</v>
      </c>
      <c r="R39" s="32">
        <v>16</v>
      </c>
      <c r="S39" s="32">
        <v>26</v>
      </c>
      <c r="T39" s="32">
        <v>33</v>
      </c>
      <c r="U39" s="33">
        <f t="shared" si="4"/>
        <v>324</v>
      </c>
      <c r="V39" s="34"/>
    </row>
    <row r="40" spans="2:22" s="35" customFormat="1" ht="15" customHeight="1">
      <c r="B40" s="28"/>
      <c r="C40" s="112" t="s">
        <v>49</v>
      </c>
      <c r="D40" s="114" t="s">
        <v>65</v>
      </c>
      <c r="E40" s="102">
        <v>1</v>
      </c>
      <c r="F40" s="36" t="s">
        <v>39</v>
      </c>
      <c r="G40" s="37" t="s">
        <v>63</v>
      </c>
      <c r="H40" s="31" t="s">
        <v>37</v>
      </c>
      <c r="I40" s="32">
        <v>4299</v>
      </c>
      <c r="J40" s="32">
        <v>3789</v>
      </c>
      <c r="K40" s="32">
        <v>5571</v>
      </c>
      <c r="L40" s="32">
        <f>5110+444</f>
        <v>5554</v>
      </c>
      <c r="M40" s="32">
        <v>5992</v>
      </c>
      <c r="N40" s="32">
        <f>5962+268</f>
        <v>6230</v>
      </c>
      <c r="O40" s="32">
        <v>3991</v>
      </c>
      <c r="P40" s="32">
        <v>6497</v>
      </c>
      <c r="Q40" s="32">
        <v>5198</v>
      </c>
      <c r="R40" s="32">
        <v>6072</v>
      </c>
      <c r="S40" s="32">
        <v>5406</v>
      </c>
      <c r="T40" s="32">
        <v>4829</v>
      </c>
      <c r="U40" s="33">
        <f t="shared" si="3"/>
        <v>63428</v>
      </c>
      <c r="V40" s="34"/>
    </row>
    <row r="41" spans="2:22" s="35" customFormat="1" ht="15" customHeight="1">
      <c r="B41" s="28"/>
      <c r="C41" s="113"/>
      <c r="D41" s="115"/>
      <c r="E41" s="103"/>
      <c r="F41" s="29" t="s">
        <v>187</v>
      </c>
      <c r="G41" s="30" t="s">
        <v>188</v>
      </c>
      <c r="H41" s="31" t="s">
        <v>37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100</v>
      </c>
      <c r="P41" s="32">
        <v>100</v>
      </c>
      <c r="Q41" s="32">
        <v>100</v>
      </c>
      <c r="R41" s="32">
        <v>200</v>
      </c>
      <c r="S41" s="32">
        <v>100</v>
      </c>
      <c r="T41" s="32">
        <v>100</v>
      </c>
      <c r="U41" s="33">
        <f t="shared" si="3"/>
        <v>700</v>
      </c>
      <c r="V41" s="34"/>
    </row>
    <row r="42" spans="2:22" s="35" customFormat="1" ht="15" customHeight="1">
      <c r="B42" s="28"/>
      <c r="C42" s="38" t="s">
        <v>50</v>
      </c>
      <c r="D42" s="44" t="s">
        <v>51</v>
      </c>
      <c r="E42" s="45" t="s">
        <v>185</v>
      </c>
      <c r="F42" s="44" t="s">
        <v>52</v>
      </c>
      <c r="G42" s="46" t="s">
        <v>53</v>
      </c>
      <c r="H42" s="47" t="s">
        <v>54</v>
      </c>
      <c r="I42" s="43">
        <v>1419720</v>
      </c>
      <c r="J42" s="43">
        <v>1271760</v>
      </c>
      <c r="K42" s="43">
        <v>1842600</v>
      </c>
      <c r="L42" s="43">
        <v>1897860</v>
      </c>
      <c r="M42" s="43">
        <v>1971840</v>
      </c>
      <c r="N42" s="43">
        <v>2038560</v>
      </c>
      <c r="O42" s="43">
        <v>1303380</v>
      </c>
      <c r="P42" s="43">
        <v>2084220</v>
      </c>
      <c r="Q42" s="43">
        <v>1622760</v>
      </c>
      <c r="R42" s="43">
        <v>2001780</v>
      </c>
      <c r="S42" s="43">
        <v>1969800</v>
      </c>
      <c r="T42" s="43">
        <v>1726080</v>
      </c>
      <c r="U42" s="33">
        <f t="shared" ref="U42" si="5">SUM(I42:T42)</f>
        <v>21150360</v>
      </c>
      <c r="V42" s="34"/>
    </row>
    <row r="43" spans="2:22"/>
    <row r="44" spans="2:22" s="56" customFormat="1" ht="15" customHeight="1">
      <c r="B44" s="57"/>
      <c r="C44" s="68" t="s">
        <v>1</v>
      </c>
      <c r="D44" s="69">
        <v>2017</v>
      </c>
      <c r="E44" s="69"/>
      <c r="F44" s="70"/>
      <c r="G44" s="71"/>
      <c r="H44" s="71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1"/>
      <c r="V44" s="71"/>
    </row>
    <row r="45" spans="2:22" s="56" customFormat="1" ht="15" customHeight="1">
      <c r="B45" s="73"/>
      <c r="C45" s="118" t="s">
        <v>16</v>
      </c>
      <c r="D45" s="120" t="s">
        <v>17</v>
      </c>
      <c r="E45" s="121"/>
      <c r="F45" s="121"/>
      <c r="G45" s="121"/>
      <c r="H45" s="122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74"/>
      <c r="V45" s="74"/>
    </row>
    <row r="46" spans="2:22" s="56" customFormat="1" ht="14.4" customHeight="1">
      <c r="B46" s="73"/>
      <c r="C46" s="119"/>
      <c r="D46" s="74" t="s">
        <v>18</v>
      </c>
      <c r="E46" s="74"/>
      <c r="F46" s="74" t="s">
        <v>19</v>
      </c>
      <c r="G46" s="74" t="s">
        <v>20</v>
      </c>
      <c r="H46" s="74" t="s">
        <v>21</v>
      </c>
      <c r="I46" s="74" t="s">
        <v>22</v>
      </c>
      <c r="J46" s="74" t="s">
        <v>23</v>
      </c>
      <c r="K46" s="74" t="s">
        <v>24</v>
      </c>
      <c r="L46" s="74" t="s">
        <v>25</v>
      </c>
      <c r="M46" s="74" t="s">
        <v>26</v>
      </c>
      <c r="N46" s="74" t="s">
        <v>27</v>
      </c>
      <c r="O46" s="74" t="s">
        <v>28</v>
      </c>
      <c r="P46" s="74" t="s">
        <v>29</v>
      </c>
      <c r="Q46" s="74" t="s">
        <v>30</v>
      </c>
      <c r="R46" s="74" t="s">
        <v>31</v>
      </c>
      <c r="S46" s="74" t="s">
        <v>32</v>
      </c>
      <c r="T46" s="74" t="s">
        <v>33</v>
      </c>
      <c r="U46" s="74" t="s">
        <v>34</v>
      </c>
      <c r="V46" s="74" t="s">
        <v>35</v>
      </c>
    </row>
    <row r="47" spans="2:22" s="35" customFormat="1" ht="15" customHeight="1">
      <c r="B47" s="28"/>
      <c r="C47" s="38" t="s">
        <v>36</v>
      </c>
      <c r="D47" s="36" t="s">
        <v>56</v>
      </c>
      <c r="E47" s="32">
        <v>1</v>
      </c>
      <c r="F47" s="36" t="s">
        <v>55</v>
      </c>
      <c r="G47" s="34" t="s">
        <v>68</v>
      </c>
      <c r="H47" s="31" t="s">
        <v>69</v>
      </c>
      <c r="I47" s="43">
        <v>198154</v>
      </c>
      <c r="J47" s="43">
        <v>254622</v>
      </c>
      <c r="K47" s="43">
        <v>279684</v>
      </c>
      <c r="L47" s="43">
        <v>289968</v>
      </c>
      <c r="M47" s="43">
        <v>312752</v>
      </c>
      <c r="N47" s="43">
        <v>264274</v>
      </c>
      <c r="O47" s="43">
        <v>275599</v>
      </c>
      <c r="P47" s="43">
        <v>278507</v>
      </c>
      <c r="Q47" s="43">
        <v>315611</v>
      </c>
      <c r="R47" s="43">
        <v>300902</v>
      </c>
      <c r="S47" s="43">
        <v>330256</v>
      </c>
      <c r="T47" s="43">
        <v>211321</v>
      </c>
      <c r="U47" s="33">
        <f>SUM(I47:T47)</f>
        <v>3311650</v>
      </c>
      <c r="V47" s="34"/>
    </row>
    <row r="48" spans="2:22" s="35" customFormat="1" ht="15" customHeight="1">
      <c r="B48" s="28"/>
      <c r="C48" s="112" t="s">
        <v>38</v>
      </c>
      <c r="D48" s="108" t="s">
        <v>57</v>
      </c>
      <c r="E48" s="102">
        <v>6</v>
      </c>
      <c r="F48" s="36" t="s">
        <v>59</v>
      </c>
      <c r="G48" s="41" t="s">
        <v>66</v>
      </c>
      <c r="H48" s="31" t="s">
        <v>41</v>
      </c>
      <c r="I48" s="32">
        <f>2*20</f>
        <v>40</v>
      </c>
      <c r="J48" s="32"/>
      <c r="K48" s="32"/>
      <c r="L48" s="32"/>
      <c r="M48" s="32">
        <f>5*20</f>
        <v>100</v>
      </c>
      <c r="N48" s="32"/>
      <c r="O48" s="32"/>
      <c r="P48" s="32"/>
      <c r="Q48" s="32"/>
      <c r="R48" s="32"/>
      <c r="S48" s="32"/>
      <c r="T48" s="32"/>
      <c r="U48" s="33">
        <f t="shared" ref="U48:U60" si="6">SUM(I48:T48)</f>
        <v>140</v>
      </c>
      <c r="V48" s="34"/>
    </row>
    <row r="49" spans="2:22" s="35" customFormat="1" ht="15" customHeight="1">
      <c r="B49" s="28"/>
      <c r="C49" s="113"/>
      <c r="D49" s="125"/>
      <c r="E49" s="103"/>
      <c r="F49" s="36" t="s">
        <v>60</v>
      </c>
      <c r="G49" s="41" t="s">
        <v>66</v>
      </c>
      <c r="H49" s="31" t="s">
        <v>41</v>
      </c>
      <c r="I49" s="32"/>
      <c r="J49" s="32">
        <f>3*20</f>
        <v>60</v>
      </c>
      <c r="K49" s="32"/>
      <c r="L49" s="32"/>
      <c r="M49" s="32">
        <f>4*20</f>
        <v>80</v>
      </c>
      <c r="N49" s="32">
        <f>5*20</f>
        <v>100</v>
      </c>
      <c r="O49" s="32"/>
      <c r="P49" s="32">
        <f>2*20</f>
        <v>40</v>
      </c>
      <c r="Q49" s="32"/>
      <c r="R49" s="32"/>
      <c r="S49" s="32">
        <f>1*20</f>
        <v>20</v>
      </c>
      <c r="T49" s="32">
        <f>1*20</f>
        <v>20</v>
      </c>
      <c r="U49" s="33">
        <f t="shared" si="6"/>
        <v>320</v>
      </c>
      <c r="V49" s="34"/>
    </row>
    <row r="50" spans="2:22" s="35" customFormat="1" ht="15" customHeight="1">
      <c r="B50" s="14"/>
      <c r="C50" s="38" t="s">
        <v>40</v>
      </c>
      <c r="D50" s="40" t="s">
        <v>58</v>
      </c>
      <c r="E50" s="32">
        <v>1</v>
      </c>
      <c r="F50" s="36" t="s">
        <v>39</v>
      </c>
      <c r="G50" s="41" t="s">
        <v>67</v>
      </c>
      <c r="H50" s="42" t="s">
        <v>37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>
        <f t="shared" si="6"/>
        <v>0</v>
      </c>
      <c r="V50" s="34"/>
    </row>
    <row r="51" spans="2:22" s="35" customFormat="1" ht="15" customHeight="1">
      <c r="B51" s="14"/>
      <c r="C51" s="38" t="s">
        <v>42</v>
      </c>
      <c r="D51" s="40" t="s">
        <v>61</v>
      </c>
      <c r="E51" s="32">
        <v>10</v>
      </c>
      <c r="F51" s="36" t="s">
        <v>60</v>
      </c>
      <c r="G51" s="41" t="s">
        <v>66</v>
      </c>
      <c r="H51" s="42" t="s">
        <v>41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>
        <f t="shared" si="6"/>
        <v>0</v>
      </c>
      <c r="V51" s="34"/>
    </row>
    <row r="52" spans="2:22" s="35" customFormat="1" ht="15" customHeight="1">
      <c r="B52" s="28"/>
      <c r="C52" s="112" t="s">
        <v>43</v>
      </c>
      <c r="D52" s="123" t="s">
        <v>44</v>
      </c>
      <c r="E52" s="102">
        <v>1</v>
      </c>
      <c r="F52" s="108" t="s">
        <v>45</v>
      </c>
      <c r="G52" s="110" t="s">
        <v>62</v>
      </c>
      <c r="H52" s="31" t="s">
        <v>46</v>
      </c>
      <c r="I52" s="32">
        <f>77350+77400+77400+58050</f>
        <v>290200</v>
      </c>
      <c r="J52" s="32">
        <f>80000+77400+29050+29050+19350+80000</f>
        <v>314850</v>
      </c>
      <c r="K52" s="32">
        <f>84200+76450+74500+80000+58050</f>
        <v>373200</v>
      </c>
      <c r="L52" s="32">
        <f>77400+75450+58050+75450+80000</f>
        <v>366350</v>
      </c>
      <c r="M52" s="32">
        <f>77350+77350+29050+77350+80000</f>
        <v>341100</v>
      </c>
      <c r="N52" s="32">
        <f>77350+77350+77350+77350+60000+80000+65000</f>
        <v>514400</v>
      </c>
      <c r="O52" s="32">
        <f>38650+75350+77300+77300</f>
        <v>268600</v>
      </c>
      <c r="P52" s="32">
        <f>73400+77300+77300+80000+67650</f>
        <v>375650</v>
      </c>
      <c r="Q52" s="32">
        <f>77350+77350+67700+73450</f>
        <v>295850</v>
      </c>
      <c r="R52" s="32">
        <f>77400+77400+77400+77400+20000+80000</f>
        <v>409600</v>
      </c>
      <c r="S52" s="32">
        <f>77400+77400+77450+77450</f>
        <v>309700</v>
      </c>
      <c r="T52" s="32">
        <f>77450+77450+77450+77450</f>
        <v>309800</v>
      </c>
      <c r="U52" s="33">
        <f t="shared" si="6"/>
        <v>4169300</v>
      </c>
      <c r="V52" s="34"/>
    </row>
    <row r="53" spans="2:22" s="35" customFormat="1" ht="15" customHeight="1">
      <c r="B53" s="28"/>
      <c r="C53" s="116"/>
      <c r="D53" s="124"/>
      <c r="E53" s="103"/>
      <c r="F53" s="109"/>
      <c r="G53" s="111"/>
      <c r="H53" s="31" t="s">
        <v>37</v>
      </c>
      <c r="I53" s="43">
        <f>I52/'(참고)오피넷단가'!X19</f>
        <v>192.45563307424993</v>
      </c>
      <c r="J53" s="43">
        <f>J52/'(참고)오피넷단가'!Y19</f>
        <v>207.5956878647018</v>
      </c>
      <c r="K53" s="43">
        <f>K52/'(참고)오피넷단가'!Z19</f>
        <v>247.67555298942801</v>
      </c>
      <c r="L53" s="43">
        <f>L52/'(참고)오피넷단가'!AA19</f>
        <v>246.27909165467821</v>
      </c>
      <c r="M53" s="43">
        <f>M52/'(참고)오피넷단가'!AB19</f>
        <v>230.2893638855507</v>
      </c>
      <c r="N53" s="43">
        <f>N52/'(참고)오피넷단가'!AC19</f>
        <v>351.95030001984168</v>
      </c>
      <c r="O53" s="43">
        <f>O52/'(참고)오피넷단가'!AD19</f>
        <v>186.70670503677135</v>
      </c>
      <c r="P53" s="43">
        <f>P52/'(참고)오피넷단가'!AE19</f>
        <v>258.7441969390145</v>
      </c>
      <c r="Q53" s="43">
        <f>Q52/'(참고)오피넷단가'!AF19</f>
        <v>199.94458186340103</v>
      </c>
      <c r="R53" s="43">
        <f>R52/'(참고)오피넷단가'!AG19</f>
        <v>272.25172649868063</v>
      </c>
      <c r="S53" s="43">
        <f>S52/'(참고)오피넷단가'!AH19</f>
        <v>203.60131745896089</v>
      </c>
      <c r="T53" s="43">
        <f>T52/'(참고)오피넷단가'!AI19</f>
        <v>201.13356749141386</v>
      </c>
      <c r="U53" s="33">
        <f t="shared" si="6"/>
        <v>2798.6277247766925</v>
      </c>
      <c r="V53" s="34"/>
    </row>
    <row r="54" spans="2:22" s="35" customFormat="1" ht="15" customHeight="1">
      <c r="B54" s="28"/>
      <c r="C54" s="116"/>
      <c r="D54" s="124"/>
      <c r="E54" s="102">
        <v>3</v>
      </c>
      <c r="F54" s="108" t="s">
        <v>59</v>
      </c>
      <c r="G54" s="110" t="s">
        <v>62</v>
      </c>
      <c r="H54" s="31" t="s">
        <v>46</v>
      </c>
      <c r="I54" s="32">
        <f>964723-I52</f>
        <v>674523</v>
      </c>
      <c r="J54" s="32">
        <f>998395-J52</f>
        <v>683545</v>
      </c>
      <c r="K54" s="32">
        <f>1255782-K52</f>
        <v>882582</v>
      </c>
      <c r="L54" s="32">
        <f>1098246-L52</f>
        <v>731896</v>
      </c>
      <c r="M54" s="32">
        <f>1038815-M52</f>
        <v>697715</v>
      </c>
      <c r="N54" s="32">
        <f>1119797-N52</f>
        <v>605397</v>
      </c>
      <c r="O54" s="32">
        <f>921014-O52</f>
        <v>652414</v>
      </c>
      <c r="P54" s="32">
        <f>1213092-P52</f>
        <v>837442</v>
      </c>
      <c r="Q54" s="32">
        <f>1133471-Q52</f>
        <v>837621</v>
      </c>
      <c r="R54" s="32">
        <f>902946-R52</f>
        <v>493346</v>
      </c>
      <c r="S54" s="32">
        <f>1106021-S52</f>
        <v>796321</v>
      </c>
      <c r="T54" s="32">
        <f>951192-T52</f>
        <v>641392</v>
      </c>
      <c r="U54" s="33">
        <f t="shared" si="6"/>
        <v>8534194</v>
      </c>
      <c r="V54" s="34"/>
    </row>
    <row r="55" spans="2:22" s="35" customFormat="1" ht="15" customHeight="1">
      <c r="B55" s="28"/>
      <c r="C55" s="113"/>
      <c r="D55" s="109"/>
      <c r="E55" s="103"/>
      <c r="F55" s="109"/>
      <c r="G55" s="111"/>
      <c r="H55" s="31" t="s">
        <v>37</v>
      </c>
      <c r="I55" s="43">
        <f>I54/'(참고)오피넷단가'!X20</f>
        <v>518.79201341352734</v>
      </c>
      <c r="J55" s="43">
        <f>J54/'(참고)오피넷단가'!Y20</f>
        <v>522.78776290630969</v>
      </c>
      <c r="K55" s="43">
        <f>K54/'(참고)오피넷단가'!Z20</f>
        <v>680.3326961026147</v>
      </c>
      <c r="L55" s="43">
        <f>L54/'(참고)오피넷단가'!AA20</f>
        <v>572.76028297752464</v>
      </c>
      <c r="M55" s="43">
        <f>M54/'(참고)오피넷단가'!AB20</f>
        <v>548.78125516167336</v>
      </c>
      <c r="N55" s="43">
        <f>N54/'(참고)오피넷단가'!AC20</f>
        <v>483.74871151525804</v>
      </c>
      <c r="O55" s="43">
        <f>O54/'(참고)오피넷단가'!AD20</f>
        <v>530.49983330758414</v>
      </c>
      <c r="P55" s="43">
        <f>P54/'(참고)오피넷단가'!AE20</f>
        <v>672.7144199795963</v>
      </c>
      <c r="Q55" s="43">
        <f>Q54/'(참고)오피넷단가'!AF20</f>
        <v>659.01999197488612</v>
      </c>
      <c r="R55" s="43">
        <f>R54/'(참고)오피넷단가'!AG20</f>
        <v>380.78279729239512</v>
      </c>
      <c r="S55" s="43">
        <f>S54/'(참고)오피넷단가'!AH20</f>
        <v>606.48048011454512</v>
      </c>
      <c r="T55" s="43">
        <f>T54/'(참고)오피넷단가'!AI20</f>
        <v>481.39903178594216</v>
      </c>
      <c r="U55" s="33">
        <f t="shared" ref="U55:U58" si="7">SUM(I55:T55)</f>
        <v>6658.099276531857</v>
      </c>
      <c r="V55" s="34"/>
    </row>
    <row r="56" spans="2:22" s="35" customFormat="1" ht="15" customHeight="1">
      <c r="B56" s="28"/>
      <c r="C56" s="112" t="s">
        <v>47</v>
      </c>
      <c r="D56" s="114" t="s">
        <v>186</v>
      </c>
      <c r="E56" s="102">
        <v>1</v>
      </c>
      <c r="F56" s="108" t="s">
        <v>39</v>
      </c>
      <c r="G56" s="110" t="s">
        <v>62</v>
      </c>
      <c r="H56" s="31" t="s">
        <v>46</v>
      </c>
      <c r="I56" s="32">
        <v>50000</v>
      </c>
      <c r="J56" s="32">
        <v>48400</v>
      </c>
      <c r="K56" s="32">
        <v>146800</v>
      </c>
      <c r="L56" s="32">
        <v>100000</v>
      </c>
      <c r="M56" s="32">
        <v>0</v>
      </c>
      <c r="N56" s="32">
        <v>40000</v>
      </c>
      <c r="O56" s="32">
        <v>80000</v>
      </c>
      <c r="P56" s="32">
        <v>50000</v>
      </c>
      <c r="Q56" s="32">
        <v>50000</v>
      </c>
      <c r="R56" s="32">
        <v>43855</v>
      </c>
      <c r="S56" s="32">
        <v>45454</v>
      </c>
      <c r="T56" s="32">
        <v>72728</v>
      </c>
      <c r="U56" s="33">
        <f t="shared" si="7"/>
        <v>727237</v>
      </c>
      <c r="V56" s="34"/>
    </row>
    <row r="57" spans="2:22" s="35" customFormat="1" ht="15" customHeight="1">
      <c r="B57" s="28"/>
      <c r="C57" s="116"/>
      <c r="D57" s="117"/>
      <c r="E57" s="107"/>
      <c r="F57" s="109"/>
      <c r="G57" s="111"/>
      <c r="H57" s="31" t="s">
        <v>37</v>
      </c>
      <c r="I57" s="43">
        <f>I56/'(참고)오피넷단가'!X20</f>
        <v>38.456213755018531</v>
      </c>
      <c r="J57" s="43">
        <f>J56/'(참고)오피넷단가'!Y20</f>
        <v>37.01720841300191</v>
      </c>
      <c r="K57" s="43">
        <f>K56/'(참고)오피넷단가'!Z20</f>
        <v>113.15984213122842</v>
      </c>
      <c r="L57" s="43">
        <f>L56/'(참고)오피넷단가'!AA20</f>
        <v>78.257058786702572</v>
      </c>
      <c r="M57" s="43">
        <f>M56/'(참고)오피넷단가'!AB20</f>
        <v>0</v>
      </c>
      <c r="N57" s="43">
        <f>N56/'(참고)오피넷단가'!AC20</f>
        <v>31.962412203248977</v>
      </c>
      <c r="O57" s="43">
        <f>O56/'(참고)오피넷단가'!AD20</f>
        <v>65.050698888446192</v>
      </c>
      <c r="P57" s="43">
        <f>P56/'(참고)오피넷단가'!AE20</f>
        <v>40.164836488950655</v>
      </c>
      <c r="Q57" s="43">
        <f>Q56/'(참고)오피넷단가'!AF20</f>
        <v>39.338793557879164</v>
      </c>
      <c r="R57" s="43">
        <f>R56/'(참고)오피넷단가'!AG20</f>
        <v>33.848920585670072</v>
      </c>
      <c r="S57" s="43">
        <f>S56/'(참고)오피넷단가'!AH20</f>
        <v>34.617903763842136</v>
      </c>
      <c r="T57" s="43">
        <f>T56/'(참고)오피넷단가'!AI20</f>
        <v>54.586257364806549</v>
      </c>
      <c r="U57" s="33">
        <f t="shared" si="7"/>
        <v>566.46014593879511</v>
      </c>
      <c r="V57" s="34"/>
    </row>
    <row r="58" spans="2:22" s="35" customFormat="1" ht="15" customHeight="1">
      <c r="B58" s="28"/>
      <c r="C58" s="38" t="s">
        <v>48</v>
      </c>
      <c r="D58" s="39" t="s">
        <v>64</v>
      </c>
      <c r="E58" s="32">
        <v>1</v>
      </c>
      <c r="F58" s="36" t="s">
        <v>39</v>
      </c>
      <c r="G58" s="37" t="s">
        <v>63</v>
      </c>
      <c r="H58" s="31" t="s">
        <v>37</v>
      </c>
      <c r="I58" s="32">
        <v>32</v>
      </c>
      <c r="J58" s="32">
        <v>30</v>
      </c>
      <c r="K58" s="32">
        <v>0</v>
      </c>
      <c r="L58" s="32">
        <v>30</v>
      </c>
      <c r="M58" s="32">
        <v>31</v>
      </c>
      <c r="N58" s="32">
        <v>31</v>
      </c>
      <c r="O58" s="32">
        <v>0</v>
      </c>
      <c r="P58" s="32">
        <v>0</v>
      </c>
      <c r="Q58" s="32">
        <v>28</v>
      </c>
      <c r="R58" s="32">
        <v>31</v>
      </c>
      <c r="S58" s="32">
        <v>0</v>
      </c>
      <c r="T58" s="32">
        <v>33</v>
      </c>
      <c r="U58" s="33">
        <f t="shared" si="7"/>
        <v>246</v>
      </c>
      <c r="V58" s="34"/>
    </row>
    <row r="59" spans="2:22" s="35" customFormat="1" ht="15" customHeight="1">
      <c r="B59" s="28"/>
      <c r="C59" s="112" t="s">
        <v>49</v>
      </c>
      <c r="D59" s="114" t="s">
        <v>65</v>
      </c>
      <c r="E59" s="102">
        <v>1</v>
      </c>
      <c r="F59" s="36" t="s">
        <v>39</v>
      </c>
      <c r="G59" s="37" t="s">
        <v>63</v>
      </c>
      <c r="H59" s="31" t="s">
        <v>37</v>
      </c>
      <c r="I59" s="32">
        <v>4265</v>
      </c>
      <c r="J59" s="32">
        <v>5149</v>
      </c>
      <c r="K59" s="32">
        <v>6222</v>
      </c>
      <c r="L59" s="32">
        <v>6162</v>
      </c>
      <c r="M59" s="32">
        <v>6330</v>
      </c>
      <c r="N59" s="32">
        <v>5750</v>
      </c>
      <c r="O59" s="32">
        <v>6115</v>
      </c>
      <c r="P59" s="32">
        <v>5943</v>
      </c>
      <c r="Q59" s="32">
        <v>6417</v>
      </c>
      <c r="R59" s="32">
        <v>5340</v>
      </c>
      <c r="S59" s="32">
        <v>6597</v>
      </c>
      <c r="T59" s="32">
        <v>4200</v>
      </c>
      <c r="U59" s="33">
        <f t="shared" si="6"/>
        <v>68490</v>
      </c>
      <c r="V59" s="34"/>
    </row>
    <row r="60" spans="2:22" s="35" customFormat="1" ht="15" customHeight="1">
      <c r="B60" s="28"/>
      <c r="C60" s="113"/>
      <c r="D60" s="115"/>
      <c r="E60" s="103"/>
      <c r="F60" s="29" t="s">
        <v>187</v>
      </c>
      <c r="G60" s="30" t="s">
        <v>188</v>
      </c>
      <c r="H60" s="31" t="s">
        <v>37</v>
      </c>
      <c r="I60" s="32">
        <v>100</v>
      </c>
      <c r="J60" s="32">
        <v>100</v>
      </c>
      <c r="K60" s="32">
        <v>100</v>
      </c>
      <c r="L60" s="32">
        <v>200</v>
      </c>
      <c r="M60" s="32">
        <v>150</v>
      </c>
      <c r="N60" s="32">
        <v>100</v>
      </c>
      <c r="O60" s="32">
        <v>100</v>
      </c>
      <c r="P60" s="32">
        <f>10*48</f>
        <v>480</v>
      </c>
      <c r="Q60" s="32">
        <v>0</v>
      </c>
      <c r="R60" s="32">
        <v>0</v>
      </c>
      <c r="S60" s="32">
        <v>100</v>
      </c>
      <c r="T60" s="32">
        <v>100</v>
      </c>
      <c r="U60" s="33">
        <f t="shared" si="6"/>
        <v>1530</v>
      </c>
      <c r="V60" s="34"/>
    </row>
    <row r="61" spans="2:22" s="35" customFormat="1" ht="15" customHeight="1">
      <c r="B61" s="28"/>
      <c r="C61" s="38" t="s">
        <v>50</v>
      </c>
      <c r="D61" s="44" t="s">
        <v>51</v>
      </c>
      <c r="E61" s="45" t="s">
        <v>185</v>
      </c>
      <c r="F61" s="44" t="s">
        <v>52</v>
      </c>
      <c r="G61" s="46" t="s">
        <v>53</v>
      </c>
      <c r="H61" s="47" t="s">
        <v>54</v>
      </c>
      <c r="I61" s="43">
        <v>1403640</v>
      </c>
      <c r="J61" s="43">
        <v>1703700</v>
      </c>
      <c r="K61" s="43">
        <v>2011920</v>
      </c>
      <c r="L61" s="43">
        <v>2124060</v>
      </c>
      <c r="M61" s="43">
        <v>2002740</v>
      </c>
      <c r="N61" s="43">
        <v>1793940</v>
      </c>
      <c r="O61" s="43">
        <v>1812300</v>
      </c>
      <c r="P61" s="43">
        <v>1779540</v>
      </c>
      <c r="Q61" s="43">
        <v>1948560</v>
      </c>
      <c r="R61" s="43">
        <v>1712400</v>
      </c>
      <c r="S61" s="43">
        <v>1889100</v>
      </c>
      <c r="T61" s="43">
        <v>1249800</v>
      </c>
      <c r="U61" s="33">
        <f t="shared" ref="U61" si="8">SUM(I61:T61)</f>
        <v>21431700</v>
      </c>
      <c r="V61" s="34"/>
    </row>
    <row r="62" spans="2:22"/>
    <row r="63" spans="2:22" s="56" customFormat="1" ht="15" customHeight="1">
      <c r="B63" s="57"/>
      <c r="C63" s="68" t="s">
        <v>1</v>
      </c>
      <c r="D63" s="69">
        <v>2018</v>
      </c>
      <c r="E63" s="69"/>
      <c r="F63" s="70"/>
      <c r="G63" s="71"/>
      <c r="H63" s="71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1"/>
      <c r="V63" s="71"/>
    </row>
    <row r="64" spans="2:22" s="56" customFormat="1" ht="15" customHeight="1">
      <c r="B64" s="73"/>
      <c r="C64" s="118" t="s">
        <v>16</v>
      </c>
      <c r="D64" s="120" t="s">
        <v>17</v>
      </c>
      <c r="E64" s="121"/>
      <c r="F64" s="121"/>
      <c r="G64" s="121"/>
      <c r="H64" s="122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74"/>
      <c r="V64" s="74"/>
    </row>
    <row r="65" spans="2:22" s="56" customFormat="1" ht="15" customHeight="1">
      <c r="B65" s="73"/>
      <c r="C65" s="119"/>
      <c r="D65" s="74" t="s">
        <v>18</v>
      </c>
      <c r="E65" s="74"/>
      <c r="F65" s="74" t="s">
        <v>19</v>
      </c>
      <c r="G65" s="74" t="s">
        <v>20</v>
      </c>
      <c r="H65" s="74" t="s">
        <v>21</v>
      </c>
      <c r="I65" s="74" t="s">
        <v>22</v>
      </c>
      <c r="J65" s="74" t="s">
        <v>23</v>
      </c>
      <c r="K65" s="74" t="s">
        <v>24</v>
      </c>
      <c r="L65" s="74" t="s">
        <v>25</v>
      </c>
      <c r="M65" s="74" t="s">
        <v>26</v>
      </c>
      <c r="N65" s="74" t="s">
        <v>27</v>
      </c>
      <c r="O65" s="74" t="s">
        <v>28</v>
      </c>
      <c r="P65" s="74" t="s">
        <v>29</v>
      </c>
      <c r="Q65" s="74" t="s">
        <v>30</v>
      </c>
      <c r="R65" s="74" t="s">
        <v>31</v>
      </c>
      <c r="S65" s="74" t="s">
        <v>32</v>
      </c>
      <c r="T65" s="74" t="s">
        <v>33</v>
      </c>
      <c r="U65" s="74" t="s">
        <v>34</v>
      </c>
      <c r="V65" s="74" t="s">
        <v>35</v>
      </c>
    </row>
    <row r="66" spans="2:22" s="35" customFormat="1" ht="15" customHeight="1">
      <c r="B66" s="28"/>
      <c r="C66" s="38" t="s">
        <v>36</v>
      </c>
      <c r="D66" s="36" t="s">
        <v>56</v>
      </c>
      <c r="E66" s="32">
        <v>1</v>
      </c>
      <c r="F66" s="36" t="s">
        <v>55</v>
      </c>
      <c r="G66" s="34" t="s">
        <v>68</v>
      </c>
      <c r="H66" s="31" t="s">
        <v>69</v>
      </c>
      <c r="I66" s="43">
        <v>190968</v>
      </c>
      <c r="J66" s="43">
        <v>216343</v>
      </c>
      <c r="K66" s="43">
        <v>252694</v>
      </c>
      <c r="L66" s="43">
        <v>321990</v>
      </c>
      <c r="M66" s="43">
        <v>235452</v>
      </c>
      <c r="N66" s="43">
        <v>265321</v>
      </c>
      <c r="O66" s="43">
        <v>207886</v>
      </c>
      <c r="P66" s="43">
        <v>295087</v>
      </c>
      <c r="Q66" s="43">
        <v>205977</v>
      </c>
      <c r="R66" s="43">
        <v>220208</v>
      </c>
      <c r="S66" s="43">
        <v>165122</v>
      </c>
      <c r="T66" s="43">
        <v>217296</v>
      </c>
      <c r="U66" s="33">
        <f>SUM(I66:T66)</f>
        <v>2794344</v>
      </c>
      <c r="V66" s="34"/>
    </row>
    <row r="67" spans="2:22" s="35" customFormat="1" ht="15" customHeight="1">
      <c r="B67" s="28"/>
      <c r="C67" s="112" t="s">
        <v>38</v>
      </c>
      <c r="D67" s="108" t="s">
        <v>57</v>
      </c>
      <c r="E67" s="102">
        <v>6</v>
      </c>
      <c r="F67" s="36" t="s">
        <v>59</v>
      </c>
      <c r="G67" s="41" t="s">
        <v>66</v>
      </c>
      <c r="H67" s="31" t="s">
        <v>41</v>
      </c>
      <c r="I67" s="32"/>
      <c r="J67" s="32"/>
      <c r="K67" s="32"/>
      <c r="L67" s="32"/>
      <c r="M67" s="32"/>
      <c r="N67" s="32"/>
      <c r="O67" s="32"/>
      <c r="P67" s="32"/>
      <c r="Q67" s="32"/>
      <c r="R67" s="32">
        <f>5*20</f>
        <v>100</v>
      </c>
      <c r="S67" s="32"/>
      <c r="T67" s="32"/>
      <c r="U67" s="33">
        <f t="shared" ref="U67:U79" si="9">SUM(I67:T67)</f>
        <v>100</v>
      </c>
      <c r="V67" s="34"/>
    </row>
    <row r="68" spans="2:22" s="35" customFormat="1" ht="15" customHeight="1">
      <c r="B68" s="28"/>
      <c r="C68" s="113"/>
      <c r="D68" s="125"/>
      <c r="E68" s="103"/>
      <c r="F68" s="36" t="s">
        <v>60</v>
      </c>
      <c r="G68" s="41" t="s">
        <v>66</v>
      </c>
      <c r="H68" s="31" t="s">
        <v>41</v>
      </c>
      <c r="I68" s="32">
        <f>1*20</f>
        <v>20</v>
      </c>
      <c r="J68" s="32"/>
      <c r="K68" s="32">
        <f>2*20</f>
        <v>40</v>
      </c>
      <c r="L68" s="32"/>
      <c r="M68" s="32"/>
      <c r="N68" s="32">
        <f>2*20</f>
        <v>40</v>
      </c>
      <c r="O68" s="32"/>
      <c r="P68" s="32"/>
      <c r="Q68" s="32"/>
      <c r="R68" s="32"/>
      <c r="S68" s="32"/>
      <c r="T68" s="32">
        <f>2*20</f>
        <v>40</v>
      </c>
      <c r="U68" s="33">
        <f t="shared" si="9"/>
        <v>140</v>
      </c>
      <c r="V68" s="34"/>
    </row>
    <row r="69" spans="2:22" s="35" customFormat="1" ht="15" customHeight="1">
      <c r="B69" s="14"/>
      <c r="C69" s="38" t="s">
        <v>40</v>
      </c>
      <c r="D69" s="40" t="s">
        <v>58</v>
      </c>
      <c r="E69" s="32">
        <v>1</v>
      </c>
      <c r="F69" s="36" t="s">
        <v>39</v>
      </c>
      <c r="G69" s="41" t="s">
        <v>67</v>
      </c>
      <c r="H69" s="42" t="s">
        <v>37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>
        <f t="shared" si="9"/>
        <v>0</v>
      </c>
      <c r="V69" s="34"/>
    </row>
    <row r="70" spans="2:22" s="35" customFormat="1" ht="15" customHeight="1">
      <c r="B70" s="14"/>
      <c r="C70" s="38" t="s">
        <v>42</v>
      </c>
      <c r="D70" s="40" t="s">
        <v>61</v>
      </c>
      <c r="E70" s="32">
        <v>10</v>
      </c>
      <c r="F70" s="36" t="s">
        <v>60</v>
      </c>
      <c r="G70" s="41" t="s">
        <v>66</v>
      </c>
      <c r="H70" s="42" t="s">
        <v>41</v>
      </c>
      <c r="I70" s="32"/>
      <c r="J70" s="32"/>
      <c r="K70" s="32"/>
      <c r="L70" s="32">
        <f>5*2.3</f>
        <v>11.5</v>
      </c>
      <c r="M70" s="32"/>
      <c r="N70" s="32"/>
      <c r="O70" s="32"/>
      <c r="P70" s="32"/>
      <c r="Q70" s="32"/>
      <c r="R70" s="32"/>
      <c r="S70" s="32"/>
      <c r="T70" s="32"/>
      <c r="U70" s="33">
        <f t="shared" si="9"/>
        <v>11.5</v>
      </c>
      <c r="V70" s="34"/>
    </row>
    <row r="71" spans="2:22" s="35" customFormat="1" ht="15" customHeight="1">
      <c r="B71" s="28"/>
      <c r="C71" s="112" t="s">
        <v>43</v>
      </c>
      <c r="D71" s="123" t="s">
        <v>44</v>
      </c>
      <c r="E71" s="102">
        <v>1</v>
      </c>
      <c r="F71" s="108" t="s">
        <v>45</v>
      </c>
      <c r="G71" s="110" t="s">
        <v>62</v>
      </c>
      <c r="H71" s="31" t="s">
        <v>46</v>
      </c>
      <c r="I71" s="32">
        <f>89000+86000+50000+30000+70000+90000</f>
        <v>415000</v>
      </c>
      <c r="J71" s="32">
        <f>94950+48450+73600+91050+90000+90000+100000</f>
        <v>588050</v>
      </c>
      <c r="K71" s="32">
        <f>95972+48450+96850+96850+96850+85000+90000</f>
        <v>609972</v>
      </c>
      <c r="L71" s="32">
        <f>97850+58100+48450+77500+100000+80000+100000+89000+50000</f>
        <v>700900</v>
      </c>
      <c r="M71" s="32">
        <f>100000+50000+80000+30000+100000+70000+100000+50000+87000+100000</f>
        <v>767000</v>
      </c>
      <c r="N71" s="32">
        <f>90000+90000+90000+50000+90000+90000+90000+50000+80000</f>
        <v>720000</v>
      </c>
      <c r="O71" s="32">
        <f>90000+100000+100000+100000+80000+100000+100000+100000</f>
        <v>770000</v>
      </c>
      <c r="P71" s="32">
        <f>100000+77000+98553+98000+90000+80000+50000+50000</f>
        <v>643553</v>
      </c>
      <c r="Q71" s="32">
        <f>93000+50000+40000+100000+80000+50000+60000+50000+92000</f>
        <v>615000</v>
      </c>
      <c r="R71" s="32">
        <f>100000+50000+60000+50000+40000+50000+50000+70000+40000+97000+100000+96000</f>
        <v>803000</v>
      </c>
      <c r="S71" s="32">
        <f>106000+50000+105000+88000+98000+100000+91000+89000</f>
        <v>727000</v>
      </c>
      <c r="T71" s="32">
        <f>92000+91000+80000+88000+84000+90000+89000</f>
        <v>614000</v>
      </c>
      <c r="U71" s="33">
        <f t="shared" si="9"/>
        <v>7973475</v>
      </c>
      <c r="V71" s="34"/>
    </row>
    <row r="72" spans="2:22" s="35" customFormat="1" ht="15" customHeight="1">
      <c r="B72" s="28"/>
      <c r="C72" s="116"/>
      <c r="D72" s="124"/>
      <c r="E72" s="103"/>
      <c r="F72" s="109"/>
      <c r="G72" s="111"/>
      <c r="H72" s="31" t="s">
        <v>37</v>
      </c>
      <c r="I72" s="43">
        <f>I71/'(참고)오피넷단가'!X23</f>
        <v>267.43826364901787</v>
      </c>
      <c r="J72" s="43">
        <f>J71/'(참고)오피넷단가'!Y23</f>
        <v>375.85887315841615</v>
      </c>
      <c r="K72" s="43">
        <f>K71/'(참고)오피넷단가'!Z23</f>
        <v>391.54732483872004</v>
      </c>
      <c r="L72" s="43">
        <f>L71/'(참고)오피넷단가'!AA23</f>
        <v>451.80586980204083</v>
      </c>
      <c r="M72" s="43">
        <f>M71/'(참고)오피넷단가'!AB23</f>
        <v>485.35395402109742</v>
      </c>
      <c r="N72" s="43">
        <f>N71/'(참고)오피넷단가'!AC23</f>
        <v>447.46066075024237</v>
      </c>
      <c r="O72" s="43">
        <f>O71/'(참고)오피넷단가'!AD23</f>
        <v>477.9907009081823</v>
      </c>
      <c r="P72" s="43">
        <f>P71/'(참고)오피넷단가'!AE23</f>
        <v>397.67470601684494</v>
      </c>
      <c r="Q72" s="43">
        <f>Q71/'(참고)오피넷단가'!AF23</f>
        <v>375.55417139925993</v>
      </c>
      <c r="R72" s="43">
        <f>R71/'(참고)오피넷단가'!AG23</f>
        <v>477.65775197487392</v>
      </c>
      <c r="S72" s="43">
        <f>S71/'(참고)오피넷단가'!AH23</f>
        <v>459.86172520889863</v>
      </c>
      <c r="T72" s="43">
        <f>T71/'(참고)오피넷단가'!AI23</f>
        <v>428.43287070956575</v>
      </c>
      <c r="U72" s="33">
        <f t="shared" si="9"/>
        <v>5036.6368724371596</v>
      </c>
      <c r="V72" s="34"/>
    </row>
    <row r="73" spans="2:22" s="35" customFormat="1" ht="15" customHeight="1">
      <c r="B73" s="28"/>
      <c r="C73" s="116"/>
      <c r="D73" s="124"/>
      <c r="E73" s="102">
        <v>3</v>
      </c>
      <c r="F73" s="108" t="s">
        <v>59</v>
      </c>
      <c r="G73" s="110" t="s">
        <v>62</v>
      </c>
      <c r="H73" s="31" t="s">
        <v>46</v>
      </c>
      <c r="I73" s="32">
        <f>1090265-I71</f>
        <v>675265</v>
      </c>
      <c r="J73" s="32">
        <f>1231973-J71</f>
        <v>643923</v>
      </c>
      <c r="K73" s="32">
        <f>1480922-K71</f>
        <v>870950</v>
      </c>
      <c r="L73" s="32">
        <f>1442119-L71</f>
        <v>741219</v>
      </c>
      <c r="M73" s="32">
        <f>1367142-M71</f>
        <v>600142</v>
      </c>
      <c r="N73" s="32">
        <f>1163534-N71</f>
        <v>443534</v>
      </c>
      <c r="O73" s="32">
        <f>1252893-O71</f>
        <v>482893</v>
      </c>
      <c r="P73" s="32">
        <f>1187006-P71</f>
        <v>543453</v>
      </c>
      <c r="Q73" s="32">
        <f>987759-Q71</f>
        <v>372759</v>
      </c>
      <c r="R73" s="32">
        <f>1230947-R71</f>
        <v>427947</v>
      </c>
      <c r="S73" s="32">
        <f>1397360-S71</f>
        <v>670360</v>
      </c>
      <c r="T73" s="32">
        <f>1089611-T71</f>
        <v>475611</v>
      </c>
      <c r="U73" s="33">
        <f t="shared" si="9"/>
        <v>6948056</v>
      </c>
      <c r="V73" s="34"/>
    </row>
    <row r="74" spans="2:22" s="35" customFormat="1" ht="15" customHeight="1">
      <c r="B74" s="28"/>
      <c r="C74" s="113"/>
      <c r="D74" s="109"/>
      <c r="E74" s="103"/>
      <c r="F74" s="109"/>
      <c r="G74" s="111"/>
      <c r="H74" s="31" t="s">
        <v>37</v>
      </c>
      <c r="I74" s="43">
        <f>I73/'(참고)오피넷단가'!X24</f>
        <v>502.08189273791197</v>
      </c>
      <c r="J74" s="43">
        <f>J73/'(참고)오피넷단가'!Y24</f>
        <v>473.33009901426772</v>
      </c>
      <c r="K74" s="43">
        <f>K73/'(참고)오피넷단가'!Z24</f>
        <v>642.96682366489983</v>
      </c>
      <c r="L74" s="43">
        <f>L73/'(참고)오피넷단가'!AA24</f>
        <v>549.43367974737964</v>
      </c>
      <c r="M74" s="43">
        <f>M73/'(참고)오피넷단가'!AB24</f>
        <v>434.80988813539676</v>
      </c>
      <c r="N74" s="43">
        <f>N73/'(참고)오피넷단가'!AC24</f>
        <v>314.56088963908059</v>
      </c>
      <c r="O74" s="43">
        <f>O73/'(참고)오피넷단가'!AD24</f>
        <v>342.02854410879343</v>
      </c>
      <c r="P74" s="43">
        <f>P73/'(참고)오피넷단가'!AE24</f>
        <v>382.94800335416767</v>
      </c>
      <c r="Q74" s="43">
        <f>Q73/'(참고)오피넷단가'!AF24</f>
        <v>259.05290736866976</v>
      </c>
      <c r="R74" s="43">
        <f>R73/'(참고)오피넷단가'!AG24</f>
        <v>288.17591682266908</v>
      </c>
      <c r="S74" s="43">
        <f>S73/'(참고)오피넷단가'!AH24</f>
        <v>470.54033944941244</v>
      </c>
      <c r="T74" s="43">
        <f>T73/'(참고)오피넷단가'!AI24</f>
        <v>359.19296735165511</v>
      </c>
      <c r="U74" s="33">
        <f t="shared" ref="U74:U77" si="10">SUM(I74:T74)</f>
        <v>5019.1219513943042</v>
      </c>
      <c r="V74" s="34"/>
    </row>
    <row r="75" spans="2:22" s="35" customFormat="1" ht="15" customHeight="1">
      <c r="B75" s="28"/>
      <c r="C75" s="112" t="s">
        <v>47</v>
      </c>
      <c r="D75" s="114" t="s">
        <v>186</v>
      </c>
      <c r="E75" s="102">
        <v>1</v>
      </c>
      <c r="F75" s="108" t="s">
        <v>39</v>
      </c>
      <c r="G75" s="110" t="s">
        <v>62</v>
      </c>
      <c r="H75" s="31" t="s">
        <v>46</v>
      </c>
      <c r="I75" s="32">
        <v>45454</v>
      </c>
      <c r="J75" s="32">
        <v>45455</v>
      </c>
      <c r="K75" s="32">
        <v>95455</v>
      </c>
      <c r="L75" s="32">
        <v>50000</v>
      </c>
      <c r="M75" s="32">
        <v>0</v>
      </c>
      <c r="N75" s="32">
        <v>50000</v>
      </c>
      <c r="O75" s="32">
        <v>82844</v>
      </c>
      <c r="P75" s="32">
        <v>37220</v>
      </c>
      <c r="Q75" s="32">
        <v>84396</v>
      </c>
      <c r="R75" s="32">
        <v>50000</v>
      </c>
      <c r="S75" s="32">
        <v>50000</v>
      </c>
      <c r="T75" s="32">
        <v>70000</v>
      </c>
      <c r="U75" s="33">
        <f t="shared" si="10"/>
        <v>660824</v>
      </c>
      <c r="V75" s="34"/>
    </row>
    <row r="76" spans="2:22" s="35" customFormat="1" ht="14.4" customHeight="1">
      <c r="B76" s="28"/>
      <c r="C76" s="116"/>
      <c r="D76" s="117"/>
      <c r="E76" s="107"/>
      <c r="F76" s="109"/>
      <c r="G76" s="111"/>
      <c r="H76" s="31" t="s">
        <v>37</v>
      </c>
      <c r="I76" s="43">
        <f>I75/'(참고)오피넷단가'!X24</f>
        <v>33.796554467518753</v>
      </c>
      <c r="J76" s="43">
        <f>J75/'(참고)오피넷단가'!Y24</f>
        <v>33.412721164942923</v>
      </c>
      <c r="K76" s="43">
        <f>K75/'(참고)오피넷단가'!Z24</f>
        <v>70.468337049122241</v>
      </c>
      <c r="L76" s="43">
        <f>L75/'(참고)오피넷단가'!AA24</f>
        <v>37.062843757875854</v>
      </c>
      <c r="M76" s="43">
        <f>M75/'(참고)오피넷단가'!AB24</f>
        <v>0</v>
      </c>
      <c r="N76" s="43">
        <f>N75/'(참고)오피넷단가'!AC24</f>
        <v>35.460741413181466</v>
      </c>
      <c r="O76" s="43">
        <f>O75/'(참고)오피넷단가'!AD24</f>
        <v>58.677621560364067</v>
      </c>
      <c r="P76" s="43">
        <f>P75/'(참고)오피넷단가'!AE24</f>
        <v>26.227336466708476</v>
      </c>
      <c r="Q76" s="43">
        <f>Q75/'(참고)오피넷단가'!AF24</f>
        <v>58.651914964591739</v>
      </c>
      <c r="R76" s="43">
        <f>R75/'(참고)오피넷단가'!AG24</f>
        <v>33.669580207673974</v>
      </c>
      <c r="S76" s="43">
        <f>S75/'(참고)오피넷단가'!AH24</f>
        <v>35.096093102915781</v>
      </c>
      <c r="T76" s="43">
        <f>T75/'(참고)오피넷단가'!AI24</f>
        <v>52.865698469160421</v>
      </c>
      <c r="U76" s="33">
        <f t="shared" si="10"/>
        <v>475.38944262405573</v>
      </c>
      <c r="V76" s="34"/>
    </row>
    <row r="77" spans="2:22" s="35" customFormat="1" ht="15" customHeight="1">
      <c r="B77" s="28"/>
      <c r="C77" s="38" t="s">
        <v>48</v>
      </c>
      <c r="D77" s="39" t="s">
        <v>64</v>
      </c>
      <c r="E77" s="32">
        <v>1</v>
      </c>
      <c r="F77" s="36" t="s">
        <v>39</v>
      </c>
      <c r="G77" s="37" t="s">
        <v>63</v>
      </c>
      <c r="H77" s="31" t="s">
        <v>37</v>
      </c>
      <c r="I77" s="32">
        <v>32</v>
      </c>
      <c r="J77" s="32">
        <v>28</v>
      </c>
      <c r="K77" s="32">
        <v>71</v>
      </c>
      <c r="L77" s="32">
        <v>68</v>
      </c>
      <c r="M77" s="32">
        <v>31</v>
      </c>
      <c r="N77" s="32">
        <v>69</v>
      </c>
      <c r="O77" s="32">
        <v>99</v>
      </c>
      <c r="P77" s="32">
        <v>100</v>
      </c>
      <c r="Q77" s="32">
        <v>33</v>
      </c>
      <c r="R77" s="32">
        <v>65</v>
      </c>
      <c r="S77" s="32">
        <v>53</v>
      </c>
      <c r="T77" s="32">
        <v>54</v>
      </c>
      <c r="U77" s="33">
        <f t="shared" si="10"/>
        <v>703</v>
      </c>
      <c r="V77" s="34"/>
    </row>
    <row r="78" spans="2:22" s="35" customFormat="1" ht="15" customHeight="1">
      <c r="B78" s="28"/>
      <c r="C78" s="112" t="s">
        <v>49</v>
      </c>
      <c r="D78" s="114" t="s">
        <v>65</v>
      </c>
      <c r="E78" s="102">
        <v>1</v>
      </c>
      <c r="F78" s="36" t="s">
        <v>39</v>
      </c>
      <c r="G78" s="37" t="s">
        <v>63</v>
      </c>
      <c r="H78" s="31" t="s">
        <v>37</v>
      </c>
      <c r="I78" s="32">
        <v>4136</v>
      </c>
      <c r="J78" s="32">
        <v>4247</v>
      </c>
      <c r="K78" s="32">
        <v>5138</v>
      </c>
      <c r="L78" s="32">
        <v>5800</v>
      </c>
      <c r="M78" s="32">
        <v>4886</v>
      </c>
      <c r="N78" s="32">
        <v>6021</v>
      </c>
      <c r="O78" s="32">
        <v>4585</v>
      </c>
      <c r="P78" s="32">
        <v>6339</v>
      </c>
      <c r="Q78" s="32">
        <v>4408</v>
      </c>
      <c r="R78" s="32">
        <v>5045</v>
      </c>
      <c r="S78" s="32">
        <v>4529</v>
      </c>
      <c r="T78" s="32">
        <v>4565</v>
      </c>
      <c r="U78" s="33">
        <f t="shared" si="9"/>
        <v>59699</v>
      </c>
      <c r="V78" s="34"/>
    </row>
    <row r="79" spans="2:22" s="35" customFormat="1" ht="15" customHeight="1">
      <c r="B79" s="28"/>
      <c r="C79" s="113"/>
      <c r="D79" s="115"/>
      <c r="E79" s="103"/>
      <c r="F79" s="29" t="s">
        <v>187</v>
      </c>
      <c r="G79" s="30" t="s">
        <v>188</v>
      </c>
      <c r="H79" s="31" t="s">
        <v>37</v>
      </c>
      <c r="I79" s="32">
        <v>0</v>
      </c>
      <c r="J79" s="32">
        <v>100</v>
      </c>
      <c r="K79" s="32">
        <v>100</v>
      </c>
      <c r="L79" s="32">
        <v>100</v>
      </c>
      <c r="M79" s="32">
        <v>100</v>
      </c>
      <c r="N79" s="32">
        <v>100</v>
      </c>
      <c r="O79" s="32">
        <v>100</v>
      </c>
      <c r="P79" s="32">
        <v>200</v>
      </c>
      <c r="Q79" s="32">
        <v>100</v>
      </c>
      <c r="R79" s="32">
        <v>100</v>
      </c>
      <c r="S79" s="32">
        <v>100</v>
      </c>
      <c r="T79" s="32">
        <v>100</v>
      </c>
      <c r="U79" s="33">
        <f t="shared" si="9"/>
        <v>1200</v>
      </c>
      <c r="V79" s="34"/>
    </row>
    <row r="80" spans="2:22" s="35" customFormat="1" ht="15" customHeight="1">
      <c r="B80" s="28"/>
      <c r="C80" s="38" t="s">
        <v>50</v>
      </c>
      <c r="D80" s="44" t="s">
        <v>51</v>
      </c>
      <c r="E80" s="45" t="s">
        <v>185</v>
      </c>
      <c r="F80" s="44" t="s">
        <v>52</v>
      </c>
      <c r="G80" s="46" t="s">
        <v>53</v>
      </c>
      <c r="H80" s="47" t="s">
        <v>54</v>
      </c>
      <c r="I80" s="43">
        <v>1218300</v>
      </c>
      <c r="J80" s="43">
        <v>1266240</v>
      </c>
      <c r="K80" s="43">
        <v>1623420</v>
      </c>
      <c r="L80" s="43">
        <v>1944060</v>
      </c>
      <c r="M80" s="43">
        <v>1594380</v>
      </c>
      <c r="N80" s="43">
        <v>1832880</v>
      </c>
      <c r="O80" s="43">
        <v>1203540</v>
      </c>
      <c r="P80" s="43">
        <v>1771560</v>
      </c>
      <c r="Q80" s="43">
        <v>1329060</v>
      </c>
      <c r="R80" s="43">
        <v>1469220</v>
      </c>
      <c r="S80" s="43">
        <v>1054980</v>
      </c>
      <c r="T80" s="43">
        <v>1442520</v>
      </c>
      <c r="U80" s="33">
        <f t="shared" ref="U80" si="11">SUM(I80:T80)</f>
        <v>17750160</v>
      </c>
      <c r="V80" s="34"/>
    </row>
    <row r="81"/>
    <row r="82"/>
    <row r="83"/>
    <row r="84"/>
    <row r="85"/>
    <row r="86"/>
    <row r="87"/>
    <row r="88"/>
    <row r="89"/>
    <row r="90"/>
  </sheetData>
  <mergeCells count="92">
    <mergeCell ref="F75:F76"/>
    <mergeCell ref="G75:G76"/>
    <mergeCell ref="C4:G4"/>
    <mergeCell ref="F18:F19"/>
    <mergeCell ref="G18:G19"/>
    <mergeCell ref="C37:C38"/>
    <mergeCell ref="D37:D38"/>
    <mergeCell ref="C71:C74"/>
    <mergeCell ref="D71:D74"/>
    <mergeCell ref="F71:F72"/>
    <mergeCell ref="G71:G72"/>
    <mergeCell ref="F73:F74"/>
    <mergeCell ref="G73:G74"/>
    <mergeCell ref="C64:C65"/>
    <mergeCell ref="D64:H64"/>
    <mergeCell ref="D45:H45"/>
    <mergeCell ref="I64:T64"/>
    <mergeCell ref="C67:C68"/>
    <mergeCell ref="D67:D68"/>
    <mergeCell ref="F56:F57"/>
    <mergeCell ref="G56:G57"/>
    <mergeCell ref="I45:T45"/>
    <mergeCell ref="C48:C49"/>
    <mergeCell ref="D48:D49"/>
    <mergeCell ref="C52:C55"/>
    <mergeCell ref="D52:D55"/>
    <mergeCell ref="F52:F53"/>
    <mergeCell ref="G52:G53"/>
    <mergeCell ref="F54:F55"/>
    <mergeCell ref="G54:G55"/>
    <mergeCell ref="I26:T26"/>
    <mergeCell ref="C29:C30"/>
    <mergeCell ref="D29:D30"/>
    <mergeCell ref="C26:C27"/>
    <mergeCell ref="C14:C17"/>
    <mergeCell ref="D14:D17"/>
    <mergeCell ref="E16:E17"/>
    <mergeCell ref="C18:C19"/>
    <mergeCell ref="D18:D19"/>
    <mergeCell ref="E18:E19"/>
    <mergeCell ref="E29:E30"/>
    <mergeCell ref="C21:C22"/>
    <mergeCell ref="D21:D22"/>
    <mergeCell ref="I7:T7"/>
    <mergeCell ref="F14:F15"/>
    <mergeCell ref="G14:G15"/>
    <mergeCell ref="C10:C11"/>
    <mergeCell ref="D10:D11"/>
    <mergeCell ref="E14:E15"/>
    <mergeCell ref="E10:E11"/>
    <mergeCell ref="E71:E72"/>
    <mergeCell ref="E73:E74"/>
    <mergeCell ref="C45:C46"/>
    <mergeCell ref="C7:C8"/>
    <mergeCell ref="D7:H7"/>
    <mergeCell ref="F16:F17"/>
    <mergeCell ref="G16:G17"/>
    <mergeCell ref="D26:H26"/>
    <mergeCell ref="C33:C36"/>
    <mergeCell ref="D33:D36"/>
    <mergeCell ref="F33:F34"/>
    <mergeCell ref="G33:G34"/>
    <mergeCell ref="F35:F36"/>
    <mergeCell ref="G35:G36"/>
    <mergeCell ref="E33:E34"/>
    <mergeCell ref="E35:E36"/>
    <mergeCell ref="C40:C41"/>
    <mergeCell ref="D40:D41"/>
    <mergeCell ref="C59:C60"/>
    <mergeCell ref="D59:D60"/>
    <mergeCell ref="C78:C79"/>
    <mergeCell ref="D78:D79"/>
    <mergeCell ref="C75:C76"/>
    <mergeCell ref="C56:C57"/>
    <mergeCell ref="D56:D57"/>
    <mergeCell ref="D75:D76"/>
    <mergeCell ref="H4:J4"/>
    <mergeCell ref="E21:E22"/>
    <mergeCell ref="E40:E41"/>
    <mergeCell ref="E59:E60"/>
    <mergeCell ref="E78:E79"/>
    <mergeCell ref="H5:L5"/>
    <mergeCell ref="H6:R6"/>
    <mergeCell ref="E37:E38"/>
    <mergeCell ref="F37:F38"/>
    <mergeCell ref="G37:G38"/>
    <mergeCell ref="E56:E57"/>
    <mergeCell ref="E75:E76"/>
    <mergeCell ref="E48:E49"/>
    <mergeCell ref="E52:E53"/>
    <mergeCell ref="E54:E55"/>
    <mergeCell ref="E67:E68"/>
  </mergeCells>
  <phoneticPr fontId="3" type="noConversion"/>
  <pageMargins left="0.25" right="0.25" top="0.75" bottom="0.75" header="0.3" footer="0.3"/>
  <pageSetup paperSize="9" scale="46" fitToHeight="0" orientation="landscape" verticalDpi="300" r:id="rId1"/>
  <colBreaks count="1" manualBreakCount="1">
    <brk id="22" max="7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8"/>
  <sheetViews>
    <sheetView showGridLines="0" topLeftCell="O1" workbookViewId="0">
      <selection activeCell="U23" sqref="U23:U34"/>
    </sheetView>
  </sheetViews>
  <sheetFormatPr defaultRowHeight="17.399999999999999"/>
  <cols>
    <col min="1" max="1" width="12.5" customWidth="1"/>
    <col min="2" max="2" width="14.59765625" customWidth="1"/>
    <col min="3" max="3" width="2.3984375" customWidth="1"/>
    <col min="4" max="4" width="14.69921875" customWidth="1"/>
    <col min="18" max="18" width="3.19921875" customWidth="1"/>
    <col min="19" max="19" width="12.8984375" customWidth="1"/>
    <col min="21" max="21" width="12.8984375" customWidth="1"/>
    <col min="23" max="23" width="17.19921875" bestFit="1" customWidth="1"/>
    <col min="24" max="35" width="10.8984375" bestFit="1" customWidth="1"/>
  </cols>
  <sheetData>
    <row r="1" spans="1:35" ht="27.6">
      <c r="A1" s="18" t="s">
        <v>70</v>
      </c>
      <c r="S1" s="19" t="s">
        <v>71</v>
      </c>
    </row>
    <row r="2" spans="1:35">
      <c r="A2" s="129" t="s">
        <v>72</v>
      </c>
      <c r="B2" s="130"/>
    </row>
    <row r="3" spans="1:35">
      <c r="A3" s="20" t="s">
        <v>73</v>
      </c>
      <c r="B3" s="20" t="s">
        <v>74</v>
      </c>
      <c r="S3" s="18" t="s">
        <v>75</v>
      </c>
    </row>
    <row r="4" spans="1:35">
      <c r="A4" s="21" t="s">
        <v>76</v>
      </c>
      <c r="B4" s="21">
        <v>887.75</v>
      </c>
      <c r="S4" s="18" t="s">
        <v>77</v>
      </c>
    </row>
    <row r="5" spans="1:35">
      <c r="A5" s="21" t="s">
        <v>78</v>
      </c>
      <c r="B5" s="21">
        <v>809.48</v>
      </c>
      <c r="S5" s="18" t="s">
        <v>79</v>
      </c>
    </row>
    <row r="6" spans="1:35">
      <c r="A6" s="21" t="s">
        <v>80</v>
      </c>
      <c r="B6" s="21">
        <v>806.37</v>
      </c>
      <c r="D6" s="20" t="s">
        <v>73</v>
      </c>
      <c r="E6" s="21" t="s">
        <v>76</v>
      </c>
      <c r="F6" s="21" t="s">
        <v>78</v>
      </c>
      <c r="G6" s="21" t="s">
        <v>80</v>
      </c>
      <c r="H6" s="21" t="s">
        <v>81</v>
      </c>
      <c r="I6" s="21" t="s">
        <v>82</v>
      </c>
      <c r="J6" s="21" t="s">
        <v>83</v>
      </c>
      <c r="K6" s="21" t="s">
        <v>84</v>
      </c>
      <c r="L6" s="21" t="s">
        <v>85</v>
      </c>
      <c r="M6" s="21" t="s">
        <v>86</v>
      </c>
      <c r="N6" s="21" t="s">
        <v>87</v>
      </c>
      <c r="O6" s="21" t="s">
        <v>88</v>
      </c>
      <c r="P6" s="21" t="s">
        <v>89</v>
      </c>
    </row>
    <row r="7" spans="1:35">
      <c r="A7" s="21" t="s">
        <v>81</v>
      </c>
      <c r="B7" s="21">
        <v>826.99</v>
      </c>
      <c r="D7" s="20" t="s">
        <v>74</v>
      </c>
      <c r="E7" s="21">
        <v>887.75</v>
      </c>
      <c r="F7" s="21">
        <v>809.48</v>
      </c>
      <c r="G7" s="21">
        <v>806.37</v>
      </c>
      <c r="H7" s="21">
        <v>826.99</v>
      </c>
      <c r="I7" s="21">
        <v>818.18</v>
      </c>
      <c r="J7" s="21">
        <v>817.21</v>
      </c>
      <c r="K7" s="21">
        <v>804.64</v>
      </c>
      <c r="L7" s="21">
        <v>804</v>
      </c>
      <c r="M7" s="21">
        <v>794.46</v>
      </c>
      <c r="N7" s="21">
        <v>764.1</v>
      </c>
      <c r="O7" s="21">
        <v>762.01</v>
      </c>
      <c r="P7" s="21">
        <v>782.08</v>
      </c>
      <c r="S7" s="18" t="s">
        <v>90</v>
      </c>
    </row>
    <row r="8" spans="1:35">
      <c r="A8" s="21" t="s">
        <v>82</v>
      </c>
      <c r="B8" s="21">
        <v>818.18</v>
      </c>
    </row>
    <row r="9" spans="1:35">
      <c r="A9" s="21" t="s">
        <v>83</v>
      </c>
      <c r="B9" s="21">
        <v>817.21</v>
      </c>
      <c r="D9" s="20" t="s">
        <v>73</v>
      </c>
      <c r="E9" s="21" t="s">
        <v>91</v>
      </c>
      <c r="F9" s="21" t="s">
        <v>92</v>
      </c>
      <c r="G9" s="21" t="s">
        <v>93</v>
      </c>
      <c r="H9" s="21" t="s">
        <v>94</v>
      </c>
      <c r="I9" s="21" t="s">
        <v>95</v>
      </c>
      <c r="J9" s="21" t="s">
        <v>96</v>
      </c>
      <c r="K9" s="21" t="s">
        <v>97</v>
      </c>
      <c r="L9" s="21" t="s">
        <v>98</v>
      </c>
      <c r="M9" s="21" t="s">
        <v>99</v>
      </c>
      <c r="N9" s="21" t="s">
        <v>100</v>
      </c>
      <c r="O9" s="21" t="s">
        <v>101</v>
      </c>
      <c r="P9" s="21" t="s">
        <v>102</v>
      </c>
      <c r="S9" s="129" t="s">
        <v>103</v>
      </c>
      <c r="T9" s="130"/>
      <c r="U9" s="130"/>
    </row>
    <row r="10" spans="1:35" ht="31.2">
      <c r="A10" s="21" t="s">
        <v>84</v>
      </c>
      <c r="B10" s="21">
        <v>804.64</v>
      </c>
      <c r="D10" s="20" t="s">
        <v>74</v>
      </c>
      <c r="E10" s="21">
        <v>782.02</v>
      </c>
      <c r="F10" s="21">
        <v>772.04</v>
      </c>
      <c r="G10" s="21">
        <v>742.07</v>
      </c>
      <c r="H10" s="21">
        <v>731.15</v>
      </c>
      <c r="I10" s="21">
        <v>731.06</v>
      </c>
      <c r="J10" s="21">
        <v>741.21</v>
      </c>
      <c r="K10" s="21">
        <v>736.01</v>
      </c>
      <c r="L10" s="21">
        <v>706.68</v>
      </c>
      <c r="M10" s="21">
        <v>696.61</v>
      </c>
      <c r="N10" s="21">
        <v>694.33</v>
      </c>
      <c r="O10" s="21">
        <v>724.93</v>
      </c>
      <c r="P10" s="21">
        <v>751.61</v>
      </c>
      <c r="S10" s="20" t="s">
        <v>104</v>
      </c>
      <c r="T10" s="20" t="s">
        <v>105</v>
      </c>
      <c r="U10" s="20" t="s">
        <v>106</v>
      </c>
      <c r="W10" s="20" t="s">
        <v>104</v>
      </c>
      <c r="X10" s="20" t="s">
        <v>107</v>
      </c>
      <c r="Y10" s="20" t="s">
        <v>108</v>
      </c>
      <c r="Z10" s="20" t="s">
        <v>109</v>
      </c>
      <c r="AA10" s="20" t="s">
        <v>110</v>
      </c>
      <c r="AB10" s="20" t="s">
        <v>111</v>
      </c>
      <c r="AC10" s="20" t="s">
        <v>112</v>
      </c>
      <c r="AD10" s="20" t="s">
        <v>113</v>
      </c>
      <c r="AE10" s="20" t="s">
        <v>114</v>
      </c>
      <c r="AF10" s="20" t="s">
        <v>115</v>
      </c>
      <c r="AG10" s="20" t="s">
        <v>116</v>
      </c>
      <c r="AH10" s="20" t="s">
        <v>117</v>
      </c>
      <c r="AI10" s="20" t="s">
        <v>118</v>
      </c>
    </row>
    <row r="11" spans="1:35">
      <c r="A11" s="21" t="s">
        <v>85</v>
      </c>
      <c r="B11" s="21">
        <v>804</v>
      </c>
      <c r="S11" s="20" t="s">
        <v>107</v>
      </c>
      <c r="T11" s="21">
        <v>1504.82</v>
      </c>
      <c r="U11" s="21">
        <v>1330.47</v>
      </c>
      <c r="W11" s="20" t="s">
        <v>119</v>
      </c>
      <c r="X11" s="21">
        <v>1504.82</v>
      </c>
      <c r="Y11" s="21">
        <v>1439.09</v>
      </c>
      <c r="Z11" s="21">
        <v>1507.7</v>
      </c>
      <c r="AA11" s="21">
        <v>1507.44</v>
      </c>
      <c r="AB11" s="21">
        <v>1542.2</v>
      </c>
      <c r="AC11" s="21">
        <v>1580.03</v>
      </c>
      <c r="AD11" s="21">
        <v>1576.02</v>
      </c>
      <c r="AE11" s="21">
        <v>1544.49</v>
      </c>
      <c r="AF11" s="21">
        <v>1511.5</v>
      </c>
      <c r="AG11" s="21">
        <v>1498.67</v>
      </c>
      <c r="AH11" s="21">
        <v>1473.58</v>
      </c>
      <c r="AI11" s="21">
        <v>1432.92</v>
      </c>
    </row>
    <row r="12" spans="1:35" ht="31.2">
      <c r="A12" s="21" t="s">
        <v>86</v>
      </c>
      <c r="B12" s="21">
        <v>794.46</v>
      </c>
      <c r="D12" s="20" t="s">
        <v>73</v>
      </c>
      <c r="E12" s="21" t="s">
        <v>120</v>
      </c>
      <c r="F12" s="21" t="s">
        <v>121</v>
      </c>
      <c r="G12" s="21" t="s">
        <v>122</v>
      </c>
      <c r="H12" s="21" t="s">
        <v>123</v>
      </c>
      <c r="I12" s="21" t="s">
        <v>124</v>
      </c>
      <c r="J12" s="21" t="s">
        <v>125</v>
      </c>
      <c r="K12" s="21" t="s">
        <v>126</v>
      </c>
      <c r="L12" s="21" t="s">
        <v>127</v>
      </c>
      <c r="M12" s="21" t="s">
        <v>128</v>
      </c>
      <c r="N12" s="21" t="s">
        <v>129</v>
      </c>
      <c r="O12" s="21" t="s">
        <v>130</v>
      </c>
      <c r="P12" s="21" t="s">
        <v>131</v>
      </c>
      <c r="S12" s="20" t="s">
        <v>108</v>
      </c>
      <c r="T12" s="21">
        <v>1439.09</v>
      </c>
      <c r="U12" s="21">
        <v>1277.1199999999999</v>
      </c>
      <c r="W12" s="20" t="s">
        <v>132</v>
      </c>
      <c r="X12" s="21">
        <v>1330.47</v>
      </c>
      <c r="Y12" s="21">
        <v>1277.1199999999999</v>
      </c>
      <c r="Z12" s="21">
        <v>1326.82</v>
      </c>
      <c r="AA12" s="21">
        <v>1320.18</v>
      </c>
      <c r="AB12" s="21">
        <v>1343.53</v>
      </c>
      <c r="AC12" s="21">
        <v>1368.8</v>
      </c>
      <c r="AD12" s="21">
        <v>1354.65</v>
      </c>
      <c r="AE12" s="21">
        <v>1307.77</v>
      </c>
      <c r="AF12" s="21">
        <v>1263.79</v>
      </c>
      <c r="AG12" s="21">
        <v>1251.92</v>
      </c>
      <c r="AH12" s="21">
        <v>1234.95</v>
      </c>
      <c r="AI12" s="21">
        <v>1211.03</v>
      </c>
    </row>
    <row r="13" spans="1:35">
      <c r="A13" s="21" t="s">
        <v>87</v>
      </c>
      <c r="B13" s="21">
        <v>764.1</v>
      </c>
      <c r="D13" s="20" t="s">
        <v>74</v>
      </c>
      <c r="E13" s="21">
        <v>752.07</v>
      </c>
      <c r="F13" s="21">
        <v>805.18</v>
      </c>
      <c r="G13" s="21">
        <v>858.48</v>
      </c>
      <c r="H13" s="21">
        <v>858.08</v>
      </c>
      <c r="I13" s="21">
        <v>842.31</v>
      </c>
      <c r="J13" s="21">
        <v>804.69</v>
      </c>
      <c r="K13" s="21">
        <v>786.58</v>
      </c>
      <c r="L13" s="21">
        <v>785.54</v>
      </c>
      <c r="M13" s="21">
        <v>813.4</v>
      </c>
      <c r="N13" s="21">
        <v>841.19</v>
      </c>
      <c r="O13" s="21">
        <v>884.63</v>
      </c>
      <c r="P13" s="21">
        <v>885.06</v>
      </c>
      <c r="S13" s="20" t="s">
        <v>109</v>
      </c>
      <c r="T13" s="21">
        <v>1507.7</v>
      </c>
      <c r="U13" s="21">
        <v>1326.82</v>
      </c>
    </row>
    <row r="14" spans="1:35">
      <c r="A14" s="21" t="s">
        <v>88</v>
      </c>
      <c r="B14" s="21">
        <v>762.01</v>
      </c>
      <c r="S14" s="20" t="s">
        <v>110</v>
      </c>
      <c r="T14" s="21">
        <v>1507.44</v>
      </c>
      <c r="U14" s="21">
        <v>1320.18</v>
      </c>
      <c r="W14" s="20" t="s">
        <v>104</v>
      </c>
      <c r="X14" s="20" t="s">
        <v>133</v>
      </c>
      <c r="Y14" s="20" t="s">
        <v>134</v>
      </c>
      <c r="Z14" s="20" t="s">
        <v>135</v>
      </c>
      <c r="AA14" s="20" t="s">
        <v>136</v>
      </c>
      <c r="AB14" s="20" t="s">
        <v>137</v>
      </c>
      <c r="AC14" s="20" t="s">
        <v>138</v>
      </c>
      <c r="AD14" s="20" t="s">
        <v>139</v>
      </c>
      <c r="AE14" s="20" t="s">
        <v>140</v>
      </c>
      <c r="AF14" s="20" t="s">
        <v>141</v>
      </c>
      <c r="AG14" s="20" t="s">
        <v>142</v>
      </c>
      <c r="AH14" s="20" t="s">
        <v>143</v>
      </c>
      <c r="AI14" s="20" t="s">
        <v>144</v>
      </c>
    </row>
    <row r="15" spans="1:35">
      <c r="A15" s="21" t="s">
        <v>89</v>
      </c>
      <c r="B15" s="21">
        <v>782.08</v>
      </c>
      <c r="D15" s="20" t="s">
        <v>73</v>
      </c>
      <c r="E15" s="21" t="s">
        <v>145</v>
      </c>
      <c r="F15" s="21" t="s">
        <v>146</v>
      </c>
      <c r="G15" s="21" t="s">
        <v>147</v>
      </c>
      <c r="H15" s="21" t="s">
        <v>148</v>
      </c>
      <c r="I15" s="21" t="s">
        <v>149</v>
      </c>
      <c r="J15" s="21" t="s">
        <v>150</v>
      </c>
      <c r="K15" s="21" t="s">
        <v>151</v>
      </c>
      <c r="L15" s="21" t="s">
        <v>152</v>
      </c>
      <c r="M15" s="21" t="s">
        <v>153</v>
      </c>
      <c r="N15" s="21" t="s">
        <v>154</v>
      </c>
      <c r="O15" s="21" t="s">
        <v>155</v>
      </c>
      <c r="P15" s="21" t="s">
        <v>156</v>
      </c>
      <c r="S15" s="20" t="s">
        <v>111</v>
      </c>
      <c r="T15" s="21">
        <v>1542.2</v>
      </c>
      <c r="U15" s="21">
        <v>1343.53</v>
      </c>
      <c r="W15" s="20" t="s">
        <v>119</v>
      </c>
      <c r="X15" s="21">
        <v>1385.25</v>
      </c>
      <c r="Y15" s="21">
        <v>1351.65</v>
      </c>
      <c r="Z15" s="21">
        <v>1350.13</v>
      </c>
      <c r="AA15" s="21">
        <v>1361.74</v>
      </c>
      <c r="AB15" s="21">
        <v>1388.74</v>
      </c>
      <c r="AC15" s="21">
        <v>1437.57</v>
      </c>
      <c r="AD15" s="21">
        <v>1437.15</v>
      </c>
      <c r="AE15" s="21">
        <v>1411.69</v>
      </c>
      <c r="AF15" s="21">
        <v>1408.2</v>
      </c>
      <c r="AG15" s="21">
        <v>1416.6</v>
      </c>
      <c r="AH15" s="21">
        <v>1426.95</v>
      </c>
      <c r="AI15" s="21">
        <v>1454.61</v>
      </c>
    </row>
    <row r="16" spans="1:35" ht="31.2">
      <c r="A16" s="21" t="s">
        <v>91</v>
      </c>
      <c r="B16" s="21">
        <v>782.02</v>
      </c>
      <c r="D16" s="20" t="s">
        <v>74</v>
      </c>
      <c r="E16" s="21">
        <v>885.28</v>
      </c>
      <c r="F16" s="21">
        <v>885.96</v>
      </c>
      <c r="G16" s="21">
        <v>857.18</v>
      </c>
      <c r="H16" s="21">
        <v>828.72</v>
      </c>
      <c r="I16" s="21">
        <v>826.94</v>
      </c>
      <c r="J16" s="21">
        <v>843.7</v>
      </c>
      <c r="K16" s="21">
        <v>869.1</v>
      </c>
      <c r="L16" s="21">
        <v>894.82</v>
      </c>
      <c r="M16" s="21">
        <v>895.38</v>
      </c>
      <c r="N16" s="21">
        <v>934.19</v>
      </c>
      <c r="O16" s="21">
        <v>910.45</v>
      </c>
      <c r="P16" s="21">
        <v>863.35</v>
      </c>
      <c r="S16" s="20" t="s">
        <v>112</v>
      </c>
      <c r="T16" s="21">
        <v>1580.03</v>
      </c>
      <c r="U16" s="21">
        <v>1368.8</v>
      </c>
      <c r="W16" s="20" t="s">
        <v>132</v>
      </c>
      <c r="X16" s="21">
        <v>1157.33</v>
      </c>
      <c r="Y16" s="21">
        <v>1101.1199999999999</v>
      </c>
      <c r="Z16" s="21">
        <v>1103.1500000000001</v>
      </c>
      <c r="AA16" s="21">
        <v>1121.3599999999999</v>
      </c>
      <c r="AB16" s="21">
        <v>1157.9100000000001</v>
      </c>
      <c r="AC16" s="21">
        <v>1225.25</v>
      </c>
      <c r="AD16" s="21">
        <v>1228.3699999999999</v>
      </c>
      <c r="AE16" s="21">
        <v>1207.22</v>
      </c>
      <c r="AF16" s="21">
        <v>1203.04</v>
      </c>
      <c r="AG16" s="21">
        <v>1211.1400000000001</v>
      </c>
      <c r="AH16" s="21">
        <v>1222.73</v>
      </c>
      <c r="AI16" s="21">
        <v>1249.6500000000001</v>
      </c>
    </row>
    <row r="17" spans="1:35">
      <c r="A17" s="21" t="s">
        <v>92</v>
      </c>
      <c r="B17" s="21">
        <v>772.04</v>
      </c>
      <c r="S17" s="20" t="s">
        <v>113</v>
      </c>
      <c r="T17" s="21">
        <v>1576.02</v>
      </c>
      <c r="U17" s="21">
        <v>1354.65</v>
      </c>
    </row>
    <row r="18" spans="1:35">
      <c r="A18" s="21" t="s">
        <v>93</v>
      </c>
      <c r="B18" s="21">
        <v>742.07</v>
      </c>
      <c r="S18" s="20" t="s">
        <v>114</v>
      </c>
      <c r="T18" s="21">
        <v>1544.49</v>
      </c>
      <c r="U18" s="21">
        <v>1307.77</v>
      </c>
      <c r="W18" s="20" t="s">
        <v>104</v>
      </c>
      <c r="X18" s="20" t="s">
        <v>157</v>
      </c>
      <c r="Y18" s="20" t="s">
        <v>158</v>
      </c>
      <c r="Z18" s="20" t="s">
        <v>159</v>
      </c>
      <c r="AA18" s="20" t="s">
        <v>160</v>
      </c>
      <c r="AB18" s="20" t="s">
        <v>161</v>
      </c>
      <c r="AC18" s="20" t="s">
        <v>162</v>
      </c>
      <c r="AD18" s="20" t="s">
        <v>163</v>
      </c>
      <c r="AE18" s="20" t="s">
        <v>164</v>
      </c>
      <c r="AF18" s="20" t="s">
        <v>165</v>
      </c>
      <c r="AG18" s="20" t="s">
        <v>166</v>
      </c>
      <c r="AH18" s="20" t="s">
        <v>167</v>
      </c>
      <c r="AI18" s="20" t="s">
        <v>168</v>
      </c>
    </row>
    <row r="19" spans="1:35">
      <c r="A19" s="21" t="s">
        <v>94</v>
      </c>
      <c r="B19" s="21">
        <v>731.15</v>
      </c>
      <c r="D19" s="22" t="s">
        <v>169</v>
      </c>
      <c r="S19" s="20" t="s">
        <v>115</v>
      </c>
      <c r="T19" s="21">
        <v>1511.5</v>
      </c>
      <c r="U19" s="21">
        <v>1263.79</v>
      </c>
      <c r="W19" s="20" t="s">
        <v>119</v>
      </c>
      <c r="X19" s="21">
        <v>1507.88</v>
      </c>
      <c r="Y19" s="21">
        <v>1516.65</v>
      </c>
      <c r="Z19" s="21">
        <v>1506.81</v>
      </c>
      <c r="AA19" s="21">
        <v>1487.54</v>
      </c>
      <c r="AB19" s="21">
        <v>1481.18</v>
      </c>
      <c r="AC19" s="21">
        <v>1461.57</v>
      </c>
      <c r="AD19" s="21">
        <v>1438.62</v>
      </c>
      <c r="AE19" s="21">
        <v>1451.82</v>
      </c>
      <c r="AF19" s="21">
        <v>1479.66</v>
      </c>
      <c r="AG19" s="21">
        <v>1504.49</v>
      </c>
      <c r="AH19" s="21">
        <v>1521.11</v>
      </c>
      <c r="AI19" s="21">
        <v>1540.27</v>
      </c>
    </row>
    <row r="20" spans="1:35" ht="31.2">
      <c r="A20" s="21" t="s">
        <v>95</v>
      </c>
      <c r="B20" s="21">
        <v>731.06</v>
      </c>
      <c r="S20" s="20" t="s">
        <v>116</v>
      </c>
      <c r="T20" s="21">
        <v>1498.67</v>
      </c>
      <c r="U20" s="21">
        <v>1251.92</v>
      </c>
      <c r="W20" s="20" t="s">
        <v>132</v>
      </c>
      <c r="X20" s="21">
        <v>1300.18</v>
      </c>
      <c r="Y20" s="21">
        <v>1307.5</v>
      </c>
      <c r="Z20" s="21">
        <v>1297.28</v>
      </c>
      <c r="AA20" s="21">
        <v>1277.8399999999999</v>
      </c>
      <c r="AB20" s="21">
        <v>1271.3900000000001</v>
      </c>
      <c r="AC20" s="21">
        <v>1251.47</v>
      </c>
      <c r="AD20" s="21">
        <v>1229.81</v>
      </c>
      <c r="AE20" s="21">
        <v>1244.8699999999999</v>
      </c>
      <c r="AF20" s="21">
        <v>1271.01</v>
      </c>
      <c r="AG20" s="21">
        <v>1295.6099999999999</v>
      </c>
      <c r="AH20" s="21">
        <v>1313.02</v>
      </c>
      <c r="AI20" s="21">
        <v>1332.35</v>
      </c>
    </row>
    <row r="21" spans="1:35">
      <c r="A21" s="21" t="s">
        <v>96</v>
      </c>
      <c r="B21" s="21">
        <v>741.21</v>
      </c>
      <c r="S21" s="20" t="s">
        <v>117</v>
      </c>
      <c r="T21" s="21">
        <v>1473.58</v>
      </c>
      <c r="U21" s="21">
        <v>1234.95</v>
      </c>
    </row>
    <row r="22" spans="1:35">
      <c r="A22" s="21" t="s">
        <v>97</v>
      </c>
      <c r="B22" s="21">
        <v>736.01</v>
      </c>
      <c r="S22" s="20" t="s">
        <v>118</v>
      </c>
      <c r="T22" s="21">
        <v>1432.92</v>
      </c>
      <c r="U22" s="21">
        <v>1211.03</v>
      </c>
      <c r="W22" s="20" t="s">
        <v>104</v>
      </c>
      <c r="X22" s="20" t="s">
        <v>170</v>
      </c>
      <c r="Y22" s="20" t="s">
        <v>171</v>
      </c>
      <c r="Z22" s="20" t="s">
        <v>172</v>
      </c>
      <c r="AA22" s="20" t="s">
        <v>173</v>
      </c>
      <c r="AB22" s="20" t="s">
        <v>174</v>
      </c>
      <c r="AC22" s="20" t="s">
        <v>175</v>
      </c>
      <c r="AD22" s="20" t="s">
        <v>176</v>
      </c>
      <c r="AE22" s="20" t="s">
        <v>177</v>
      </c>
      <c r="AF22" s="20" t="s">
        <v>178</v>
      </c>
      <c r="AG22" s="20" t="s">
        <v>179</v>
      </c>
      <c r="AH22" s="20" t="s">
        <v>180</v>
      </c>
      <c r="AI22" s="20" t="s">
        <v>181</v>
      </c>
    </row>
    <row r="23" spans="1:35">
      <c r="A23" s="21" t="s">
        <v>98</v>
      </c>
      <c r="B23" s="21">
        <v>706.68</v>
      </c>
      <c r="S23" s="20" t="s">
        <v>133</v>
      </c>
      <c r="T23" s="21">
        <v>1385.25</v>
      </c>
      <c r="U23" s="21">
        <v>1157.33</v>
      </c>
      <c r="W23" s="20" t="s">
        <v>119</v>
      </c>
      <c r="X23" s="21">
        <v>1551.76</v>
      </c>
      <c r="Y23" s="21">
        <v>1564.55</v>
      </c>
      <c r="Z23" s="21">
        <v>1557.85</v>
      </c>
      <c r="AA23" s="21">
        <v>1551.33</v>
      </c>
      <c r="AB23" s="21">
        <v>1580.29</v>
      </c>
      <c r="AC23" s="21">
        <v>1609.08</v>
      </c>
      <c r="AD23" s="21">
        <v>1610.91</v>
      </c>
      <c r="AE23" s="21">
        <v>1618.29</v>
      </c>
      <c r="AF23" s="21">
        <v>1637.58</v>
      </c>
      <c r="AG23" s="21">
        <v>1681.12</v>
      </c>
      <c r="AH23" s="21">
        <v>1580.91</v>
      </c>
      <c r="AI23" s="21">
        <v>1433.13</v>
      </c>
    </row>
    <row r="24" spans="1:35" ht="31.2">
      <c r="A24" s="21" t="s">
        <v>99</v>
      </c>
      <c r="B24" s="21">
        <v>696.61</v>
      </c>
      <c r="S24" s="20" t="s">
        <v>134</v>
      </c>
      <c r="T24" s="21">
        <v>1351.65</v>
      </c>
      <c r="U24" s="21">
        <v>1101.1199999999999</v>
      </c>
      <c r="W24" s="20" t="s">
        <v>132</v>
      </c>
      <c r="X24" s="21">
        <v>1344.93</v>
      </c>
      <c r="Y24" s="21">
        <v>1360.41</v>
      </c>
      <c r="Z24" s="21">
        <v>1354.58</v>
      </c>
      <c r="AA24" s="21">
        <v>1349.06</v>
      </c>
      <c r="AB24" s="21">
        <v>1380.24</v>
      </c>
      <c r="AC24" s="21">
        <v>1410.01</v>
      </c>
      <c r="AD24" s="21">
        <v>1411.85</v>
      </c>
      <c r="AE24" s="21">
        <v>1419.13</v>
      </c>
      <c r="AF24" s="21">
        <v>1438.93</v>
      </c>
      <c r="AG24" s="21">
        <v>1485.02</v>
      </c>
      <c r="AH24" s="21">
        <v>1424.66</v>
      </c>
      <c r="AI24" s="21">
        <v>1324.11</v>
      </c>
    </row>
    <row r="25" spans="1:35">
      <c r="A25" s="21" t="s">
        <v>100</v>
      </c>
      <c r="B25" s="21">
        <v>694.33</v>
      </c>
      <c r="S25" s="20" t="s">
        <v>135</v>
      </c>
      <c r="T25" s="21">
        <v>1350.13</v>
      </c>
      <c r="U25" s="21">
        <v>1103.1500000000001</v>
      </c>
    </row>
    <row r="26" spans="1:35">
      <c r="A26" s="21" t="s">
        <v>101</v>
      </c>
      <c r="B26" s="21">
        <v>724.93</v>
      </c>
      <c r="S26" s="20" t="s">
        <v>136</v>
      </c>
      <c r="T26" s="21">
        <v>1361.74</v>
      </c>
      <c r="U26" s="21">
        <v>1121.3599999999999</v>
      </c>
    </row>
    <row r="27" spans="1:35">
      <c r="A27" s="21" t="s">
        <v>102</v>
      </c>
      <c r="B27" s="21">
        <v>751.61</v>
      </c>
      <c r="S27" s="20" t="s">
        <v>137</v>
      </c>
      <c r="T27" s="21">
        <v>1388.74</v>
      </c>
      <c r="U27" s="21">
        <v>1157.9100000000001</v>
      </c>
    </row>
    <row r="28" spans="1:35">
      <c r="A28" s="21" t="s">
        <v>120</v>
      </c>
      <c r="B28" s="21">
        <v>752.07</v>
      </c>
      <c r="S28" s="20" t="s">
        <v>138</v>
      </c>
      <c r="T28" s="21">
        <v>1437.57</v>
      </c>
      <c r="U28" s="21">
        <v>1225.25</v>
      </c>
    </row>
    <row r="29" spans="1:35">
      <c r="A29" s="21" t="s">
        <v>121</v>
      </c>
      <c r="B29" s="21">
        <v>805.18</v>
      </c>
      <c r="S29" s="20" t="s">
        <v>139</v>
      </c>
      <c r="T29" s="21">
        <v>1437.15</v>
      </c>
      <c r="U29" s="21">
        <v>1228.3699999999999</v>
      </c>
    </row>
    <row r="30" spans="1:35">
      <c r="A30" s="21" t="s">
        <v>122</v>
      </c>
      <c r="B30" s="21">
        <v>858.48</v>
      </c>
      <c r="S30" s="20" t="s">
        <v>140</v>
      </c>
      <c r="T30" s="21">
        <v>1411.69</v>
      </c>
      <c r="U30" s="21">
        <v>1207.22</v>
      </c>
    </row>
    <row r="31" spans="1:35">
      <c r="A31" s="21" t="s">
        <v>123</v>
      </c>
      <c r="B31" s="21">
        <v>858.08</v>
      </c>
      <c r="S31" s="20" t="s">
        <v>141</v>
      </c>
      <c r="T31" s="21">
        <v>1408.2</v>
      </c>
      <c r="U31" s="21">
        <v>1203.04</v>
      </c>
    </row>
    <row r="32" spans="1:35">
      <c r="A32" s="21" t="s">
        <v>124</v>
      </c>
      <c r="B32" s="21">
        <v>842.31</v>
      </c>
      <c r="S32" s="20" t="s">
        <v>142</v>
      </c>
      <c r="T32" s="21">
        <v>1416.6</v>
      </c>
      <c r="U32" s="21">
        <v>1211.1400000000001</v>
      </c>
    </row>
    <row r="33" spans="1:21">
      <c r="A33" s="21" t="s">
        <v>125</v>
      </c>
      <c r="B33" s="21">
        <v>804.69</v>
      </c>
      <c r="S33" s="20" t="s">
        <v>143</v>
      </c>
      <c r="T33" s="21">
        <v>1426.95</v>
      </c>
      <c r="U33" s="21">
        <v>1222.73</v>
      </c>
    </row>
    <row r="34" spans="1:21">
      <c r="A34" s="21" t="s">
        <v>126</v>
      </c>
      <c r="B34" s="21">
        <v>786.58</v>
      </c>
      <c r="S34" s="20" t="s">
        <v>144</v>
      </c>
      <c r="T34" s="21">
        <v>1454.61</v>
      </c>
      <c r="U34" s="21">
        <v>1249.6500000000001</v>
      </c>
    </row>
    <row r="35" spans="1:21">
      <c r="A35" s="21" t="s">
        <v>127</v>
      </c>
      <c r="B35" s="21">
        <v>785.54</v>
      </c>
      <c r="S35" s="20" t="s">
        <v>157</v>
      </c>
      <c r="T35" s="21">
        <v>1507.88</v>
      </c>
      <c r="U35" s="21">
        <v>1300.18</v>
      </c>
    </row>
    <row r="36" spans="1:21">
      <c r="A36" s="21" t="s">
        <v>128</v>
      </c>
      <c r="B36" s="21">
        <v>813.4</v>
      </c>
      <c r="S36" s="20" t="s">
        <v>158</v>
      </c>
      <c r="T36" s="21">
        <v>1516.65</v>
      </c>
      <c r="U36" s="21">
        <v>1307.5</v>
      </c>
    </row>
    <row r="37" spans="1:21">
      <c r="A37" s="21" t="s">
        <v>129</v>
      </c>
      <c r="B37" s="21">
        <v>841.19</v>
      </c>
      <c r="S37" s="20" t="s">
        <v>159</v>
      </c>
      <c r="T37" s="21">
        <v>1506.81</v>
      </c>
      <c r="U37" s="21">
        <v>1297.28</v>
      </c>
    </row>
    <row r="38" spans="1:21">
      <c r="A38" s="21" t="s">
        <v>130</v>
      </c>
      <c r="B38" s="21">
        <v>884.63</v>
      </c>
      <c r="S38" s="20" t="s">
        <v>160</v>
      </c>
      <c r="T38" s="21">
        <v>1487.54</v>
      </c>
      <c r="U38" s="21">
        <v>1277.8399999999999</v>
      </c>
    </row>
    <row r="39" spans="1:21">
      <c r="A39" s="21" t="s">
        <v>131</v>
      </c>
      <c r="B39" s="21">
        <v>885.06</v>
      </c>
      <c r="S39" s="20" t="s">
        <v>161</v>
      </c>
      <c r="T39" s="21">
        <v>1481.18</v>
      </c>
      <c r="U39" s="21">
        <v>1271.3900000000001</v>
      </c>
    </row>
    <row r="40" spans="1:21">
      <c r="A40" s="21" t="s">
        <v>145</v>
      </c>
      <c r="B40" s="21">
        <v>885.28</v>
      </c>
      <c r="S40" s="20" t="s">
        <v>162</v>
      </c>
      <c r="T40" s="21">
        <v>1461.57</v>
      </c>
      <c r="U40" s="21">
        <v>1251.47</v>
      </c>
    </row>
    <row r="41" spans="1:21">
      <c r="A41" s="21" t="s">
        <v>146</v>
      </c>
      <c r="B41" s="21">
        <v>885.96</v>
      </c>
      <c r="S41" s="20" t="s">
        <v>163</v>
      </c>
      <c r="T41" s="21">
        <v>1438.62</v>
      </c>
      <c r="U41" s="21">
        <v>1229.81</v>
      </c>
    </row>
    <row r="42" spans="1:21">
      <c r="A42" s="21" t="s">
        <v>147</v>
      </c>
      <c r="B42" s="21">
        <v>857.18</v>
      </c>
      <c r="S42" s="20" t="s">
        <v>164</v>
      </c>
      <c r="T42" s="21">
        <v>1451.82</v>
      </c>
      <c r="U42" s="21">
        <v>1244.8699999999999</v>
      </c>
    </row>
    <row r="43" spans="1:21">
      <c r="A43" s="21" t="s">
        <v>148</v>
      </c>
      <c r="B43" s="21">
        <v>828.72</v>
      </c>
      <c r="S43" s="20" t="s">
        <v>165</v>
      </c>
      <c r="T43" s="21">
        <v>1479.66</v>
      </c>
      <c r="U43" s="21">
        <v>1271.01</v>
      </c>
    </row>
    <row r="44" spans="1:21">
      <c r="A44" s="21" t="s">
        <v>149</v>
      </c>
      <c r="B44" s="21">
        <v>826.94</v>
      </c>
      <c r="S44" s="20" t="s">
        <v>166</v>
      </c>
      <c r="T44" s="21">
        <v>1504.49</v>
      </c>
      <c r="U44" s="21">
        <v>1295.6099999999999</v>
      </c>
    </row>
    <row r="45" spans="1:21">
      <c r="A45" s="21" t="s">
        <v>150</v>
      </c>
      <c r="B45" s="21">
        <v>843.7</v>
      </c>
      <c r="S45" s="20" t="s">
        <v>167</v>
      </c>
      <c r="T45" s="21">
        <v>1521.11</v>
      </c>
      <c r="U45" s="21">
        <v>1313.02</v>
      </c>
    </row>
    <row r="46" spans="1:21">
      <c r="A46" s="21" t="s">
        <v>151</v>
      </c>
      <c r="B46" s="21">
        <v>869.1</v>
      </c>
      <c r="S46" s="20" t="s">
        <v>168</v>
      </c>
      <c r="T46" s="21">
        <v>1540.27</v>
      </c>
      <c r="U46" s="21">
        <v>1332.35</v>
      </c>
    </row>
    <row r="47" spans="1:21">
      <c r="A47" s="21" t="s">
        <v>152</v>
      </c>
      <c r="B47" s="21">
        <v>894.82</v>
      </c>
      <c r="S47" s="20" t="s">
        <v>170</v>
      </c>
      <c r="T47" s="21">
        <v>1551.76</v>
      </c>
      <c r="U47" s="21">
        <v>1344.93</v>
      </c>
    </row>
    <row r="48" spans="1:21">
      <c r="A48" s="21" t="s">
        <v>153</v>
      </c>
      <c r="B48" s="21">
        <v>895.38</v>
      </c>
      <c r="S48" s="20" t="s">
        <v>171</v>
      </c>
      <c r="T48" s="21">
        <v>1564.55</v>
      </c>
      <c r="U48" s="21">
        <v>1360.41</v>
      </c>
    </row>
    <row r="49" spans="1:21">
      <c r="A49" s="21" t="s">
        <v>154</v>
      </c>
      <c r="B49" s="21">
        <v>934.19</v>
      </c>
      <c r="S49" s="20" t="s">
        <v>172</v>
      </c>
      <c r="T49" s="21">
        <v>1557.85</v>
      </c>
      <c r="U49" s="21">
        <v>1354.58</v>
      </c>
    </row>
    <row r="50" spans="1:21">
      <c r="A50" s="21" t="s">
        <v>155</v>
      </c>
      <c r="B50" s="21">
        <v>910.45</v>
      </c>
      <c r="S50" s="20" t="s">
        <v>173</v>
      </c>
      <c r="T50" s="21">
        <v>1551.33</v>
      </c>
      <c r="U50" s="21">
        <v>1349.06</v>
      </c>
    </row>
    <row r="51" spans="1:21">
      <c r="A51" s="21" t="s">
        <v>156</v>
      </c>
      <c r="B51" s="21">
        <v>863.35</v>
      </c>
      <c r="S51" s="20" t="s">
        <v>174</v>
      </c>
      <c r="T51" s="21">
        <v>1580.29</v>
      </c>
      <c r="U51" s="21">
        <v>1380.24</v>
      </c>
    </row>
    <row r="52" spans="1:21">
      <c r="S52" s="20" t="s">
        <v>175</v>
      </c>
      <c r="T52" s="21">
        <v>1609.08</v>
      </c>
      <c r="U52" s="21">
        <v>1410.01</v>
      </c>
    </row>
    <row r="53" spans="1:21">
      <c r="S53" s="20" t="s">
        <v>176</v>
      </c>
      <c r="T53" s="21">
        <v>1610.91</v>
      </c>
      <c r="U53" s="21">
        <v>1411.85</v>
      </c>
    </row>
    <row r="54" spans="1:21">
      <c r="S54" s="20" t="s">
        <v>177</v>
      </c>
      <c r="T54" s="21">
        <v>1618.29</v>
      </c>
      <c r="U54" s="21">
        <v>1419.13</v>
      </c>
    </row>
    <row r="55" spans="1:21">
      <c r="S55" s="20" t="s">
        <v>178</v>
      </c>
      <c r="T55" s="21">
        <v>1637.58</v>
      </c>
      <c r="U55" s="21">
        <v>1438.93</v>
      </c>
    </row>
    <row r="56" spans="1:21">
      <c r="S56" s="20" t="s">
        <v>179</v>
      </c>
      <c r="T56" s="21">
        <v>1681.12</v>
      </c>
      <c r="U56" s="21">
        <v>1485.02</v>
      </c>
    </row>
    <row r="57" spans="1:21">
      <c r="S57" s="20" t="s">
        <v>180</v>
      </c>
      <c r="T57" s="21">
        <v>1580.91</v>
      </c>
      <c r="U57" s="21">
        <v>1424.66</v>
      </c>
    </row>
    <row r="58" spans="1:21">
      <c r="S58" s="20" t="s">
        <v>181</v>
      </c>
      <c r="T58" s="21">
        <v>1433.13</v>
      </c>
      <c r="U58" s="21">
        <v>1324.11</v>
      </c>
    </row>
  </sheetData>
  <mergeCells count="2">
    <mergeCell ref="A2:B2"/>
    <mergeCell ref="S9:U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법인 및 사업장 정보</vt:lpstr>
      <vt:lpstr>활동데이터 수집시트(Y2015~Y2018)</vt:lpstr>
      <vt:lpstr>(참고)오피넷단가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JIYOUNG YOON</dc:creator>
  <cp:lastModifiedBy>김병섭</cp:lastModifiedBy>
  <cp:lastPrinted>2019-03-04T08:12:25Z</cp:lastPrinted>
  <dcterms:created xsi:type="dcterms:W3CDTF">2019-02-21T05:58:57Z</dcterms:created>
  <dcterms:modified xsi:type="dcterms:W3CDTF">2020-05-22T10:10:17Z</dcterms:modified>
</cp:coreProperties>
</file>