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D38B37F-EC9D-422A-AE1E-9934E44FF67A}" xr6:coauthVersionLast="47" xr6:coauthVersionMax="47" xr10:uidLastSave="{00000000-0000-0000-0000-000000000000}"/>
  <bookViews>
    <workbookView xWindow="-120" yWindow="-120" windowWidth="29040" windowHeight="15720" activeTab="6" xr2:uid="{37B8D73C-ABD3-4E4A-8FC6-C539E28F7CD8}"/>
  </bookViews>
  <sheets>
    <sheet name="Resumo" sheetId="2" r:id="rId1"/>
    <sheet name="&gt;&gt;&gt;" sheetId="7" r:id="rId2"/>
    <sheet name="Custos e Despesas" sheetId="1" r:id="rId3"/>
    <sheet name="Formação Preço" sheetId="4" r:id="rId4"/>
    <sheet name="Receita" sheetId="3" r:id="rId5"/>
    <sheet name="Fluxo de Caixa" sheetId="8" r:id="rId6"/>
    <sheet name="Fluxo de Caixa (2)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8" l="1"/>
  <c r="E34" i="8"/>
  <c r="H6" i="8"/>
  <c r="H5" i="8"/>
  <c r="G6" i="8"/>
  <c r="G5" i="8"/>
  <c r="E6" i="8"/>
  <c r="E7" i="8" s="1"/>
  <c r="E8" i="8" s="1"/>
  <c r="E9" i="8" s="1"/>
  <c r="E10" i="8" s="1"/>
  <c r="E5" i="8"/>
  <c r="C40" i="9"/>
  <c r="E34" i="9"/>
  <c r="H17" i="9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16" i="9"/>
  <c r="H8" i="9"/>
  <c r="H9" i="9" s="1"/>
  <c r="H10" i="9" s="1"/>
  <c r="H11" i="9" s="1"/>
  <c r="H12" i="9" s="1"/>
  <c r="H13" i="9" s="1"/>
  <c r="H14" i="9" s="1"/>
  <c r="H15" i="9" s="1"/>
  <c r="H7" i="9"/>
  <c r="H6" i="9"/>
  <c r="E32" i="9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5" i="9"/>
  <c r="G5" i="9"/>
  <c r="H5" i="9" s="1"/>
  <c r="G6" i="9"/>
  <c r="D6" i="9"/>
  <c r="D29" i="9"/>
  <c r="G29" i="9" s="1"/>
  <c r="D28" i="9"/>
  <c r="G28" i="9" s="1"/>
  <c r="D27" i="9"/>
  <c r="G27" i="9"/>
  <c r="D26" i="9"/>
  <c r="G26" i="9" s="1"/>
  <c r="D25" i="9"/>
  <c r="G25" i="9" s="1"/>
  <c r="D24" i="9"/>
  <c r="G24" i="9" s="1"/>
  <c r="D23" i="9"/>
  <c r="G23" i="9" s="1"/>
  <c r="D22" i="9"/>
  <c r="G22" i="9" s="1"/>
  <c r="D21" i="9"/>
  <c r="G21" i="9" s="1"/>
  <c r="D20" i="9"/>
  <c r="D19" i="9"/>
  <c r="G19" i="9" s="1"/>
  <c r="D18" i="9"/>
  <c r="G18" i="9" s="1"/>
  <c r="D17" i="9"/>
  <c r="G17" i="9" s="1"/>
  <c r="D16" i="9"/>
  <c r="G16" i="9" s="1"/>
  <c r="D15" i="9"/>
  <c r="G15" i="9" s="1"/>
  <c r="D14" i="9"/>
  <c r="G14" i="9" s="1"/>
  <c r="D13" i="9"/>
  <c r="G13" i="9" s="1"/>
  <c r="D12" i="9"/>
  <c r="G12" i="9" s="1"/>
  <c r="D11" i="9"/>
  <c r="G11" i="9" s="1"/>
  <c r="D10" i="9"/>
  <c r="G10" i="9" s="1"/>
  <c r="D9" i="9"/>
  <c r="D8" i="9"/>
  <c r="G8" i="9" s="1"/>
  <c r="D7" i="9"/>
  <c r="G7" i="9" s="1"/>
  <c r="D14" i="1"/>
  <c r="C7" i="4" s="1"/>
  <c r="D15" i="1"/>
  <c r="D17" i="1"/>
  <c r="D20" i="1" s="1"/>
  <c r="D18" i="1"/>
  <c r="G20" i="9"/>
  <c r="G9" i="9"/>
  <c r="F9" i="1"/>
  <c r="F8" i="1"/>
  <c r="D13" i="8"/>
  <c r="D18" i="8"/>
  <c r="D19" i="8"/>
  <c r="D20" i="8"/>
  <c r="D21" i="8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H24" i="3"/>
  <c r="H25" i="3"/>
  <c r="H26" i="3"/>
  <c r="H27" i="3"/>
  <c r="H28" i="3"/>
  <c r="H29" i="3"/>
  <c r="G24" i="3"/>
  <c r="G25" i="3"/>
  <c r="G26" i="3"/>
  <c r="G27" i="3"/>
  <c r="G28" i="3"/>
  <c r="G29" i="3"/>
  <c r="D24" i="3"/>
  <c r="D25" i="3" s="1"/>
  <c r="D26" i="3" s="1"/>
  <c r="D27" i="3" s="1"/>
  <c r="D28" i="3" s="1"/>
  <c r="D29" i="3" s="1"/>
  <c r="G10" i="8"/>
  <c r="G9" i="8"/>
  <c r="G8" i="8"/>
  <c r="G7" i="8"/>
  <c r="D24" i="4"/>
  <c r="D40" i="3" s="1"/>
  <c r="D38" i="3"/>
  <c r="B39" i="3"/>
  <c r="B38" i="3"/>
  <c r="D23" i="4"/>
  <c r="D39" i="3" s="1"/>
  <c r="D22" i="4"/>
  <c r="B45" i="3"/>
  <c r="B44" i="3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9" i="4"/>
  <c r="D45" i="3" s="1"/>
  <c r="D28" i="4"/>
  <c r="D44" i="3" s="1"/>
  <c r="C4" i="4"/>
  <c r="C3" i="4"/>
  <c r="C8" i="4"/>
  <c r="F30" i="1"/>
  <c r="F29" i="1"/>
  <c r="F28" i="1"/>
  <c r="F27" i="1"/>
  <c r="F26" i="1"/>
  <c r="F25" i="1"/>
  <c r="F24" i="1"/>
  <c r="F23" i="1"/>
  <c r="F22" i="1"/>
  <c r="F12" i="1"/>
  <c r="F11" i="1"/>
  <c r="F6" i="1"/>
  <c r="F7" i="1"/>
  <c r="F10" i="1"/>
  <c r="F5" i="1"/>
  <c r="D3" i="4" l="1"/>
  <c r="E3" i="4" s="1"/>
  <c r="D4" i="4"/>
  <c r="E4" i="4" s="1"/>
  <c r="H7" i="8"/>
  <c r="H8" i="8" s="1"/>
  <c r="H9" i="8" s="1"/>
  <c r="H10" i="8" s="1"/>
  <c r="G12" i="3"/>
  <c r="G20" i="3"/>
  <c r="G17" i="3"/>
  <c r="G13" i="3"/>
  <c r="G21" i="3"/>
  <c r="G15" i="3"/>
  <c r="G16" i="3"/>
  <c r="G11" i="3"/>
  <c r="D11" i="8" s="1"/>
  <c r="G14" i="3"/>
  <c r="G22" i="3"/>
  <c r="G23" i="3"/>
  <c r="G18" i="3"/>
  <c r="G19" i="3"/>
  <c r="D30" i="4"/>
  <c r="D46" i="3" s="1"/>
  <c r="H20" i="3" s="1"/>
  <c r="C9" i="4"/>
  <c r="F14" i="1"/>
  <c r="F15" i="1"/>
  <c r="F31" i="1"/>
  <c r="D5" i="4" l="1"/>
  <c r="G11" i="8"/>
  <c r="H11" i="8" s="1"/>
  <c r="G20" i="8"/>
  <c r="E11" i="8"/>
  <c r="G31" i="3"/>
  <c r="H16" i="3"/>
  <c r="D16" i="8" s="1"/>
  <c r="G16" i="8" s="1"/>
  <c r="H18" i="3"/>
  <c r="G18" i="8" s="1"/>
  <c r="H22" i="3"/>
  <c r="H12" i="3"/>
  <c r="D12" i="8" s="1"/>
  <c r="H13" i="3"/>
  <c r="G13" i="8" s="1"/>
  <c r="H21" i="3"/>
  <c r="G21" i="8" s="1"/>
  <c r="H19" i="3"/>
  <c r="G19" i="8" s="1"/>
  <c r="H15" i="3"/>
  <c r="D15" i="8" s="1"/>
  <c r="G15" i="8" s="1"/>
  <c r="H17" i="3"/>
  <c r="D17" i="8" s="1"/>
  <c r="G17" i="8" s="1"/>
  <c r="H14" i="3"/>
  <c r="D14" i="8" s="1"/>
  <c r="G14" i="8" s="1"/>
  <c r="H23" i="3"/>
  <c r="B35" i="4"/>
  <c r="F20" i="1"/>
  <c r="G12" i="8" l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E12" i="8"/>
  <c r="E13" i="8" s="1"/>
  <c r="E14" i="8" s="1"/>
  <c r="E15" i="8" s="1"/>
  <c r="E16" i="8" s="1"/>
  <c r="E17" i="8" s="1"/>
  <c r="E18" i="8" s="1"/>
  <c r="H31" i="3"/>
  <c r="H32" i="3" s="1"/>
  <c r="C37" i="4"/>
  <c r="B37" i="4"/>
  <c r="D37" i="4"/>
  <c r="E19" i="8" l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2" i="8"/>
  <c r="H24" i="8"/>
  <c r="H25" i="8" s="1"/>
  <c r="H26" i="8" s="1"/>
  <c r="H27" i="8" s="1"/>
  <c r="H28" i="8" s="1"/>
  <c r="H29" i="8" s="1"/>
  <c r="C40" i="8" l="1"/>
  <c r="D30" i="8"/>
</calcChain>
</file>

<file path=xl/sharedStrings.xml><?xml version="1.0" encoding="utf-8"?>
<sst xmlns="http://schemas.openxmlformats.org/spreadsheetml/2006/main" count="142" uniqueCount="79">
  <si>
    <t>Dados:</t>
  </si>
  <si>
    <t>Desingner</t>
  </si>
  <si>
    <r>
      <t xml:space="preserve">Notebooks </t>
    </r>
    <r>
      <rPr>
        <sz val="10"/>
        <color rgb="FF181818"/>
        <rFont val="Arial Narrow"/>
        <family val="2"/>
      </rPr>
      <t xml:space="preserve">Notebook ASUS Vivobook 16X (K3605) </t>
    </r>
  </si>
  <si>
    <t>Macbooks Air M1, 8gb RAM</t>
  </si>
  <si>
    <t>Notebooks ASUS Vivobook 15 (M1502)</t>
  </si>
  <si>
    <t xml:space="preserve">Tablet android Tablet Samsung Galaxy Tab S6 Lite, 64GB, 4GB RAM, Tela Imersiva de 10.4', Câmera Traseira 8MP, Câmera frontal de 5MP, Wifi, Android 13 </t>
  </si>
  <si>
    <t xml:space="preserve">Iphone Apple iPhone 13 </t>
  </si>
  <si>
    <t>Celular android Samsung Galaxy S22</t>
  </si>
  <si>
    <t>Hospedagem</t>
  </si>
  <si>
    <t xml:space="preserve">Cadeiras de escritório Cadeira Uni All Black </t>
  </si>
  <si>
    <t xml:space="preserve">Mesa de MDF para Escritório - Moplax  </t>
  </si>
  <si>
    <t xml:space="preserve">Mesa De Reunião 2,40 Plot Nogueira Preto </t>
  </si>
  <si>
    <t xml:space="preserve">Aluguel de escritório com 2 salas grandes </t>
  </si>
  <si>
    <t>Desenvolvedor Web</t>
  </si>
  <si>
    <t>Desenvolvedor Mobile</t>
  </si>
  <si>
    <t>Custo</t>
  </si>
  <si>
    <t>Tempo (Meses)</t>
  </si>
  <si>
    <t>Check</t>
  </si>
  <si>
    <t>Custo mensal</t>
  </si>
  <si>
    <t>Despesas mensais</t>
  </si>
  <si>
    <t>Projeção Custos</t>
  </si>
  <si>
    <t>Projeção Despesas</t>
  </si>
  <si>
    <t>Despesa Gerais e Adm</t>
  </si>
  <si>
    <t>Despesa Inicial</t>
  </si>
  <si>
    <t>Projeto Easy Eats</t>
  </si>
  <si>
    <t>Custo Mensal</t>
  </si>
  <si>
    <t>Despesa Mensal</t>
  </si>
  <si>
    <t>Móveis</t>
  </si>
  <si>
    <t>Eletrônicos</t>
  </si>
  <si>
    <t>Vida útil (meses)</t>
  </si>
  <si>
    <t>Valor de Aquisição</t>
  </si>
  <si>
    <t>Depreciação Mensal</t>
  </si>
  <si>
    <t>Por tablet (mesa)</t>
  </si>
  <si>
    <t>Por celular (garçom)</t>
  </si>
  <si>
    <t>Venda mínima</t>
  </si>
  <si>
    <t>Receita 1</t>
  </si>
  <si>
    <t>*Serviço contempla instalação</t>
  </si>
  <si>
    <t xml:space="preserve">*Serviço contempla licença de software + manutenção do software </t>
  </si>
  <si>
    <t>Receita 2</t>
  </si>
  <si>
    <t>Reconhecimento no momento da instação (prestação de serviço)</t>
  </si>
  <si>
    <t>Reconhecimento mensalmente na duração do contrato</t>
  </si>
  <si>
    <t>Celular</t>
  </si>
  <si>
    <t>Tablet</t>
  </si>
  <si>
    <t>Despesas e Custos Fixos</t>
  </si>
  <si>
    <t>Ponto de Equilíbrio Contábil</t>
  </si>
  <si>
    <t>Média</t>
  </si>
  <si>
    <t>P/ Tablet</t>
  </si>
  <si>
    <t>P/ Celular</t>
  </si>
  <si>
    <t>Mês</t>
  </si>
  <si>
    <t>Projeção de Manutenção de Contratos</t>
  </si>
  <si>
    <t>Vendas</t>
  </si>
  <si>
    <t>Receita</t>
  </si>
  <si>
    <t>***</t>
  </si>
  <si>
    <t>Total</t>
  </si>
  <si>
    <t>Receita total</t>
  </si>
  <si>
    <t>Fluxo de Caixa</t>
  </si>
  <si>
    <t>#</t>
  </si>
  <si>
    <t>Payback Simples</t>
  </si>
  <si>
    <t>Meses</t>
  </si>
  <si>
    <t>Taxa Selic</t>
  </si>
  <si>
    <t>Anual</t>
  </si>
  <si>
    <t>Mensal</t>
  </si>
  <si>
    <t>Payback Descontado</t>
  </si>
  <si>
    <t>Fluxo de Caixa Descontado</t>
  </si>
  <si>
    <t>Saldo</t>
  </si>
  <si>
    <t>VPL</t>
  </si>
  <si>
    <t>TIR</t>
  </si>
  <si>
    <t>**O contrato estabelece a quantidade de licenças e tempo de contrato mínimo de 2 anos.</t>
  </si>
  <si>
    <t>Gestor</t>
  </si>
  <si>
    <t>Vendedor*</t>
  </si>
  <si>
    <t>Marketing*</t>
  </si>
  <si>
    <t>* Contratados a partir do terceiro mês de início do projeto.</t>
  </si>
  <si>
    <t>- Expectativa de 5 meses de desenvolvimento do aplicativo, após esse período será lançado ao mercado;</t>
  </si>
  <si>
    <t>- Projeção 2 anos (24 meses).</t>
  </si>
  <si>
    <t>Projeção de Captação de Clientes</t>
  </si>
  <si>
    <t>Até o terceiro mês</t>
  </si>
  <si>
    <t>A partir do quarto mês</t>
  </si>
  <si>
    <t>*</t>
  </si>
  <si>
    <t>-Investimento Inicial: 300 mil;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</si>
</sst>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_-;\-* #,##0_-;_-* &quot;-&quot;??_-;_-@_-"/>
    <numFmt numFmtId="166" formatCode="_-* #,##0.0000_-;\-* #,##0.0000_-;_-* &quot;-&quot;??_-;_-@_-"/>
    <numFmt numFmtId="167" formatCode="0.0000%"/>
    <numFmt numFmtId="168" formatCode="0.000000%"/>
    <numFmt numFmtId="170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rgb="FF181818"/>
      <name val="Arial Narrow"/>
      <family val="2"/>
    </font>
    <font>
      <b/>
      <sz val="10"/>
      <color theme="1"/>
      <name val="Arial Narrow"/>
      <family val="2"/>
    </font>
    <font>
      <i/>
      <sz val="9"/>
      <color rgb="FF0000CC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2"/>
      <color theme="0"/>
      <name val="Arial Narrow"/>
      <family val="2"/>
    </font>
    <font>
      <u/>
      <sz val="10"/>
      <color theme="1"/>
      <name val="Arial Narrow"/>
      <family val="2"/>
    </font>
    <font>
      <sz val="12"/>
      <color rgb="FF4D5156"/>
      <name val="Arial"/>
      <family val="2"/>
    </font>
    <font>
      <sz val="9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mediumGray">
        <fgColor theme="0" tint="-0.49998474074526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8" fontId="2" fillId="0" borderId="0" xfId="0" applyNumberFormat="1" applyFont="1"/>
    <xf numFmtId="43" fontId="2" fillId="0" borderId="0" xfId="1" applyFont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43" fontId="2" fillId="2" borderId="0" xfId="1" applyFont="1" applyFill="1"/>
    <xf numFmtId="0" fontId="2" fillId="3" borderId="0" xfId="0" applyFont="1" applyFill="1"/>
    <xf numFmtId="0" fontId="3" fillId="3" borderId="0" xfId="0" applyFont="1" applyFill="1" applyAlignment="1">
      <alignment vertical="center"/>
    </xf>
    <xf numFmtId="43" fontId="2" fillId="3" borderId="0" xfId="1" applyFont="1" applyFill="1"/>
    <xf numFmtId="0" fontId="2" fillId="3" borderId="0" xfId="0" applyFont="1" applyFill="1" applyAlignment="1">
      <alignment vertical="center"/>
    </xf>
    <xf numFmtId="43" fontId="2" fillId="0" borderId="0" xfId="0" applyNumberFormat="1" applyFont="1"/>
    <xf numFmtId="43" fontId="5" fillId="0" borderId="0" xfId="0" applyNumberFormat="1" applyFont="1"/>
    <xf numFmtId="43" fontId="2" fillId="0" borderId="1" xfId="0" applyNumberFormat="1" applyFont="1" applyBorder="1"/>
    <xf numFmtId="0" fontId="6" fillId="0" borderId="0" xfId="0" applyFont="1" applyAlignment="1">
      <alignment horizontal="right"/>
    </xf>
    <xf numFmtId="43" fontId="5" fillId="0" borderId="0" xfId="1" applyFont="1"/>
    <xf numFmtId="0" fontId="5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43" fontId="2" fillId="3" borderId="1" xfId="1" applyFont="1" applyFill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43" fontId="2" fillId="2" borderId="1" xfId="1" applyFont="1" applyFill="1" applyBorder="1"/>
    <xf numFmtId="164" fontId="5" fillId="0" borderId="0" xfId="0" applyNumberFormat="1" applyFont="1"/>
    <xf numFmtId="0" fontId="7" fillId="4" borderId="0" xfId="0" applyFont="1" applyFill="1"/>
    <xf numFmtId="0" fontId="7" fillId="4" borderId="0" xfId="0" applyFont="1" applyFill="1" applyAlignment="1">
      <alignment vertical="center"/>
    </xf>
    <xf numFmtId="0" fontId="2" fillId="4" borderId="0" xfId="0" applyFont="1" applyFill="1"/>
    <xf numFmtId="0" fontId="8" fillId="4" borderId="0" xfId="0" applyFont="1" applyFill="1"/>
    <xf numFmtId="17" fontId="2" fillId="0" borderId="0" xfId="0" applyNumberFormat="1" applyFont="1"/>
    <xf numFmtId="0" fontId="2" fillId="5" borderId="0" xfId="0" applyFont="1" applyFill="1"/>
    <xf numFmtId="0" fontId="0" fillId="4" borderId="0" xfId="0" applyFill="1"/>
    <xf numFmtId="0" fontId="9" fillId="4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8" fontId="2" fillId="0" borderId="1" xfId="0" applyNumberFormat="1" applyFont="1" applyBorder="1"/>
    <xf numFmtId="0" fontId="2" fillId="0" borderId="1" xfId="0" applyFont="1" applyBorder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/>
    </xf>
    <xf numFmtId="8" fontId="5" fillId="0" borderId="0" xfId="0" applyNumberFormat="1" applyFont="1"/>
    <xf numFmtId="17" fontId="2" fillId="0" borderId="1" xfId="0" applyNumberFormat="1" applyFont="1" applyBorder="1"/>
    <xf numFmtId="165" fontId="2" fillId="0" borderId="1" xfId="1" applyNumberFormat="1" applyFont="1" applyBorder="1"/>
    <xf numFmtId="166" fontId="8" fillId="4" borderId="0" xfId="0" applyNumberFormat="1" applyFont="1" applyFill="1"/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167" fontId="8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8" fontId="8" fillId="4" borderId="0" xfId="0" applyNumberFormat="1" applyFont="1" applyFill="1"/>
    <xf numFmtId="168" fontId="8" fillId="4" borderId="0" xfId="0" applyNumberFormat="1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left" vertical="center" wrapText="1"/>
    </xf>
    <xf numFmtId="0" fontId="7" fillId="4" borderId="0" xfId="0" quotePrefix="1" applyFont="1" applyFill="1" applyAlignment="1">
      <alignment vertical="center"/>
    </xf>
    <xf numFmtId="0" fontId="7" fillId="4" borderId="0" xfId="0" quotePrefix="1" applyFont="1" applyFill="1" applyAlignment="1">
      <alignment horizontal="left" vertical="center" wrapText="1"/>
    </xf>
    <xf numFmtId="164" fontId="12" fillId="0" borderId="0" xfId="0" applyNumberFormat="1" applyFont="1"/>
    <xf numFmtId="164" fontId="2" fillId="0" borderId="0" xfId="0" applyNumberFormat="1" applyFont="1" applyBorder="1"/>
    <xf numFmtId="43" fontId="2" fillId="0" borderId="0" xfId="0" applyNumberFormat="1" applyFont="1" applyBorder="1"/>
    <xf numFmtId="8" fontId="2" fillId="0" borderId="0" xfId="1" applyNumberFormat="1" applyFont="1"/>
    <xf numFmtId="170" fontId="8" fillId="4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'Fluxo de Caixa'!$C$4</c:f>
              <c:strCache>
                <c:ptCount val="1"/>
                <c:pt idx="0">
                  <c:v>#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'Fluxo de Caixa'!$B$6:$B$29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'Fluxo de Caixa'!$C$6:$C$29</c:f>
              <c:numCache>
                <c:formatCode>_-* #,##0_-;\-* #,##0_-;_-* "-"??_-;_-@_-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7-45A7-A1E0-BD0D51D7542D}"/>
            </c:ext>
          </c:extLst>
        </c:ser>
        <c:ser>
          <c:idx val="1"/>
          <c:order val="1"/>
          <c:tx>
            <c:strRef>
              <c:f>'Fluxo de Caixa'!$D$4</c:f>
              <c:strCache>
                <c:ptCount val="1"/>
                <c:pt idx="0">
                  <c:v>Fluxo de Caixa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'Fluxo de Caixa'!$B$6:$B$29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'Fluxo de Caixa'!$D$6:$D$29</c:f>
              <c:numCache>
                <c:formatCode>General</c:formatCode>
                <c:ptCount val="24"/>
                <c:pt idx="5" formatCode="&quot;R$&quot;#,##0.00_);[Red]\(&quot;R$&quot;#,##0.00\)">
                  <c:v>812.5</c:v>
                </c:pt>
                <c:pt idx="6" formatCode="&quot;R$&quot;#,##0.00_);[Red]\(&quot;R$&quot;#,##0.00\)">
                  <c:v>11812.5</c:v>
                </c:pt>
                <c:pt idx="7" formatCode="&quot;R$&quot;#,##0.00_);[Red]\(&quot;R$&quot;#,##0.00\)">
                  <c:v>17312.5</c:v>
                </c:pt>
                <c:pt idx="8" formatCode="&quot;R$&quot;#,##0.00_);[Red]\(&quot;R$&quot;#,##0.00\)">
                  <c:v>22812.5</c:v>
                </c:pt>
                <c:pt idx="9" formatCode="&quot;R$&quot;#,##0.00_);[Red]\(&quot;R$&quot;#,##0.00\)">
                  <c:v>28312.5</c:v>
                </c:pt>
                <c:pt idx="10" formatCode="&quot;R$&quot;#,##0.00_);[Red]\(&quot;R$&quot;#,##0.00\)">
                  <c:v>40125</c:v>
                </c:pt>
                <c:pt idx="11" formatCode="&quot;R$&quot;#,##0.00_);[Red]\(&quot;R$&quot;#,##0.00\)">
                  <c:v>51125</c:v>
                </c:pt>
                <c:pt idx="12" formatCode="&quot;R$&quot;#,##0.00_);[Red]\(&quot;R$&quot;#,##0.00\)">
                  <c:v>62125</c:v>
                </c:pt>
                <c:pt idx="13" formatCode="&quot;R$&quot;#,##0.00_);[Red]\(&quot;R$&quot;#,##0.00\)">
                  <c:v>73125</c:v>
                </c:pt>
                <c:pt idx="14" formatCode="&quot;R$&quot;#,##0.00_);[Red]\(&quot;R$&quot;#,##0.00\)">
                  <c:v>84125</c:v>
                </c:pt>
                <c:pt idx="15" formatCode="&quot;R$&quot;#,##0.00_);[Red]\(&quot;R$&quot;#,##0.00\)">
                  <c:v>95125</c:v>
                </c:pt>
                <c:pt idx="16" formatCode="&quot;R$&quot;#,##0.00_);[Red]\(&quot;R$&quot;#,##0.00\)">
                  <c:v>106125</c:v>
                </c:pt>
                <c:pt idx="17" formatCode="&quot;R$&quot;#,##0.00_);[Red]\(&quot;R$&quot;#,##0.00\)">
                  <c:v>117125</c:v>
                </c:pt>
                <c:pt idx="18" formatCode="&quot;R$&quot;#,##0.00_);[Red]\(&quot;R$&quot;#,##0.00\)">
                  <c:v>128125</c:v>
                </c:pt>
                <c:pt idx="19" formatCode="&quot;R$&quot;#,##0.00_);[Red]\(&quot;R$&quot;#,##0.00\)">
                  <c:v>139125</c:v>
                </c:pt>
                <c:pt idx="20" formatCode="&quot;R$&quot;#,##0.00_);[Red]\(&quot;R$&quot;#,##0.00\)">
                  <c:v>150125</c:v>
                </c:pt>
                <c:pt idx="21" formatCode="&quot;R$&quot;#,##0.00_);[Red]\(&quot;R$&quot;#,##0.00\)">
                  <c:v>161125</c:v>
                </c:pt>
                <c:pt idx="22" formatCode="&quot;R$&quot;#,##0.00_);[Red]\(&quot;R$&quot;#,##0.00\)">
                  <c:v>172125</c:v>
                </c:pt>
                <c:pt idx="23" formatCode="&quot;R$&quot;#,##0.00_);[Red]\(&quot;R$&quot;#,##0.00\)">
                  <c:v>183125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7-45A7-A1E0-BD0D51D7542D}"/>
            </c:ext>
          </c:extLst>
        </c:ser>
        <c:ser>
          <c:idx val="2"/>
          <c:order val="2"/>
          <c:tx>
            <c:strRef>
              <c:f>'Fluxo de Caixa'!$E$4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'Fluxo de Caixa'!$B$6:$B$29</c:f>
              <c:numCache>
                <c:formatCode>mmm\-yy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'Fluxo de Caixa'!$E$6:$E$29</c:f>
              <c:numCache>
                <c:formatCode>"R$"#,##0.00_);[Red]\("R$"#,##0.00\)</c:formatCode>
                <c:ptCount val="24"/>
                <c:pt idx="0">
                  <c:v>-300000</c:v>
                </c:pt>
                <c:pt idx="1">
                  <c:v>-300000</c:v>
                </c:pt>
                <c:pt idx="2">
                  <c:v>-300000</c:v>
                </c:pt>
                <c:pt idx="3">
                  <c:v>-300000</c:v>
                </c:pt>
                <c:pt idx="4">
                  <c:v>-300000</c:v>
                </c:pt>
                <c:pt idx="5">
                  <c:v>-299187.5</c:v>
                </c:pt>
                <c:pt idx="6">
                  <c:v>-287375</c:v>
                </c:pt>
                <c:pt idx="7">
                  <c:v>-270062.5</c:v>
                </c:pt>
                <c:pt idx="8">
                  <c:v>-247250</c:v>
                </c:pt>
                <c:pt idx="9">
                  <c:v>-218937.5</c:v>
                </c:pt>
                <c:pt idx="10">
                  <c:v>-178812.5</c:v>
                </c:pt>
                <c:pt idx="11">
                  <c:v>-127687.5</c:v>
                </c:pt>
                <c:pt idx="12">
                  <c:v>-65562.5</c:v>
                </c:pt>
                <c:pt idx="13">
                  <c:v>7562.5</c:v>
                </c:pt>
                <c:pt idx="14">
                  <c:v>91687.5</c:v>
                </c:pt>
                <c:pt idx="15">
                  <c:v>186812.5</c:v>
                </c:pt>
                <c:pt idx="16">
                  <c:v>292937.5</c:v>
                </c:pt>
                <c:pt idx="17">
                  <c:v>410062.5</c:v>
                </c:pt>
                <c:pt idx="18">
                  <c:v>538187.5</c:v>
                </c:pt>
                <c:pt idx="19">
                  <c:v>677312.5</c:v>
                </c:pt>
                <c:pt idx="20">
                  <c:v>827437.5</c:v>
                </c:pt>
                <c:pt idx="21">
                  <c:v>988562.5</c:v>
                </c:pt>
                <c:pt idx="22">
                  <c:v>1160687.5</c:v>
                </c:pt>
                <c:pt idx="23">
                  <c:v>1343812.5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7-45A7-A1E0-BD0D51D7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423856"/>
        <c:axId val="1239999632"/>
      </c:lineChart>
      <c:dateAx>
        <c:axId val="122842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999632"/>
        <c:crosses val="autoZero"/>
        <c:auto val="1"/>
        <c:lblOffset val="100"/>
        <c:baseTimeUnit val="months"/>
      </c:dateAx>
      <c:valAx>
        <c:axId val="12399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84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pt-BR"/>
              <a:t>Fluxo de Caixa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'Fluxo de Caixa (2)'!$E$4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'Fluxo de Caixa (2)'!$B$5:$B$29</c:f>
              <c:numCache>
                <c:formatCode>mmm\-yy</c:formatCode>
                <c:ptCount val="25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  <c:pt idx="11">
                  <c:v>45597</c:v>
                </c:pt>
                <c:pt idx="12">
                  <c:v>45627</c:v>
                </c:pt>
                <c:pt idx="13">
                  <c:v>45658</c:v>
                </c:pt>
                <c:pt idx="14">
                  <c:v>45689</c:v>
                </c:pt>
                <c:pt idx="15">
                  <c:v>45717</c:v>
                </c:pt>
                <c:pt idx="16">
                  <c:v>45748</c:v>
                </c:pt>
                <c:pt idx="17">
                  <c:v>45778</c:v>
                </c:pt>
                <c:pt idx="18">
                  <c:v>45809</c:v>
                </c:pt>
                <c:pt idx="19">
                  <c:v>45839</c:v>
                </c:pt>
                <c:pt idx="20">
                  <c:v>45870</c:v>
                </c:pt>
                <c:pt idx="21">
                  <c:v>45901</c:v>
                </c:pt>
                <c:pt idx="22">
                  <c:v>45931</c:v>
                </c:pt>
                <c:pt idx="23">
                  <c:v>45962</c:v>
                </c:pt>
                <c:pt idx="24">
                  <c:v>45992</c:v>
                </c:pt>
              </c:numCache>
            </c:numRef>
          </c:cat>
          <c:val>
            <c:numRef>
              <c:f>'Fluxo de Caixa (2)'!$E$5:$E$29</c:f>
              <c:numCache>
                <c:formatCode>"R$"#,##0.00_);[Red]\("R$"#,##0.00\)</c:formatCode>
                <c:ptCount val="25"/>
                <c:pt idx="0">
                  <c:v>300000</c:v>
                </c:pt>
                <c:pt idx="1">
                  <c:v>-220615.67</c:v>
                </c:pt>
                <c:pt idx="2">
                  <c:v>-193815.67</c:v>
                </c:pt>
                <c:pt idx="3">
                  <c:v>-167015.67000000001</c:v>
                </c:pt>
                <c:pt idx="4">
                  <c:v>-133715.67000000001</c:v>
                </c:pt>
                <c:pt idx="5">
                  <c:v>-100415.67000000001</c:v>
                </c:pt>
                <c:pt idx="6">
                  <c:v>-67928.170000000013</c:v>
                </c:pt>
                <c:pt idx="7">
                  <c:v>-46440.670000000013</c:v>
                </c:pt>
                <c:pt idx="8">
                  <c:v>-30453.170000000013</c:v>
                </c:pt>
                <c:pt idx="9">
                  <c:v>-19965.670000000013</c:v>
                </c:pt>
                <c:pt idx="10">
                  <c:v>-14978.170000000013</c:v>
                </c:pt>
                <c:pt idx="11">
                  <c:v>-8153.1700000000128</c:v>
                </c:pt>
                <c:pt idx="12">
                  <c:v>9671.8299999999872</c:v>
                </c:pt>
                <c:pt idx="13">
                  <c:v>38496.829999999987</c:v>
                </c:pt>
                <c:pt idx="14">
                  <c:v>78321.829999999987</c:v>
                </c:pt>
                <c:pt idx="15">
                  <c:v>129146.82999999999</c:v>
                </c:pt>
                <c:pt idx="16">
                  <c:v>190971.83</c:v>
                </c:pt>
                <c:pt idx="17">
                  <c:v>263796.82999999996</c:v>
                </c:pt>
                <c:pt idx="18">
                  <c:v>347621.82999999996</c:v>
                </c:pt>
                <c:pt idx="19">
                  <c:v>442446.82999999996</c:v>
                </c:pt>
                <c:pt idx="20">
                  <c:v>548271.82999999996</c:v>
                </c:pt>
                <c:pt idx="21">
                  <c:v>665096.82999999996</c:v>
                </c:pt>
                <c:pt idx="22">
                  <c:v>792921.83</c:v>
                </c:pt>
                <c:pt idx="23">
                  <c:v>931746.83</c:v>
                </c:pt>
                <c:pt idx="24">
                  <c:v>1081571.83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8-47F4-87A8-9C22BE80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423856"/>
        <c:axId val="1239999632"/>
      </c:lineChart>
      <c:dateAx>
        <c:axId val="122842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1239999632"/>
        <c:crosses val="autoZero"/>
        <c:auto val="1"/>
        <c:lblOffset val="100"/>
        <c:baseTimeUnit val="months"/>
      </c:dateAx>
      <c:valAx>
        <c:axId val="12399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12284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19240</xdr:colOff>
      <xdr:row>9</xdr:row>
      <xdr:rowOff>111942</xdr:rowOff>
    </xdr:from>
    <xdr:to>
      <xdr:col>3</xdr:col>
      <xdr:colOff>277917</xdr:colOff>
      <xdr:row>19</xdr:row>
      <xdr:rowOff>54792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F7CE6B-A4B0-514B-88CE-B1FEBB4E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61" y="1850910"/>
          <a:ext cx="1613150" cy="186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122093</xdr:colOff>
      <xdr:row>16</xdr:row>
      <xdr:rowOff>122093</xdr:rowOff>
    </xdr:from>
    <xdr:to>
      <xdr:col>5</xdr:col>
      <xdr:colOff>64943</xdr:colOff>
      <xdr:row>18</xdr:row>
      <xdr:rowOff>100445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58B2B78-C41D-7944-9C19-38B93F93E88D}"/>
            </a:ext>
          </a:extLst>
        </xdr:cNvPr>
        <xdr:cNvSpPr/>
      </xdr:nvSpPr>
      <xdr:spPr>
        <a:xfrm>
          <a:off x="407843" y="2745798"/>
          <a:ext cx="3493077" cy="3073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133350</xdr:colOff>
      <xdr:row>30</xdr:row>
      <xdr:rowOff>104774</xdr:rowOff>
    </xdr:from>
    <xdr:to>
      <xdr:col>5</xdr:col>
      <xdr:colOff>76200</xdr:colOff>
      <xdr:row>32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CE06BB-F4B9-4B34-9AD2-2D766658EECF}"/>
            </a:ext>
          </a:extLst>
        </xdr:cNvPr>
        <xdr:cNvSpPr/>
      </xdr:nvSpPr>
      <xdr:spPr>
        <a:xfrm>
          <a:off x="419100" y="3838574"/>
          <a:ext cx="3019425" cy="3143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64943</xdr:colOff>
      <xdr:row>17</xdr:row>
      <xdr:rowOff>111270</xdr:rowOff>
    </xdr:from>
    <xdr:to>
      <xdr:col>5</xdr:col>
      <xdr:colOff>76200</xdr:colOff>
      <xdr:row>31</xdr:row>
      <xdr:rowOff>100012</xdr:rowOff>
    </xdr:to>
    <xdr:cxnSp macro="">
      <xdr:nvCxnSpPr>
        <xdr:cNvPr id="5" name="Conector: Angulado 4">
          <a:extLst>
            <a:ext uri="{FF2B5EF4-FFF2-40B4-BE49-F238E27FC236}">
              <a16:creationId xmlns:a16="http://schemas.microsoft.com/office/drawing/2014/main" id="{F51F5427-F546-BC6C-AB29-18A8F0253F52}"/>
            </a:ext>
          </a:extLst>
        </xdr:cNvPr>
        <xdr:cNvCxnSpPr>
          <a:stCxn id="3" idx="3"/>
          <a:endCxn id="2" idx="3"/>
        </xdr:cNvCxnSpPr>
      </xdr:nvCxnSpPr>
      <xdr:spPr>
        <a:xfrm flipH="1" flipV="1">
          <a:off x="3900920" y="2899497"/>
          <a:ext cx="11257" cy="2300720"/>
        </a:xfrm>
        <a:prstGeom prst="bentConnector3">
          <a:avLst>
            <a:gd name="adj1" fmla="val -203073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391584</xdr:colOff>
      <xdr:row>2</xdr:row>
      <xdr:rowOff>141816</xdr:rowOff>
    </xdr:from>
    <xdr:to>
      <xdr:col>16</xdr:col>
      <xdr:colOff>52917</xdr:colOff>
      <xdr:row>20</xdr:row>
      <xdr:rowOff>16933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C8E8F2-4D40-FC1A-2915-9CC5FE00B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243241</xdr:colOff>
      <xdr:row>14</xdr:row>
      <xdr:rowOff>79032</xdr:rowOff>
    </xdr:from>
    <xdr:to>
      <xdr:col>5</xdr:col>
      <xdr:colOff>202474</xdr:colOff>
      <xdr:row>16</xdr:row>
      <xdr:rowOff>57383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CA24238-43AD-4464-90EF-AEE2A26274FB}"/>
            </a:ext>
          </a:extLst>
        </xdr:cNvPr>
        <xdr:cNvSpPr/>
      </xdr:nvSpPr>
      <xdr:spPr>
        <a:xfrm>
          <a:off x="526417" y="2524640"/>
          <a:ext cx="3511800" cy="3044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133350</xdr:colOff>
      <xdr:row>30</xdr:row>
      <xdr:rowOff>104774</xdr:rowOff>
    </xdr:from>
    <xdr:to>
      <xdr:col>5</xdr:col>
      <xdr:colOff>76200</xdr:colOff>
      <xdr:row>32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1F4C3BA-FD4C-49C8-A216-14CFEA259CB0}"/>
            </a:ext>
          </a:extLst>
        </xdr:cNvPr>
        <xdr:cNvSpPr/>
      </xdr:nvSpPr>
      <xdr:spPr>
        <a:xfrm>
          <a:off x="419100" y="4972049"/>
          <a:ext cx="3495675" cy="3143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76200</xdr:colOff>
      <xdr:row>15</xdr:row>
      <xdr:rowOff>68207</xdr:rowOff>
    </xdr:from>
    <xdr:to>
      <xdr:col>5</xdr:col>
      <xdr:colOff>202474</xdr:colOff>
      <xdr:row>31</xdr:row>
      <xdr:rowOff>100013</xdr:rowOff>
    </xdr:to>
    <xdr:cxnSp macro="">
      <xdr:nvCxnSpPr>
        <xdr:cNvPr id="4" name="Conector: Angulado 3">
          <a:extLst>
            <a:ext uri="{FF2B5EF4-FFF2-40B4-BE49-F238E27FC236}">
              <a16:creationId xmlns:a16="http://schemas.microsoft.com/office/drawing/2014/main" id="{911147B7-1403-4653-9487-6B29D0615D9E}"/>
            </a:ext>
          </a:extLst>
        </xdr:cNvPr>
        <xdr:cNvCxnSpPr>
          <a:stCxn id="3" idx="3"/>
          <a:endCxn id="2" idx="3"/>
        </xdr:cNvCxnSpPr>
      </xdr:nvCxnSpPr>
      <xdr:spPr>
        <a:xfrm flipV="1">
          <a:off x="3911943" y="2676856"/>
          <a:ext cx="126274" cy="2649035"/>
        </a:xfrm>
        <a:prstGeom prst="bentConnector3">
          <a:avLst>
            <a:gd name="adj1" fmla="val 281035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359296</xdr:colOff>
      <xdr:row>3</xdr:row>
      <xdr:rowOff>69167</xdr:rowOff>
    </xdr:from>
    <xdr:to>
      <xdr:col>16</xdr:col>
      <xdr:colOff>419746</xdr:colOff>
      <xdr:row>24</xdr:row>
      <xdr:rowOff>8072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77D0C1-F2FC-40AA-9795-2B909358D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56E1-0019-43E0-9EE2-F48F3BDE9571}">
  <sheetPr>
    <tabColor theme="0"/>
  </sheetPr>
  <dimension ref="A1:D21"/>
  <sheetViews>
    <sheetView showGridLines="0" zoomScale="109" workbookViewId="0">
      <selection activeCell="B6" sqref="B6:D8"/>
    </sheetView>
  </sheetViews>
  <sheetFormatPr defaultColWidth="0" defaultRowHeight="15" zeroHeight="1" x14ac:dyDescent="0.25"/>
  <cols>
    <col min="1" max="1" width="4" customWidth="1"/>
    <col min="2" max="2" width="6.5703125" customWidth="1"/>
    <col min="3" max="3" width="20.28515625" bestFit="1" customWidth="1"/>
    <col min="4" max="4" width="20.28515625" customWidth="1"/>
    <col min="5" max="16384" width="9.140625" hidden="1"/>
  </cols>
  <sheetData>
    <row r="1" spans="1:4" x14ac:dyDescent="0.25">
      <c r="A1" s="33"/>
      <c r="B1" s="33"/>
      <c r="C1" s="33"/>
      <c r="D1" s="33"/>
    </row>
    <row r="2" spans="1:4" ht="15.75" x14ac:dyDescent="0.25">
      <c r="A2" s="33"/>
      <c r="B2" s="34" t="s">
        <v>24</v>
      </c>
      <c r="C2" s="33"/>
      <c r="D2" s="33"/>
    </row>
    <row r="3" spans="1:4" x14ac:dyDescent="0.25">
      <c r="A3" s="33"/>
      <c r="B3" s="28"/>
      <c r="C3" s="33"/>
      <c r="D3" s="33"/>
    </row>
    <row r="4" spans="1:4" x14ac:dyDescent="0.25">
      <c r="A4" s="33"/>
      <c r="B4" s="28" t="s">
        <v>0</v>
      </c>
      <c r="C4" s="27"/>
      <c r="D4" s="33"/>
    </row>
    <row r="5" spans="1:4" x14ac:dyDescent="0.25">
      <c r="A5" s="33"/>
      <c r="B5" s="59" t="s">
        <v>78</v>
      </c>
      <c r="C5" s="27"/>
      <c r="D5" s="33"/>
    </row>
    <row r="6" spans="1:4" x14ac:dyDescent="0.25">
      <c r="A6" s="33"/>
      <c r="B6" s="60" t="s">
        <v>72</v>
      </c>
      <c r="C6" s="58"/>
      <c r="D6" s="58"/>
    </row>
    <row r="7" spans="1:4" x14ac:dyDescent="0.25">
      <c r="A7" s="33"/>
      <c r="B7" s="58"/>
      <c r="C7" s="58"/>
      <c r="D7" s="58"/>
    </row>
    <row r="8" spans="1:4" x14ac:dyDescent="0.25">
      <c r="A8" s="33"/>
      <c r="B8" s="58"/>
      <c r="C8" s="58"/>
      <c r="D8" s="58"/>
    </row>
    <row r="9" spans="1:4" x14ac:dyDescent="0.25">
      <c r="A9" s="33"/>
      <c r="B9" s="59" t="s">
        <v>73</v>
      </c>
      <c r="C9" s="27"/>
      <c r="D9" s="33"/>
    </row>
    <row r="10" spans="1:4" x14ac:dyDescent="0.25">
      <c r="A10" s="33"/>
      <c r="B10" s="33"/>
      <c r="C10" s="33"/>
      <c r="D10" s="33"/>
    </row>
    <row r="11" spans="1:4" x14ac:dyDescent="0.25">
      <c r="A11" s="33"/>
      <c r="B11" s="33"/>
      <c r="C11" s="33"/>
      <c r="D11" s="33"/>
    </row>
    <row r="12" spans="1:4" x14ac:dyDescent="0.25">
      <c r="A12" s="33"/>
      <c r="B12" s="33"/>
      <c r="C12" s="33"/>
      <c r="D12" s="33"/>
    </row>
    <row r="13" spans="1:4" x14ac:dyDescent="0.25">
      <c r="A13" s="33"/>
      <c r="B13" s="33"/>
      <c r="C13" s="33"/>
      <c r="D13" s="33"/>
    </row>
    <row r="14" spans="1:4" x14ac:dyDescent="0.25">
      <c r="A14" s="33"/>
      <c r="B14" s="33"/>
      <c r="C14" s="33"/>
      <c r="D14" s="33"/>
    </row>
    <row r="15" spans="1:4" x14ac:dyDescent="0.25">
      <c r="A15" s="33"/>
      <c r="B15" s="33"/>
      <c r="C15" s="33"/>
      <c r="D15" s="33"/>
    </row>
    <row r="16" spans="1:4" x14ac:dyDescent="0.25">
      <c r="A16" s="33"/>
      <c r="B16" s="33"/>
      <c r="C16" s="33"/>
      <c r="D16" s="33"/>
    </row>
    <row r="17" spans="1:4" x14ac:dyDescent="0.25">
      <c r="A17" s="33"/>
      <c r="B17" s="33"/>
      <c r="C17" s="33"/>
      <c r="D17" s="33"/>
    </row>
    <row r="18" spans="1:4" x14ac:dyDescent="0.25">
      <c r="A18" s="33"/>
      <c r="B18" s="33"/>
      <c r="C18" s="33"/>
      <c r="D18" s="33"/>
    </row>
    <row r="19" spans="1:4" x14ac:dyDescent="0.25">
      <c r="A19" s="33"/>
      <c r="B19" s="33"/>
      <c r="C19" s="33"/>
      <c r="D19" s="33"/>
    </row>
    <row r="20" spans="1:4" x14ac:dyDescent="0.25">
      <c r="A20" s="33"/>
      <c r="B20" s="33"/>
      <c r="C20" s="33"/>
      <c r="D20" s="33"/>
    </row>
    <row r="21" spans="1:4" x14ac:dyDescent="0.25">
      <c r="A21" s="33"/>
      <c r="B21" s="33"/>
      <c r="C21" s="33"/>
      <c r="D21" s="33"/>
    </row>
  </sheetData>
  <mergeCells count="1">
    <mergeCell ref="B6:D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A72E-7AB5-476C-91D6-67672D2065AD}">
  <sheetPr>
    <tabColor theme="1"/>
  </sheetPr>
  <dimension ref="A1"/>
  <sheetViews>
    <sheetView topLeftCell="XFD1048576" workbookViewId="0">
      <selection activeCell="A1048576" sqref="A1:XFD1048576"/>
    </sheetView>
  </sheetViews>
  <sheetFormatPr defaultColWidth="0" defaultRowHeight="15" zeroHeight="1" x14ac:dyDescent="0.25"/>
  <cols>
    <col min="1" max="16384" width="9.140625" hidden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537E-7402-42AF-84DA-2F8E06684E91}">
  <dimension ref="A1:H40"/>
  <sheetViews>
    <sheetView showGridLines="0" zoomScale="140" zoomScaleNormal="140" workbookViewId="0">
      <selection activeCell="D16" sqref="D16"/>
    </sheetView>
  </sheetViews>
  <sheetFormatPr defaultColWidth="0" defaultRowHeight="12.75" zeroHeight="1" x14ac:dyDescent="0.2"/>
  <cols>
    <col min="1" max="1" width="3.140625" style="1" customWidth="1"/>
    <col min="2" max="2" width="7.85546875" style="1" bestFit="1" customWidth="1"/>
    <col min="3" max="3" width="30.140625" style="1" customWidth="1"/>
    <col min="4" max="4" width="10" style="1" bestFit="1" customWidth="1"/>
    <col min="5" max="5" width="17.85546875" style="1" customWidth="1"/>
    <col min="6" max="6" width="10.42578125" style="1" bestFit="1" customWidth="1"/>
    <col min="7" max="7" width="3" style="1" customWidth="1"/>
    <col min="8" max="8" width="11.85546875" style="1" hidden="1" customWidth="1"/>
    <col min="9" max="16384" width="9.140625" style="1" hidden="1"/>
  </cols>
  <sheetData>
    <row r="1" spans="2:8" ht="8.25" customHeight="1" x14ac:dyDescent="0.2">
      <c r="C1" s="2"/>
      <c r="E1" s="3"/>
    </row>
    <row r="2" spans="2:8" x14ac:dyDescent="0.2">
      <c r="B2" s="27">
        <v>24</v>
      </c>
      <c r="C2" s="28" t="s">
        <v>16</v>
      </c>
      <c r="E2" s="3"/>
    </row>
    <row r="3" spans="2:8" ht="13.5" x14ac:dyDescent="0.25">
      <c r="B3" s="61" t="s">
        <v>71</v>
      </c>
      <c r="C3" s="2"/>
      <c r="E3" s="3"/>
    </row>
    <row r="4" spans="2:8" x14ac:dyDescent="0.2">
      <c r="B4" s="3"/>
      <c r="C4" s="2"/>
      <c r="E4" s="3"/>
    </row>
    <row r="5" spans="2:8" x14ac:dyDescent="0.2">
      <c r="B5" s="6">
        <v>1</v>
      </c>
      <c r="C5" s="7" t="s">
        <v>13</v>
      </c>
      <c r="D5" s="8">
        <v>7000</v>
      </c>
      <c r="E5" s="3" t="s">
        <v>15</v>
      </c>
      <c r="F5" s="13">
        <f>D5*$B$2</f>
        <v>168000</v>
      </c>
    </row>
    <row r="6" spans="2:8" x14ac:dyDescent="0.2">
      <c r="B6" s="6">
        <v>1</v>
      </c>
      <c r="C6" s="7" t="s">
        <v>14</v>
      </c>
      <c r="D6" s="8">
        <v>7000</v>
      </c>
      <c r="E6" s="3" t="s">
        <v>15</v>
      </c>
      <c r="F6" s="13">
        <f t="shared" ref="F6:F12" si="0">D6*$B$2</f>
        <v>168000</v>
      </c>
    </row>
    <row r="7" spans="2:8" x14ac:dyDescent="0.2">
      <c r="B7" s="6">
        <v>1</v>
      </c>
      <c r="C7" s="7" t="s">
        <v>1</v>
      </c>
      <c r="D7" s="8">
        <v>3500</v>
      </c>
      <c r="E7" s="3" t="s">
        <v>15</v>
      </c>
      <c r="F7" s="13">
        <f t="shared" si="0"/>
        <v>84000</v>
      </c>
    </row>
    <row r="8" spans="2:8" x14ac:dyDescent="0.2">
      <c r="B8" s="6">
        <v>1</v>
      </c>
      <c r="C8" s="7" t="s">
        <v>69</v>
      </c>
      <c r="D8" s="8">
        <v>3000</v>
      </c>
      <c r="E8" s="3" t="s">
        <v>22</v>
      </c>
      <c r="F8" s="13">
        <f>D8*21</f>
        <v>63000</v>
      </c>
      <c r="G8" s="1" t="s">
        <v>77</v>
      </c>
    </row>
    <row r="9" spans="2:8" x14ac:dyDescent="0.2">
      <c r="B9" s="6">
        <v>1</v>
      </c>
      <c r="C9" s="7" t="s">
        <v>70</v>
      </c>
      <c r="D9" s="8">
        <v>3500</v>
      </c>
      <c r="E9" s="3" t="s">
        <v>22</v>
      </c>
      <c r="F9" s="13">
        <f>D9*21</f>
        <v>73500</v>
      </c>
      <c r="G9" s="1" t="s">
        <v>77</v>
      </c>
    </row>
    <row r="10" spans="2:8" x14ac:dyDescent="0.2">
      <c r="B10" s="6">
        <v>1</v>
      </c>
      <c r="C10" s="7" t="s">
        <v>68</v>
      </c>
      <c r="D10" s="8">
        <v>5000</v>
      </c>
      <c r="E10" s="3" t="s">
        <v>22</v>
      </c>
      <c r="F10" s="13">
        <f t="shared" si="0"/>
        <v>120000</v>
      </c>
    </row>
    <row r="11" spans="2:8" x14ac:dyDescent="0.2">
      <c r="B11" s="6"/>
      <c r="C11" s="7" t="s">
        <v>12</v>
      </c>
      <c r="D11" s="8">
        <v>3500</v>
      </c>
      <c r="E11" s="3" t="s">
        <v>22</v>
      </c>
      <c r="F11" s="13">
        <f t="shared" si="0"/>
        <v>84000</v>
      </c>
    </row>
    <row r="12" spans="2:8" x14ac:dyDescent="0.2">
      <c r="B12" s="23"/>
      <c r="C12" s="24" t="s">
        <v>8</v>
      </c>
      <c r="D12" s="25">
        <v>800</v>
      </c>
      <c r="E12" s="22" t="s">
        <v>22</v>
      </c>
      <c r="F12" s="15">
        <f t="shared" si="0"/>
        <v>19200</v>
      </c>
    </row>
    <row r="13" spans="2:8" x14ac:dyDescent="0.2">
      <c r="B13" s="17"/>
      <c r="C13" s="17" t="s">
        <v>75</v>
      </c>
      <c r="D13" s="17"/>
      <c r="E13" s="62"/>
      <c r="F13" s="63"/>
    </row>
    <row r="14" spans="2:8" x14ac:dyDescent="0.2">
      <c r="C14" s="3" t="s">
        <v>18</v>
      </c>
      <c r="D14" s="17">
        <f>SUM(D5:D7)</f>
        <v>17500</v>
      </c>
      <c r="E14" s="26" t="s">
        <v>20</v>
      </c>
      <c r="F14" s="17">
        <f>SUMIF($E$5:$E$12,E5,$F$5:$F$12)</f>
        <v>420000</v>
      </c>
      <c r="H14" s="13"/>
    </row>
    <row r="15" spans="2:8" x14ac:dyDescent="0.2">
      <c r="C15" s="3" t="s">
        <v>19</v>
      </c>
      <c r="D15" s="17">
        <f>SUM(D10:D12)</f>
        <v>9300</v>
      </c>
      <c r="E15" s="26" t="s">
        <v>21</v>
      </c>
      <c r="F15" s="17">
        <f>SUMIF($E$5:$E$12,E8,$F$5:$F$12)</f>
        <v>359700</v>
      </c>
      <c r="H15" s="13"/>
    </row>
    <row r="16" spans="2:8" x14ac:dyDescent="0.2">
      <c r="C16" s="26" t="s">
        <v>76</v>
      </c>
      <c r="D16" s="17"/>
      <c r="E16" s="26"/>
      <c r="F16" s="17"/>
      <c r="H16" s="13"/>
    </row>
    <row r="17" spans="2:8" x14ac:dyDescent="0.2">
      <c r="C17" s="3" t="s">
        <v>18</v>
      </c>
      <c r="D17" s="17">
        <f>SUMIF($E$5:$E$12,E5,$D$5:$D$12)</f>
        <v>17500</v>
      </c>
      <c r="E17" s="26"/>
      <c r="F17" s="17"/>
      <c r="H17" s="13"/>
    </row>
    <row r="18" spans="2:8" x14ac:dyDescent="0.2">
      <c r="C18" s="3" t="s">
        <v>19</v>
      </c>
      <c r="D18" s="17">
        <f>SUMIF($E$5:$E$12,E12,$D$5:$D$12)</f>
        <v>15800</v>
      </c>
      <c r="E18" s="26"/>
      <c r="F18" s="17"/>
      <c r="H18" s="13"/>
    </row>
    <row r="19" spans="2:8" x14ac:dyDescent="0.2">
      <c r="C19" s="26"/>
      <c r="D19" s="17"/>
      <c r="E19" s="26"/>
      <c r="F19" s="17"/>
      <c r="H19" s="13"/>
    </row>
    <row r="20" spans="2:8" ht="13.5" x14ac:dyDescent="0.25">
      <c r="C20" s="16" t="s">
        <v>17</v>
      </c>
      <c r="D20" s="5">
        <f>SUM(D5:D12)-SUM(D17:D18)</f>
        <v>0</v>
      </c>
      <c r="F20" s="5">
        <f>SUM(F5:F12)-SUM(F14:F15)</f>
        <v>0</v>
      </c>
    </row>
    <row r="21" spans="2:8" x14ac:dyDescent="0.2">
      <c r="C21" s="2"/>
      <c r="D21" s="5"/>
      <c r="F21" s="5"/>
    </row>
    <row r="22" spans="2:8" x14ac:dyDescent="0.2">
      <c r="B22" s="9">
        <v>2</v>
      </c>
      <c r="C22" s="10" t="s">
        <v>2</v>
      </c>
      <c r="D22" s="11">
        <v>6500</v>
      </c>
      <c r="E22" s="3" t="s">
        <v>22</v>
      </c>
      <c r="F22" s="13">
        <f>B22*D22</f>
        <v>13000</v>
      </c>
    </row>
    <row r="23" spans="2:8" x14ac:dyDescent="0.2">
      <c r="B23" s="9">
        <v>1</v>
      </c>
      <c r="C23" s="12" t="s">
        <v>3</v>
      </c>
      <c r="D23" s="11">
        <v>7600</v>
      </c>
      <c r="E23" s="3" t="s">
        <v>22</v>
      </c>
      <c r="F23" s="13">
        <f t="shared" ref="F23:F30" si="1">B23*D23</f>
        <v>7600</v>
      </c>
    </row>
    <row r="24" spans="2:8" x14ac:dyDescent="0.2">
      <c r="B24" s="9">
        <v>3</v>
      </c>
      <c r="C24" s="12" t="s">
        <v>4</v>
      </c>
      <c r="D24" s="11">
        <v>2249.1</v>
      </c>
      <c r="E24" s="3" t="s">
        <v>22</v>
      </c>
      <c r="F24" s="13">
        <f t="shared" si="1"/>
        <v>6747.2999999999993</v>
      </c>
    </row>
    <row r="25" spans="2:8" x14ac:dyDescent="0.2">
      <c r="B25" s="9">
        <v>1</v>
      </c>
      <c r="C25" s="12" t="s">
        <v>5</v>
      </c>
      <c r="D25" s="11">
        <v>1649</v>
      </c>
      <c r="E25" s="3" t="s">
        <v>22</v>
      </c>
      <c r="F25" s="13">
        <f t="shared" si="1"/>
        <v>1649</v>
      </c>
    </row>
    <row r="26" spans="2:8" x14ac:dyDescent="0.2">
      <c r="B26" s="9">
        <v>1</v>
      </c>
      <c r="C26" s="12" t="s">
        <v>6</v>
      </c>
      <c r="D26" s="11">
        <v>3899</v>
      </c>
      <c r="E26" s="3" t="s">
        <v>22</v>
      </c>
      <c r="F26" s="13">
        <f t="shared" si="1"/>
        <v>3899</v>
      </c>
    </row>
    <row r="27" spans="2:8" x14ac:dyDescent="0.2">
      <c r="B27" s="9">
        <v>1</v>
      </c>
      <c r="C27" s="12" t="s">
        <v>7</v>
      </c>
      <c r="D27" s="11">
        <v>3149.1</v>
      </c>
      <c r="E27" s="3" t="s">
        <v>22</v>
      </c>
      <c r="F27" s="13">
        <f t="shared" si="1"/>
        <v>3149.1</v>
      </c>
    </row>
    <row r="28" spans="2:8" x14ac:dyDescent="0.2">
      <c r="B28" s="9">
        <v>16</v>
      </c>
      <c r="C28" s="12" t="s">
        <v>9</v>
      </c>
      <c r="D28" s="11">
        <v>667.8</v>
      </c>
      <c r="E28" s="3" t="s">
        <v>22</v>
      </c>
      <c r="F28" s="13">
        <f t="shared" si="1"/>
        <v>10684.8</v>
      </c>
    </row>
    <row r="29" spans="2:8" x14ac:dyDescent="0.2">
      <c r="B29" s="9">
        <v>8</v>
      </c>
      <c r="C29" s="12" t="s">
        <v>10</v>
      </c>
      <c r="D29" s="11">
        <v>525</v>
      </c>
      <c r="E29" s="3" t="s">
        <v>22</v>
      </c>
      <c r="F29" s="13">
        <f t="shared" si="1"/>
        <v>4200</v>
      </c>
    </row>
    <row r="30" spans="2:8" x14ac:dyDescent="0.2">
      <c r="B30" s="19">
        <v>1</v>
      </c>
      <c r="C30" s="20" t="s">
        <v>11</v>
      </c>
      <c r="D30" s="21">
        <v>1655.13</v>
      </c>
      <c r="E30" s="22" t="s">
        <v>22</v>
      </c>
      <c r="F30" s="15">
        <f t="shared" si="1"/>
        <v>1655.13</v>
      </c>
    </row>
    <row r="31" spans="2:8" x14ac:dyDescent="0.2">
      <c r="E31" s="18" t="s">
        <v>23</v>
      </c>
      <c r="F31" s="14">
        <f>SUM(F22:F30)</f>
        <v>52584.329999999994</v>
      </c>
    </row>
    <row r="32" spans="2:8" x14ac:dyDescent="0.2">
      <c r="E32" s="18"/>
      <c r="F32" s="14"/>
    </row>
    <row r="33" spans="4:6" hidden="1" x14ac:dyDescent="0.2">
      <c r="D33" s="13"/>
      <c r="E33" s="14"/>
      <c r="F33" s="14"/>
    </row>
    <row r="34" spans="4:6" hidden="1" x14ac:dyDescent="0.2">
      <c r="F34" s="14"/>
    </row>
    <row r="35" spans="4:6" hidden="1" x14ac:dyDescent="0.2">
      <c r="F35" s="14"/>
    </row>
    <row r="36" spans="4:6" hidden="1" x14ac:dyDescent="0.2">
      <c r="D36" s="13"/>
      <c r="E36" s="18"/>
      <c r="F36" s="14"/>
    </row>
    <row r="37" spans="4:6" hidden="1" x14ac:dyDescent="0.2">
      <c r="D37" s="13"/>
      <c r="E37" s="18"/>
      <c r="F37" s="14"/>
    </row>
    <row r="38" spans="4:6" hidden="1" x14ac:dyDescent="0.2">
      <c r="D38" s="13"/>
      <c r="E38" s="18"/>
      <c r="F38" s="14"/>
    </row>
    <row r="39" spans="4:6" hidden="1" x14ac:dyDescent="0.2">
      <c r="D39" s="13"/>
      <c r="E39" s="18"/>
      <c r="F39" s="14"/>
    </row>
    <row r="40" spans="4:6" hidden="1" x14ac:dyDescent="0.2">
      <c r="D40" s="13"/>
      <c r="E40" s="18"/>
      <c r="F40" s="1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D14:D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2247-BAEA-4DF5-A571-BEBE7A212C5D}">
  <dimension ref="A1:F39"/>
  <sheetViews>
    <sheetView showGridLines="0" zoomScale="110" zoomScaleNormal="110" workbookViewId="0">
      <selection activeCell="B1" sqref="B1"/>
    </sheetView>
  </sheetViews>
  <sheetFormatPr defaultColWidth="0" defaultRowHeight="12.75" zeroHeight="1" x14ac:dyDescent="0.2"/>
  <cols>
    <col min="1" max="1" width="4.42578125" style="1" customWidth="1"/>
    <col min="2" max="2" width="16.85546875" style="1" customWidth="1"/>
    <col min="3" max="3" width="13.5703125" style="1" bestFit="1" customWidth="1"/>
    <col min="4" max="4" width="15.140625" style="1" bestFit="1" customWidth="1"/>
    <col min="5" max="5" width="16.42578125" style="1" customWidth="1"/>
    <col min="6" max="6" width="9.140625" style="1" customWidth="1"/>
    <col min="7" max="16384" width="9.140625" style="1" hidden="1"/>
  </cols>
  <sheetData>
    <row r="1" spans="2:6" x14ac:dyDescent="0.2"/>
    <row r="2" spans="2:6" x14ac:dyDescent="0.2">
      <c r="C2" s="18" t="s">
        <v>29</v>
      </c>
      <c r="D2" s="18" t="s">
        <v>30</v>
      </c>
      <c r="E2" s="18" t="s">
        <v>31</v>
      </c>
    </row>
    <row r="3" spans="2:6" x14ac:dyDescent="0.2">
      <c r="B3" s="18" t="s">
        <v>27</v>
      </c>
      <c r="C3" s="1">
        <f>10*12</f>
        <v>120</v>
      </c>
      <c r="D3" s="13">
        <f>SUM('Custos e Despesas'!F22:F27)</f>
        <v>36044.400000000001</v>
      </c>
      <c r="E3" s="13">
        <f>D3/C3</f>
        <v>300.37</v>
      </c>
    </row>
    <row r="4" spans="2:6" x14ac:dyDescent="0.2">
      <c r="B4" s="18" t="s">
        <v>28</v>
      </c>
      <c r="C4" s="1">
        <f>5*12</f>
        <v>60</v>
      </c>
      <c r="D4" s="13">
        <f>SUM('Custos e Despesas'!F28:F30)</f>
        <v>16539.93</v>
      </c>
      <c r="E4" s="13">
        <f>D4/C4</f>
        <v>275.66550000000001</v>
      </c>
    </row>
    <row r="5" spans="2:6" ht="13.5" x14ac:dyDescent="0.25">
      <c r="C5" s="16" t="s">
        <v>17</v>
      </c>
      <c r="D5" s="13">
        <f>SUM(D3:D4)-'Custos e Despesas'!F31</f>
        <v>0</v>
      </c>
    </row>
    <row r="6" spans="2:6" x14ac:dyDescent="0.2"/>
    <row r="7" spans="2:6" x14ac:dyDescent="0.2">
      <c r="B7" s="18" t="s">
        <v>25</v>
      </c>
      <c r="C7" s="14">
        <f>'Custos e Despesas'!D14</f>
        <v>17500</v>
      </c>
      <c r="F7" s="13"/>
    </row>
    <row r="8" spans="2:6" x14ac:dyDescent="0.2">
      <c r="B8" s="18" t="s">
        <v>26</v>
      </c>
      <c r="C8" s="14">
        <f>'Custos e Despesas'!D15</f>
        <v>9300</v>
      </c>
      <c r="F8" s="13"/>
    </row>
    <row r="9" spans="2:6" ht="13.5" x14ac:dyDescent="0.25">
      <c r="B9" s="16" t="s">
        <v>17</v>
      </c>
      <c r="C9" s="13">
        <f>SUM(C7:C8)-SUM('Custos e Despesas'!D14:D15)</f>
        <v>0</v>
      </c>
      <c r="F9" s="13"/>
    </row>
    <row r="10" spans="2:6" x14ac:dyDescent="0.2"/>
    <row r="11" spans="2:6" x14ac:dyDescent="0.2">
      <c r="B11" s="18" t="s">
        <v>32</v>
      </c>
      <c r="C11" s="1" t="s">
        <v>34</v>
      </c>
    </row>
    <row r="12" spans="2:6" x14ac:dyDescent="0.2">
      <c r="C12" s="1">
        <v>5</v>
      </c>
    </row>
    <row r="13" spans="2:6" x14ac:dyDescent="0.2">
      <c r="B13" s="18" t="s">
        <v>33</v>
      </c>
      <c r="C13" s="1" t="s">
        <v>34</v>
      </c>
    </row>
    <row r="14" spans="2:6" x14ac:dyDescent="0.2">
      <c r="C14" s="1">
        <v>1</v>
      </c>
    </row>
    <row r="15" spans="2:6" x14ac:dyDescent="0.2"/>
    <row r="16" spans="2:6" x14ac:dyDescent="0.2">
      <c r="B16" s="18" t="s">
        <v>67</v>
      </c>
    </row>
    <row r="17" spans="2:5" x14ac:dyDescent="0.2"/>
    <row r="18" spans="2:5" x14ac:dyDescent="0.2"/>
    <row r="19" spans="2:5" x14ac:dyDescent="0.2">
      <c r="B19" s="18" t="s">
        <v>35</v>
      </c>
      <c r="C19" s="35"/>
    </row>
    <row r="20" spans="2:5" x14ac:dyDescent="0.2">
      <c r="B20" s="1" t="s">
        <v>36</v>
      </c>
    </row>
    <row r="21" spans="2:5" x14ac:dyDescent="0.2">
      <c r="B21" s="1" t="s">
        <v>39</v>
      </c>
    </row>
    <row r="22" spans="2:5" x14ac:dyDescent="0.2">
      <c r="B22" s="4">
        <v>50</v>
      </c>
      <c r="C22" s="1" t="s">
        <v>46</v>
      </c>
      <c r="D22" s="4">
        <f>B22*C12</f>
        <v>250</v>
      </c>
    </row>
    <row r="23" spans="2:5" x14ac:dyDescent="0.2">
      <c r="B23" s="4">
        <v>75</v>
      </c>
      <c r="C23" s="1" t="s">
        <v>47</v>
      </c>
      <c r="D23" s="40">
        <f>B23*C14</f>
        <v>75</v>
      </c>
      <c r="E23" s="41"/>
    </row>
    <row r="24" spans="2:5" ht="15" x14ac:dyDescent="0.2">
      <c r="B24" s="36"/>
      <c r="D24" s="4">
        <f>MEDIAN(D22:D23)</f>
        <v>162.5</v>
      </c>
      <c r="E24" s="1" t="s">
        <v>45</v>
      </c>
    </row>
    <row r="25" spans="2:5" x14ac:dyDescent="0.2">
      <c r="B25" s="18" t="s">
        <v>38</v>
      </c>
    </row>
    <row r="26" spans="2:5" x14ac:dyDescent="0.2">
      <c r="B26" s="1" t="s">
        <v>37</v>
      </c>
    </row>
    <row r="27" spans="2:5" x14ac:dyDescent="0.2">
      <c r="B27" s="1" t="s">
        <v>40</v>
      </c>
    </row>
    <row r="28" spans="2:5" x14ac:dyDescent="0.2">
      <c r="B28" s="4">
        <v>300</v>
      </c>
      <c r="C28" s="1" t="s">
        <v>46</v>
      </c>
      <c r="D28" s="4">
        <f>B28*C12</f>
        <v>1500</v>
      </c>
    </row>
    <row r="29" spans="2:5" x14ac:dyDescent="0.2">
      <c r="B29" s="4">
        <v>700</v>
      </c>
      <c r="C29" s="1" t="s">
        <v>47</v>
      </c>
      <c r="D29" s="40">
        <f>B29*C14</f>
        <v>700</v>
      </c>
      <c r="E29" s="41"/>
    </row>
    <row r="30" spans="2:5" x14ac:dyDescent="0.2">
      <c r="C30" s="38"/>
      <c r="D30" s="4">
        <f>MEDIAN(D28:D29)</f>
        <v>1100</v>
      </c>
      <c r="E30" s="1" t="s">
        <v>45</v>
      </c>
    </row>
    <row r="31" spans="2:5" x14ac:dyDescent="0.2">
      <c r="B31" s="18" t="s">
        <v>44</v>
      </c>
    </row>
    <row r="32" spans="2:5" x14ac:dyDescent="0.2"/>
    <row r="33" spans="2:4" x14ac:dyDescent="0.2">
      <c r="B33" s="1" t="s">
        <v>43</v>
      </c>
    </row>
    <row r="34" spans="2:4" x14ac:dyDescent="0.2"/>
    <row r="35" spans="2:4" x14ac:dyDescent="0.2">
      <c r="B35" s="13">
        <f>E3+E4+C7+C8</f>
        <v>27376.035499999998</v>
      </c>
    </row>
    <row r="36" spans="2:4" x14ac:dyDescent="0.2"/>
    <row r="37" spans="2:4" x14ac:dyDescent="0.2">
      <c r="B37" s="37">
        <f>B35/D28</f>
        <v>18.250690333333331</v>
      </c>
      <c r="C37" s="37">
        <f>B35/D29</f>
        <v>39.108622142857143</v>
      </c>
      <c r="D37" s="37">
        <f>B35/D30</f>
        <v>24.887304999999998</v>
      </c>
    </row>
    <row r="38" spans="2:4" x14ac:dyDescent="0.2">
      <c r="B38" s="38" t="s">
        <v>42</v>
      </c>
      <c r="C38" s="39" t="s">
        <v>41</v>
      </c>
      <c r="D38" s="39" t="s">
        <v>45</v>
      </c>
    </row>
    <row r="39" spans="2:4" x14ac:dyDescent="0.2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097E-5179-461E-92D3-167B6D9817BA}">
  <dimension ref="A1:I47"/>
  <sheetViews>
    <sheetView showGridLines="0" zoomScale="110" zoomScaleNormal="110" workbookViewId="0">
      <selection activeCell="C5" sqref="C5"/>
    </sheetView>
  </sheetViews>
  <sheetFormatPr defaultColWidth="0" defaultRowHeight="12.75" zeroHeight="1" x14ac:dyDescent="0.2"/>
  <cols>
    <col min="1" max="1" width="3.28515625" style="1" customWidth="1"/>
    <col min="2" max="2" width="9.140625" style="1" customWidth="1"/>
    <col min="3" max="3" width="18" style="1" bestFit="1" customWidth="1"/>
    <col min="4" max="4" width="15.5703125" style="1" customWidth="1"/>
    <col min="5" max="5" width="3.140625" style="1" customWidth="1"/>
    <col min="6" max="6" width="9.140625" style="1" customWidth="1"/>
    <col min="7" max="7" width="10.42578125" style="1" customWidth="1"/>
    <col min="8" max="8" width="16.5703125" style="1" customWidth="1"/>
    <col min="9" max="9" width="4.28515625" style="1" customWidth="1"/>
    <col min="10" max="16384" width="9.140625" style="1" hidden="1"/>
  </cols>
  <sheetData>
    <row r="1" spans="2:8" x14ac:dyDescent="0.2"/>
    <row r="2" spans="2:8" x14ac:dyDescent="0.2">
      <c r="B2" s="27">
        <v>18</v>
      </c>
      <c r="C2" s="28" t="s">
        <v>16</v>
      </c>
    </row>
    <row r="3" spans="2:8" x14ac:dyDescent="0.2"/>
    <row r="4" spans="2:8" x14ac:dyDescent="0.2">
      <c r="B4" s="57" t="s">
        <v>50</v>
      </c>
      <c r="C4" s="57"/>
      <c r="D4" s="57"/>
      <c r="F4" s="57" t="s">
        <v>51</v>
      </c>
      <c r="G4" s="57"/>
      <c r="H4" s="57"/>
    </row>
    <row r="5" spans="2:8" ht="38.25" x14ac:dyDescent="0.2">
      <c r="B5" s="42" t="s">
        <v>48</v>
      </c>
      <c r="C5" s="44" t="s">
        <v>74</v>
      </c>
      <c r="D5" s="43" t="s">
        <v>49</v>
      </c>
      <c r="F5" s="42" t="s">
        <v>48</v>
      </c>
      <c r="G5" s="28" t="s">
        <v>35</v>
      </c>
      <c r="H5" s="44" t="s">
        <v>38</v>
      </c>
    </row>
    <row r="6" spans="2:8" x14ac:dyDescent="0.2">
      <c r="B6" s="31">
        <v>45292</v>
      </c>
      <c r="C6" s="32"/>
      <c r="D6" s="32"/>
      <c r="F6" s="31">
        <v>45292</v>
      </c>
      <c r="G6" s="32"/>
      <c r="H6" s="32"/>
    </row>
    <row r="7" spans="2:8" x14ac:dyDescent="0.2">
      <c r="B7" s="31">
        <v>45323</v>
      </c>
      <c r="C7" s="32"/>
      <c r="D7" s="32"/>
      <c r="F7" s="31">
        <v>45323</v>
      </c>
      <c r="G7" s="32"/>
      <c r="H7" s="32"/>
    </row>
    <row r="8" spans="2:8" x14ac:dyDescent="0.2">
      <c r="B8" s="31">
        <v>45352</v>
      </c>
      <c r="C8" s="32"/>
      <c r="D8" s="32"/>
      <c r="F8" s="31">
        <v>45352</v>
      </c>
      <c r="G8" s="32"/>
      <c r="H8" s="32"/>
    </row>
    <row r="9" spans="2:8" x14ac:dyDescent="0.2">
      <c r="B9" s="31">
        <v>45383</v>
      </c>
      <c r="C9" s="32"/>
      <c r="D9" s="32"/>
      <c r="F9" s="31">
        <v>45383</v>
      </c>
      <c r="G9" s="32"/>
      <c r="H9" s="32"/>
    </row>
    <row r="10" spans="2:8" x14ac:dyDescent="0.2">
      <c r="B10" s="31">
        <v>45413</v>
      </c>
      <c r="C10" s="32"/>
      <c r="D10" s="32"/>
      <c r="F10" s="31">
        <v>45413</v>
      </c>
      <c r="G10" s="32"/>
      <c r="H10" s="32"/>
    </row>
    <row r="11" spans="2:8" x14ac:dyDescent="0.2">
      <c r="B11" s="31">
        <v>45444</v>
      </c>
      <c r="C11" s="1">
        <v>5</v>
      </c>
      <c r="D11" s="32"/>
      <c r="F11" s="31">
        <v>45444</v>
      </c>
      <c r="G11" s="4">
        <f>C11*$D$40</f>
        <v>812.5</v>
      </c>
      <c r="H11" s="32"/>
    </row>
    <row r="12" spans="2:8" x14ac:dyDescent="0.2">
      <c r="B12" s="31">
        <v>45474</v>
      </c>
      <c r="C12" s="1">
        <v>5</v>
      </c>
      <c r="D12" s="1">
        <f>C11+C12</f>
        <v>10</v>
      </c>
      <c r="F12" s="31">
        <v>45474</v>
      </c>
      <c r="G12" s="4">
        <f t="shared" ref="G12:G29" si="0">C12*$D$40</f>
        <v>812.5</v>
      </c>
      <c r="H12" s="4">
        <f>D12*$D$46</f>
        <v>11000</v>
      </c>
    </row>
    <row r="13" spans="2:8" x14ac:dyDescent="0.2">
      <c r="B13" s="31">
        <v>45505</v>
      </c>
      <c r="C13" s="1">
        <v>5</v>
      </c>
      <c r="D13" s="1">
        <f>D12+C13</f>
        <v>15</v>
      </c>
      <c r="F13" s="31">
        <v>45505</v>
      </c>
      <c r="G13" s="4">
        <f t="shared" si="0"/>
        <v>812.5</v>
      </c>
      <c r="H13" s="4">
        <f t="shared" ref="H13:H29" si="1">D13*$D$46</f>
        <v>16500</v>
      </c>
    </row>
    <row r="14" spans="2:8" x14ac:dyDescent="0.2">
      <c r="B14" s="31">
        <v>45536</v>
      </c>
      <c r="C14" s="1">
        <v>5</v>
      </c>
      <c r="D14" s="1">
        <f t="shared" ref="D14:D29" si="2">D13+C14</f>
        <v>20</v>
      </c>
      <c r="F14" s="31">
        <v>45536</v>
      </c>
      <c r="G14" s="4">
        <f t="shared" si="0"/>
        <v>812.5</v>
      </c>
      <c r="H14" s="4">
        <f t="shared" si="1"/>
        <v>22000</v>
      </c>
    </row>
    <row r="15" spans="2:8" x14ac:dyDescent="0.2">
      <c r="B15" s="31">
        <v>45566</v>
      </c>
      <c r="C15" s="1">
        <v>5</v>
      </c>
      <c r="D15" s="1">
        <f t="shared" si="2"/>
        <v>25</v>
      </c>
      <c r="F15" s="31">
        <v>45566</v>
      </c>
      <c r="G15" s="4">
        <f t="shared" si="0"/>
        <v>812.5</v>
      </c>
      <c r="H15" s="4">
        <f t="shared" si="1"/>
        <v>27500</v>
      </c>
    </row>
    <row r="16" spans="2:8" x14ac:dyDescent="0.2">
      <c r="B16" s="31">
        <v>45597</v>
      </c>
      <c r="C16" s="1">
        <v>10</v>
      </c>
      <c r="D16" s="1">
        <f t="shared" si="2"/>
        <v>35</v>
      </c>
      <c r="F16" s="31">
        <v>45597</v>
      </c>
      <c r="G16" s="4">
        <f t="shared" si="0"/>
        <v>1625</v>
      </c>
      <c r="H16" s="4">
        <f t="shared" si="1"/>
        <v>38500</v>
      </c>
    </row>
    <row r="17" spans="2:8" x14ac:dyDescent="0.2">
      <c r="B17" s="31">
        <v>45627</v>
      </c>
      <c r="C17" s="1">
        <v>10</v>
      </c>
      <c r="D17" s="1">
        <f t="shared" si="2"/>
        <v>45</v>
      </c>
      <c r="F17" s="31">
        <v>45627</v>
      </c>
      <c r="G17" s="4">
        <f t="shared" si="0"/>
        <v>1625</v>
      </c>
      <c r="H17" s="4">
        <f t="shared" si="1"/>
        <v>49500</v>
      </c>
    </row>
    <row r="18" spans="2:8" x14ac:dyDescent="0.2">
      <c r="B18" s="31">
        <v>45658</v>
      </c>
      <c r="C18" s="1">
        <v>10</v>
      </c>
      <c r="D18" s="1">
        <f t="shared" si="2"/>
        <v>55</v>
      </c>
      <c r="F18" s="31">
        <v>45658</v>
      </c>
      <c r="G18" s="4">
        <f t="shared" si="0"/>
        <v>1625</v>
      </c>
      <c r="H18" s="4">
        <f t="shared" si="1"/>
        <v>60500</v>
      </c>
    </row>
    <row r="19" spans="2:8" x14ac:dyDescent="0.2">
      <c r="B19" s="31">
        <v>45689</v>
      </c>
      <c r="C19" s="1">
        <v>10</v>
      </c>
      <c r="D19" s="1">
        <f t="shared" si="2"/>
        <v>65</v>
      </c>
      <c r="F19" s="31">
        <v>45689</v>
      </c>
      <c r="G19" s="4">
        <f t="shared" si="0"/>
        <v>1625</v>
      </c>
      <c r="H19" s="4">
        <f t="shared" si="1"/>
        <v>71500</v>
      </c>
    </row>
    <row r="20" spans="2:8" x14ac:dyDescent="0.2">
      <c r="B20" s="31">
        <v>45717</v>
      </c>
      <c r="C20" s="1">
        <v>10</v>
      </c>
      <c r="D20" s="1">
        <f t="shared" si="2"/>
        <v>75</v>
      </c>
      <c r="F20" s="31">
        <v>45717</v>
      </c>
      <c r="G20" s="4">
        <f t="shared" si="0"/>
        <v>1625</v>
      </c>
      <c r="H20" s="4">
        <f t="shared" si="1"/>
        <v>82500</v>
      </c>
    </row>
    <row r="21" spans="2:8" x14ac:dyDescent="0.2">
      <c r="B21" s="31">
        <v>45748</v>
      </c>
      <c r="C21" s="1">
        <v>10</v>
      </c>
      <c r="D21" s="1">
        <f t="shared" si="2"/>
        <v>85</v>
      </c>
      <c r="F21" s="31">
        <v>45748</v>
      </c>
      <c r="G21" s="4">
        <f t="shared" si="0"/>
        <v>1625</v>
      </c>
      <c r="H21" s="4">
        <f t="shared" si="1"/>
        <v>93500</v>
      </c>
    </row>
    <row r="22" spans="2:8" x14ac:dyDescent="0.2">
      <c r="B22" s="31">
        <v>45778</v>
      </c>
      <c r="C22" s="1">
        <v>10</v>
      </c>
      <c r="D22" s="1">
        <f t="shared" si="2"/>
        <v>95</v>
      </c>
      <c r="F22" s="31">
        <v>45778</v>
      </c>
      <c r="G22" s="4">
        <f t="shared" si="0"/>
        <v>1625</v>
      </c>
      <c r="H22" s="4">
        <f t="shared" si="1"/>
        <v>104500</v>
      </c>
    </row>
    <row r="23" spans="2:8" x14ac:dyDescent="0.2">
      <c r="B23" s="31">
        <v>45809</v>
      </c>
      <c r="C23" s="1">
        <v>10</v>
      </c>
      <c r="D23" s="1">
        <f t="shared" si="2"/>
        <v>105</v>
      </c>
      <c r="F23" s="31">
        <v>45809</v>
      </c>
      <c r="G23" s="4">
        <f t="shared" si="0"/>
        <v>1625</v>
      </c>
      <c r="H23" s="4">
        <f t="shared" si="1"/>
        <v>115500</v>
      </c>
    </row>
    <row r="24" spans="2:8" x14ac:dyDescent="0.2">
      <c r="B24" s="31">
        <v>45839</v>
      </c>
      <c r="C24" s="1">
        <v>10</v>
      </c>
      <c r="D24" s="1">
        <f t="shared" si="2"/>
        <v>115</v>
      </c>
      <c r="F24" s="31">
        <v>45839</v>
      </c>
      <c r="G24" s="4">
        <f t="shared" si="0"/>
        <v>1625</v>
      </c>
      <c r="H24" s="4">
        <f t="shared" si="1"/>
        <v>126500</v>
      </c>
    </row>
    <row r="25" spans="2:8" x14ac:dyDescent="0.2">
      <c r="B25" s="31">
        <v>45870</v>
      </c>
      <c r="C25" s="1">
        <v>10</v>
      </c>
      <c r="D25" s="1">
        <f t="shared" si="2"/>
        <v>125</v>
      </c>
      <c r="F25" s="31">
        <v>45870</v>
      </c>
      <c r="G25" s="4">
        <f t="shared" si="0"/>
        <v>1625</v>
      </c>
      <c r="H25" s="4">
        <f t="shared" si="1"/>
        <v>137500</v>
      </c>
    </row>
    <row r="26" spans="2:8" x14ac:dyDescent="0.2">
      <c r="B26" s="31">
        <v>45901</v>
      </c>
      <c r="C26" s="1">
        <v>10</v>
      </c>
      <c r="D26" s="1">
        <f t="shared" si="2"/>
        <v>135</v>
      </c>
      <c r="F26" s="31">
        <v>45901</v>
      </c>
      <c r="G26" s="4">
        <f t="shared" si="0"/>
        <v>1625</v>
      </c>
      <c r="H26" s="4">
        <f t="shared" si="1"/>
        <v>148500</v>
      </c>
    </row>
    <row r="27" spans="2:8" x14ac:dyDescent="0.2">
      <c r="B27" s="31">
        <v>45931</v>
      </c>
      <c r="C27" s="1">
        <v>10</v>
      </c>
      <c r="D27" s="1">
        <f t="shared" si="2"/>
        <v>145</v>
      </c>
      <c r="F27" s="31">
        <v>45931</v>
      </c>
      <c r="G27" s="4">
        <f t="shared" si="0"/>
        <v>1625</v>
      </c>
      <c r="H27" s="4">
        <f t="shared" si="1"/>
        <v>159500</v>
      </c>
    </row>
    <row r="28" spans="2:8" x14ac:dyDescent="0.2">
      <c r="B28" s="31">
        <v>45962</v>
      </c>
      <c r="C28" s="1">
        <v>10</v>
      </c>
      <c r="D28" s="1">
        <f t="shared" si="2"/>
        <v>155</v>
      </c>
      <c r="F28" s="31">
        <v>45962</v>
      </c>
      <c r="G28" s="4">
        <f t="shared" si="0"/>
        <v>1625</v>
      </c>
      <c r="H28" s="4">
        <f t="shared" si="1"/>
        <v>170500</v>
      </c>
    </row>
    <row r="29" spans="2:8" x14ac:dyDescent="0.2">
      <c r="B29" s="31">
        <v>45992</v>
      </c>
      <c r="C29" s="1">
        <v>10</v>
      </c>
      <c r="D29" s="1">
        <f t="shared" si="2"/>
        <v>165</v>
      </c>
      <c r="F29" s="31">
        <v>45992</v>
      </c>
      <c r="G29" s="4">
        <f t="shared" si="0"/>
        <v>1625</v>
      </c>
      <c r="H29" s="4">
        <f t="shared" si="1"/>
        <v>181500</v>
      </c>
    </row>
    <row r="30" spans="2:8" x14ac:dyDescent="0.2">
      <c r="B30" s="31"/>
      <c r="F30" s="31"/>
      <c r="G30" s="4"/>
      <c r="H30" s="4"/>
    </row>
    <row r="31" spans="2:8" x14ac:dyDescent="0.2">
      <c r="B31" s="31"/>
      <c r="F31" s="45" t="s">
        <v>53</v>
      </c>
      <c r="G31" s="46">
        <f>SUM(G11:G30)</f>
        <v>26812.5</v>
      </c>
      <c r="H31" s="46">
        <f>SUM(H12:H30)</f>
        <v>1617000</v>
      </c>
    </row>
    <row r="32" spans="2:8" x14ac:dyDescent="0.2">
      <c r="G32" s="18" t="s">
        <v>54</v>
      </c>
      <c r="H32" s="46">
        <f>G31+H31</f>
        <v>1643812.5</v>
      </c>
    </row>
    <row r="33" spans="2:8" x14ac:dyDescent="0.2">
      <c r="G33" s="18"/>
      <c r="H33" s="46"/>
    </row>
    <row r="34" spans="2:8" x14ac:dyDescent="0.2">
      <c r="B34" s="1" t="s">
        <v>52</v>
      </c>
      <c r="G34" s="18"/>
      <c r="H34" s="46"/>
    </row>
    <row r="35" spans="2:8" x14ac:dyDescent="0.2">
      <c r="B35" s="18" t="s">
        <v>35</v>
      </c>
      <c r="C35" s="35"/>
    </row>
    <row r="36" spans="2:8" x14ac:dyDescent="0.2">
      <c r="B36" s="1" t="s">
        <v>36</v>
      </c>
    </row>
    <row r="37" spans="2:8" x14ac:dyDescent="0.2">
      <c r="B37" s="1" t="s">
        <v>39</v>
      </c>
    </row>
    <row r="38" spans="2:8" x14ac:dyDescent="0.2">
      <c r="B38" s="4">
        <f>'Formação Preço'!B22</f>
        <v>50</v>
      </c>
      <c r="C38" s="1" t="s">
        <v>46</v>
      </c>
      <c r="D38" s="4">
        <f>'Formação Preço'!D22</f>
        <v>250</v>
      </c>
    </row>
    <row r="39" spans="2:8" x14ac:dyDescent="0.2">
      <c r="B39" s="4">
        <f>'Formação Preço'!B23</f>
        <v>75</v>
      </c>
      <c r="C39" s="1" t="s">
        <v>47</v>
      </c>
      <c r="D39" s="40">
        <f>'Formação Preço'!D23</f>
        <v>75</v>
      </c>
    </row>
    <row r="40" spans="2:8" ht="15" x14ac:dyDescent="0.2">
      <c r="B40" s="36"/>
      <c r="D40" s="4">
        <f>'Formação Preço'!D24</f>
        <v>162.5</v>
      </c>
      <c r="E40" s="1" t="s">
        <v>45</v>
      </c>
    </row>
    <row r="41" spans="2:8" x14ac:dyDescent="0.2">
      <c r="B41" s="18" t="s">
        <v>38</v>
      </c>
    </row>
    <row r="42" spans="2:8" x14ac:dyDescent="0.2">
      <c r="B42" s="1" t="s">
        <v>37</v>
      </c>
    </row>
    <row r="43" spans="2:8" x14ac:dyDescent="0.2">
      <c r="B43" s="1" t="s">
        <v>40</v>
      </c>
    </row>
    <row r="44" spans="2:8" x14ac:dyDescent="0.2">
      <c r="B44" s="4">
        <f>'Formação Preço'!B28</f>
        <v>300</v>
      </c>
      <c r="C44" s="1" t="s">
        <v>46</v>
      </c>
      <c r="D44" s="4">
        <f>'Formação Preço'!D28</f>
        <v>1500</v>
      </c>
    </row>
    <row r="45" spans="2:8" x14ac:dyDescent="0.2">
      <c r="B45" s="4">
        <f>'Formação Preço'!B29</f>
        <v>700</v>
      </c>
      <c r="C45" s="1" t="s">
        <v>47</v>
      </c>
      <c r="D45" s="40">
        <f>'Formação Preço'!D29</f>
        <v>700</v>
      </c>
    </row>
    <row r="46" spans="2:8" x14ac:dyDescent="0.2">
      <c r="D46" s="4">
        <f>'Formação Preço'!D30</f>
        <v>1100</v>
      </c>
      <c r="E46" s="1" t="s">
        <v>45</v>
      </c>
    </row>
    <row r="47" spans="2:8" x14ac:dyDescent="0.2"/>
  </sheetData>
  <mergeCells count="2">
    <mergeCell ref="B4:D4"/>
    <mergeCell ref="F4:H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5378-0407-44A4-8B53-33AEF7CE9D68}">
  <dimension ref="B2:H41"/>
  <sheetViews>
    <sheetView showGridLines="0" zoomScale="110" zoomScaleNormal="110" workbookViewId="0">
      <selection activeCell="C42" sqref="C42"/>
    </sheetView>
  </sheetViews>
  <sheetFormatPr defaultRowHeight="12.75" x14ac:dyDescent="0.2"/>
  <cols>
    <col min="1" max="1" width="4.28515625" style="1" customWidth="1"/>
    <col min="2" max="2" width="9.140625" style="1"/>
    <col min="3" max="3" width="13.7109375" style="1" customWidth="1"/>
    <col min="4" max="4" width="16.140625" style="1" customWidth="1"/>
    <col min="5" max="5" width="14.28515625" style="1" customWidth="1"/>
    <col min="6" max="6" width="5.42578125" style="1" customWidth="1"/>
    <col min="7" max="7" width="15" style="1" customWidth="1"/>
    <col min="8" max="8" width="13.140625" style="1" bestFit="1" customWidth="1"/>
    <col min="9" max="16384" width="9.140625" style="1"/>
  </cols>
  <sheetData>
    <row r="2" spans="2:8" x14ac:dyDescent="0.2">
      <c r="B2" s="27">
        <v>18</v>
      </c>
      <c r="C2" s="27"/>
      <c r="D2" s="28" t="s">
        <v>16</v>
      </c>
    </row>
    <row r="4" spans="2:8" ht="25.5" x14ac:dyDescent="0.2">
      <c r="B4" s="42" t="s">
        <v>48</v>
      </c>
      <c r="C4" s="42" t="s">
        <v>56</v>
      </c>
      <c r="D4" s="42" t="s">
        <v>55</v>
      </c>
      <c r="E4" s="42" t="s">
        <v>64</v>
      </c>
      <c r="F4" s="53"/>
      <c r="G4" s="44" t="s">
        <v>63</v>
      </c>
      <c r="H4" s="42" t="s">
        <v>64</v>
      </c>
    </row>
    <row r="5" spans="2:8" x14ac:dyDescent="0.2">
      <c r="B5" s="31">
        <v>45261</v>
      </c>
      <c r="C5" s="37">
        <v>0</v>
      </c>
      <c r="D5" s="4">
        <v>-300000</v>
      </c>
      <c r="E5" s="4">
        <f>D5</f>
        <v>-300000</v>
      </c>
      <c r="G5" s="4">
        <f>E5</f>
        <v>-300000</v>
      </c>
      <c r="H5" s="4">
        <f>G5</f>
        <v>-300000</v>
      </c>
    </row>
    <row r="6" spans="2:8" x14ac:dyDescent="0.2">
      <c r="B6" s="31">
        <v>45292</v>
      </c>
      <c r="C6" s="37">
        <v>1</v>
      </c>
      <c r="D6" s="32"/>
      <c r="E6" s="4">
        <f t="shared" ref="E6:E25" si="0">D6+E5</f>
        <v>-300000</v>
      </c>
      <c r="G6" s="4">
        <f t="shared" ref="G6:G29" si="1">PV($C$38,C6,,-D6)</f>
        <v>0</v>
      </c>
      <c r="H6" s="4">
        <f t="shared" ref="H6:H29" si="2">G6+H5</f>
        <v>-300000</v>
      </c>
    </row>
    <row r="7" spans="2:8" x14ac:dyDescent="0.2">
      <c r="B7" s="31">
        <v>45323</v>
      </c>
      <c r="C7" s="37">
        <v>2</v>
      </c>
      <c r="D7" s="32"/>
      <c r="E7" s="4">
        <f t="shared" si="0"/>
        <v>-300000</v>
      </c>
      <c r="G7" s="4">
        <f t="shared" si="1"/>
        <v>0</v>
      </c>
      <c r="H7" s="4">
        <f>G7+H6</f>
        <v>-300000</v>
      </c>
    </row>
    <row r="8" spans="2:8" x14ac:dyDescent="0.2">
      <c r="B8" s="31">
        <v>45352</v>
      </c>
      <c r="C8" s="37">
        <v>3</v>
      </c>
      <c r="D8" s="32"/>
      <c r="E8" s="4">
        <f t="shared" si="0"/>
        <v>-300000</v>
      </c>
      <c r="G8" s="4">
        <f t="shared" si="1"/>
        <v>0</v>
      </c>
      <c r="H8" s="4">
        <f t="shared" si="2"/>
        <v>-300000</v>
      </c>
    </row>
    <row r="9" spans="2:8" x14ac:dyDescent="0.2">
      <c r="B9" s="31">
        <v>45383</v>
      </c>
      <c r="C9" s="37">
        <v>4</v>
      </c>
      <c r="D9" s="32"/>
      <c r="E9" s="4">
        <f t="shared" si="0"/>
        <v>-300000</v>
      </c>
      <c r="G9" s="4">
        <f t="shared" si="1"/>
        <v>0</v>
      </c>
      <c r="H9" s="4">
        <f t="shared" si="2"/>
        <v>-300000</v>
      </c>
    </row>
    <row r="10" spans="2:8" x14ac:dyDescent="0.2">
      <c r="B10" s="31">
        <v>45413</v>
      </c>
      <c r="C10" s="37">
        <v>5</v>
      </c>
      <c r="D10" s="32"/>
      <c r="E10" s="4">
        <f t="shared" si="0"/>
        <v>-300000</v>
      </c>
      <c r="G10" s="4">
        <f t="shared" si="1"/>
        <v>0</v>
      </c>
      <c r="H10" s="4">
        <f t="shared" si="2"/>
        <v>-300000</v>
      </c>
    </row>
    <row r="11" spans="2:8" x14ac:dyDescent="0.2">
      <c r="B11" s="31">
        <v>45444</v>
      </c>
      <c r="C11" s="37">
        <v>6</v>
      </c>
      <c r="D11" s="4">
        <f>SUM(Receita!G11:H11)</f>
        <v>812.5</v>
      </c>
      <c r="E11" s="4">
        <f t="shared" si="0"/>
        <v>-299187.5</v>
      </c>
      <c r="G11" s="4">
        <f t="shared" si="1"/>
        <v>761.8113481832645</v>
      </c>
      <c r="H11" s="4">
        <f t="shared" si="2"/>
        <v>-299238.18865181674</v>
      </c>
    </row>
    <row r="12" spans="2:8" x14ac:dyDescent="0.2">
      <c r="B12" s="31">
        <v>45474</v>
      </c>
      <c r="C12" s="37">
        <v>7</v>
      </c>
      <c r="D12" s="4">
        <f>SUM(Receita!G12:H12)</f>
        <v>11812.5</v>
      </c>
      <c r="E12" s="4">
        <f t="shared" si="0"/>
        <v>-287375</v>
      </c>
      <c r="G12" s="4">
        <f t="shared" si="1"/>
        <v>10957.291975541924</v>
      </c>
      <c r="H12" s="4">
        <f t="shared" si="2"/>
        <v>-288280.89667627483</v>
      </c>
    </row>
    <row r="13" spans="2:8" x14ac:dyDescent="0.2">
      <c r="B13" s="31">
        <v>45505</v>
      </c>
      <c r="C13" s="37">
        <v>8</v>
      </c>
      <c r="D13" s="4">
        <f>SUM(Receita!G13:H13)</f>
        <v>17312.5</v>
      </c>
      <c r="E13" s="4">
        <f t="shared" si="0"/>
        <v>-270062.5</v>
      </c>
      <c r="G13" s="4">
        <f t="shared" si="1"/>
        <v>15887.609027653463</v>
      </c>
      <c r="H13" s="4">
        <f t="shared" si="2"/>
        <v>-272393.28764862136</v>
      </c>
    </row>
    <row r="14" spans="2:8" x14ac:dyDescent="0.2">
      <c r="B14" s="31">
        <v>45536</v>
      </c>
      <c r="C14" s="37">
        <v>9</v>
      </c>
      <c r="D14" s="4">
        <f>SUM(Receita!G14:H14)</f>
        <v>22812.5</v>
      </c>
      <c r="E14" s="4">
        <f t="shared" si="0"/>
        <v>-247250</v>
      </c>
      <c r="G14" s="4">
        <f t="shared" si="1"/>
        <v>20711.377474905956</v>
      </c>
      <c r="H14" s="4">
        <f t="shared" si="2"/>
        <v>-251681.91017371541</v>
      </c>
    </row>
    <row r="15" spans="2:8" x14ac:dyDescent="0.2">
      <c r="B15" s="31">
        <v>45566</v>
      </c>
      <c r="C15" s="37">
        <v>10</v>
      </c>
      <c r="D15" s="4">
        <f>SUM(Receita!G15:H15)</f>
        <v>28312.5</v>
      </c>
      <c r="E15" s="4">
        <f t="shared" si="0"/>
        <v>-218937.5</v>
      </c>
      <c r="G15" s="4">
        <f t="shared" si="1"/>
        <v>25430.310695211771</v>
      </c>
      <c r="H15" s="4">
        <f t="shared" si="2"/>
        <v>-226251.59947850363</v>
      </c>
    </row>
    <row r="16" spans="2:8" x14ac:dyDescent="0.2">
      <c r="B16" s="31">
        <v>45597</v>
      </c>
      <c r="C16" s="37">
        <v>11</v>
      </c>
      <c r="D16" s="4">
        <f>SUM(Receita!G16:H16)</f>
        <v>40125</v>
      </c>
      <c r="E16" s="4">
        <f t="shared" si="0"/>
        <v>-178812.5</v>
      </c>
      <c r="G16" s="4">
        <f t="shared" si="1"/>
        <v>35655.443020718594</v>
      </c>
      <c r="H16" s="4">
        <f t="shared" si="2"/>
        <v>-190596.15645778505</v>
      </c>
    </row>
    <row r="17" spans="2:8" x14ac:dyDescent="0.2">
      <c r="B17" s="31">
        <v>45627</v>
      </c>
      <c r="C17" s="37">
        <v>12</v>
      </c>
      <c r="D17" s="4">
        <f>SUM(Receita!G17:H17)</f>
        <v>51125</v>
      </c>
      <c r="E17" s="4">
        <f t="shared" si="0"/>
        <v>-127687.5</v>
      </c>
      <c r="G17" s="4">
        <f t="shared" si="1"/>
        <v>44945.007500176762</v>
      </c>
      <c r="H17" s="4">
        <f t="shared" si="2"/>
        <v>-145651.1489576083</v>
      </c>
    </row>
    <row r="18" spans="2:8" x14ac:dyDescent="0.2">
      <c r="B18" s="31">
        <v>45658</v>
      </c>
      <c r="C18" s="37">
        <v>13</v>
      </c>
      <c r="D18" s="4">
        <f>SUM(Receita!G18:H18)</f>
        <v>62125</v>
      </c>
      <c r="E18" s="4">
        <f t="shared" si="0"/>
        <v>-65562.5</v>
      </c>
      <c r="G18" s="4">
        <f t="shared" si="1"/>
        <v>54032.104427131024</v>
      </c>
      <c r="H18" s="4">
        <f t="shared" si="2"/>
        <v>-91619.044530477273</v>
      </c>
    </row>
    <row r="19" spans="2:8" x14ac:dyDescent="0.2">
      <c r="B19" s="31">
        <v>45689</v>
      </c>
      <c r="C19" s="37">
        <v>14</v>
      </c>
      <c r="D19" s="4">
        <f>SUM(Receita!G19:H19)</f>
        <v>73125</v>
      </c>
      <c r="E19" s="4">
        <f t="shared" si="0"/>
        <v>7562.5</v>
      </c>
      <c r="G19" s="4">
        <f t="shared" si="1"/>
        <v>62919.998656974793</v>
      </c>
      <c r="H19" s="4">
        <f t="shared" si="2"/>
        <v>-28699.04587350248</v>
      </c>
    </row>
    <row r="20" spans="2:8" x14ac:dyDescent="0.2">
      <c r="B20" s="31">
        <v>45717</v>
      </c>
      <c r="C20" s="37">
        <v>15</v>
      </c>
      <c r="D20" s="4">
        <f>SUM(Receita!G20:H20)</f>
        <v>84125</v>
      </c>
      <c r="E20" s="4">
        <f t="shared" si="0"/>
        <v>91687.5</v>
      </c>
      <c r="G20" s="4">
        <f t="shared" si="1"/>
        <v>71611.908404517599</v>
      </c>
      <c r="H20" s="4">
        <f t="shared" si="2"/>
        <v>42912.862531015118</v>
      </c>
    </row>
    <row r="21" spans="2:8" x14ac:dyDescent="0.2">
      <c r="B21" s="31">
        <v>45748</v>
      </c>
      <c r="C21" s="37">
        <v>16</v>
      </c>
      <c r="D21" s="4">
        <f>SUM(Receita!G21:H21)</f>
        <v>95125</v>
      </c>
      <c r="E21" s="4">
        <f t="shared" si="0"/>
        <v>186812.5</v>
      </c>
      <c r="G21" s="4">
        <f t="shared" si="1"/>
        <v>80111.005867800995</v>
      </c>
      <c r="H21" s="4">
        <f t="shared" si="2"/>
        <v>123023.86839881612</v>
      </c>
    </row>
    <row r="22" spans="2:8" x14ac:dyDescent="0.2">
      <c r="B22" s="31">
        <v>45778</v>
      </c>
      <c r="C22" s="37">
        <v>17</v>
      </c>
      <c r="D22" s="4">
        <f>SUM(Receita!G22:H22)</f>
        <v>106125</v>
      </c>
      <c r="E22" s="4">
        <f t="shared" si="0"/>
        <v>292937.5</v>
      </c>
      <c r="G22" s="4">
        <f t="shared" si="1"/>
        <v>88420.417843909861</v>
      </c>
      <c r="H22" s="4">
        <f t="shared" si="2"/>
        <v>211444.28624272597</v>
      </c>
    </row>
    <row r="23" spans="2:8" x14ac:dyDescent="0.2">
      <c r="B23" s="31">
        <v>45809</v>
      </c>
      <c r="C23" s="37">
        <v>18</v>
      </c>
      <c r="D23" s="4">
        <f>SUM(Receita!G23:H23)</f>
        <v>117125</v>
      </c>
      <c r="E23" s="4">
        <f t="shared" si="0"/>
        <v>410062.5</v>
      </c>
      <c r="G23" s="4">
        <f t="shared" si="1"/>
        <v>96543.226336879146</v>
      </c>
      <c r="H23" s="4">
        <f t="shared" si="2"/>
        <v>307987.5125796051</v>
      </c>
    </row>
    <row r="24" spans="2:8" x14ac:dyDescent="0.2">
      <c r="B24" s="31">
        <v>45839</v>
      </c>
      <c r="C24" s="37">
        <v>19</v>
      </c>
      <c r="D24" s="4">
        <f>SUM(Receita!G24:H24)</f>
        <v>128125</v>
      </c>
      <c r="E24" s="4">
        <f t="shared" si="0"/>
        <v>538187.5</v>
      </c>
      <c r="G24" s="4">
        <f t="shared" si="1"/>
        <v>104482.46915779456</v>
      </c>
      <c r="H24" s="4">
        <f t="shared" si="2"/>
        <v>412469.98173739965</v>
      </c>
    </row>
    <row r="25" spans="2:8" x14ac:dyDescent="0.2">
      <c r="B25" s="31">
        <v>45870</v>
      </c>
      <c r="C25" s="37">
        <v>20</v>
      </c>
      <c r="D25" s="4">
        <f>SUM(Receita!G25:H25)</f>
        <v>139125</v>
      </c>
      <c r="E25" s="4">
        <f t="shared" si="0"/>
        <v>677312.5</v>
      </c>
      <c r="G25" s="4">
        <f t="shared" si="1"/>
        <v>112241.1405171847</v>
      </c>
      <c r="H25" s="4">
        <f t="shared" si="2"/>
        <v>524711.12225458433</v>
      </c>
    </row>
    <row r="26" spans="2:8" x14ac:dyDescent="0.2">
      <c r="B26" s="31">
        <v>45901</v>
      </c>
      <c r="C26" s="37">
        <v>21</v>
      </c>
      <c r="D26" s="4">
        <f>SUM(Receita!G26:H26)</f>
        <v>150125</v>
      </c>
      <c r="E26" s="4">
        <f t="shared" ref="E26:E29" si="3">D26+E25</f>
        <v>827437.5</v>
      </c>
      <c r="G26" s="4">
        <f t="shared" si="1"/>
        <v>119822.19160980049</v>
      </c>
      <c r="H26" s="4">
        <f t="shared" si="2"/>
        <v>644533.31386438478</v>
      </c>
    </row>
    <row r="27" spans="2:8" x14ac:dyDescent="0.2">
      <c r="B27" s="31">
        <v>45931</v>
      </c>
      <c r="C27" s="37">
        <v>22</v>
      </c>
      <c r="D27" s="4">
        <f>SUM(Receita!G27:H27)</f>
        <v>161125</v>
      </c>
      <c r="E27" s="4">
        <f t="shared" si="3"/>
        <v>988562.5</v>
      </c>
      <c r="G27" s="4">
        <f t="shared" si="1"/>
        <v>127228.53119187761</v>
      </c>
      <c r="H27" s="4">
        <f t="shared" si="2"/>
        <v>771761.84505626233</v>
      </c>
    </row>
    <row r="28" spans="2:8" x14ac:dyDescent="0.2">
      <c r="B28" s="31">
        <v>45962</v>
      </c>
      <c r="C28" s="37">
        <v>23</v>
      </c>
      <c r="D28" s="4">
        <f>SUM(Receita!G28:H28)</f>
        <v>172125</v>
      </c>
      <c r="E28" s="4">
        <f t="shared" si="3"/>
        <v>1160687.5</v>
      </c>
      <c r="G28" s="4">
        <f t="shared" si="1"/>
        <v>134463.02615097503</v>
      </c>
      <c r="H28" s="4">
        <f t="shared" si="2"/>
        <v>906224.87120723736</v>
      </c>
    </row>
    <row r="29" spans="2:8" x14ac:dyDescent="0.2">
      <c r="B29" s="47">
        <v>45992</v>
      </c>
      <c r="C29" s="48">
        <v>24</v>
      </c>
      <c r="D29" s="40">
        <f>SUM(Receita!G29:H29)</f>
        <v>183125</v>
      </c>
      <c r="E29" s="40">
        <f t="shared" si="3"/>
        <v>1343812.5</v>
      </c>
      <c r="F29" s="41"/>
      <c r="G29" s="40">
        <f t="shared" si="1"/>
        <v>141528.50206848283</v>
      </c>
      <c r="H29" s="40">
        <f t="shared" si="2"/>
        <v>1047753.3732757202</v>
      </c>
    </row>
    <row r="30" spans="2:8" ht="13.5" x14ac:dyDescent="0.25">
      <c r="B30" s="16" t="s">
        <v>17</v>
      </c>
      <c r="C30" s="16"/>
      <c r="D30" s="5">
        <f>SUM(D11:D29)-Receita!H32</f>
        <v>0</v>
      </c>
    </row>
    <row r="32" spans="2:8" x14ac:dyDescent="0.2">
      <c r="D32" s="50" t="s">
        <v>57</v>
      </c>
      <c r="E32" s="49">
        <f>C18-(E18/D19)</f>
        <v>13.896581196581197</v>
      </c>
    </row>
    <row r="33" spans="2:5" x14ac:dyDescent="0.2">
      <c r="D33" s="30"/>
      <c r="E33" s="50" t="s">
        <v>58</v>
      </c>
    </row>
    <row r="34" spans="2:5" x14ac:dyDescent="0.2">
      <c r="D34" s="50" t="s">
        <v>62</v>
      </c>
      <c r="E34" s="49">
        <f>C20-(H19/G20)</f>
        <v>15.400758009567191</v>
      </c>
    </row>
    <row r="35" spans="2:5" x14ac:dyDescent="0.2">
      <c r="D35" s="30"/>
      <c r="E35" s="50" t="s">
        <v>58</v>
      </c>
    </row>
    <row r="37" spans="2:5" x14ac:dyDescent="0.2">
      <c r="B37" s="50" t="s">
        <v>59</v>
      </c>
      <c r="C37" s="51">
        <v>0.13750000000000001</v>
      </c>
      <c r="D37" s="50" t="s">
        <v>60</v>
      </c>
    </row>
    <row r="38" spans="2:5" x14ac:dyDescent="0.2">
      <c r="B38" s="29"/>
      <c r="C38" s="52">
        <v>1.0794E-2</v>
      </c>
      <c r="D38" s="50" t="s">
        <v>61</v>
      </c>
    </row>
    <row r="40" spans="2:5" x14ac:dyDescent="0.2">
      <c r="B40" s="54" t="s">
        <v>65</v>
      </c>
      <c r="C40" s="55">
        <f>NPV(C38,D11:D29)+D6</f>
        <v>1422078.9373672518</v>
      </c>
    </row>
    <row r="41" spans="2:5" x14ac:dyDescent="0.2">
      <c r="B41" s="54" t="s">
        <v>66</v>
      </c>
      <c r="C41" s="56">
        <f>IRR(D5:D29)</f>
        <v>0.14961005827325868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6B78-9D31-48DF-A983-E9C8CF3874C5}">
  <dimension ref="B2:H41"/>
  <sheetViews>
    <sheetView showGridLines="0" tabSelected="1" zoomScale="118" zoomScaleNormal="110" workbookViewId="0">
      <selection activeCell="M25" sqref="M25"/>
    </sheetView>
  </sheetViews>
  <sheetFormatPr defaultRowHeight="12.75" x14ac:dyDescent="0.2"/>
  <cols>
    <col min="1" max="1" width="4.28515625" style="1" customWidth="1"/>
    <col min="2" max="2" width="9.140625" style="1"/>
    <col min="3" max="3" width="13.7109375" style="1" customWidth="1"/>
    <col min="4" max="4" width="16.140625" style="1" customWidth="1"/>
    <col min="5" max="5" width="14.28515625" style="1" customWidth="1"/>
    <col min="6" max="6" width="5.42578125" style="1" customWidth="1"/>
    <col min="7" max="7" width="15" style="1" customWidth="1"/>
    <col min="8" max="8" width="13.140625" style="1" bestFit="1" customWidth="1"/>
    <col min="9" max="16384" width="9.140625" style="1"/>
  </cols>
  <sheetData>
    <row r="2" spans="2:8" x14ac:dyDescent="0.2">
      <c r="B2" s="27">
        <v>18</v>
      </c>
      <c r="C2" s="27"/>
      <c r="D2" s="28" t="s">
        <v>16</v>
      </c>
    </row>
    <row r="4" spans="2:8" ht="25.5" x14ac:dyDescent="0.2">
      <c r="B4" s="42" t="s">
        <v>48</v>
      </c>
      <c r="C4" s="42" t="s">
        <v>56</v>
      </c>
      <c r="D4" s="42" t="s">
        <v>55</v>
      </c>
      <c r="E4" s="42" t="s">
        <v>64</v>
      </c>
      <c r="F4" s="53"/>
      <c r="G4" s="44" t="s">
        <v>63</v>
      </c>
      <c r="H4" s="42" t="s">
        <v>64</v>
      </c>
    </row>
    <row r="5" spans="2:8" x14ac:dyDescent="0.2">
      <c r="B5" s="31">
        <v>45261</v>
      </c>
      <c r="C5" s="37">
        <v>0</v>
      </c>
      <c r="D5" s="4">
        <v>300000</v>
      </c>
      <c r="E5" s="4">
        <f>D5</f>
        <v>300000</v>
      </c>
      <c r="G5" s="4">
        <f>E5</f>
        <v>300000</v>
      </c>
      <c r="H5" s="4">
        <f>G5</f>
        <v>300000</v>
      </c>
    </row>
    <row r="6" spans="2:8" x14ac:dyDescent="0.2">
      <c r="B6" s="31">
        <v>45292</v>
      </c>
      <c r="C6" s="37">
        <v>1</v>
      </c>
      <c r="D6" s="4">
        <f>-SUM('Custos e Despesas'!D14:D15)+-'Custos e Despesas'!F31</f>
        <v>-79384.329999999987</v>
      </c>
      <c r="E6" s="4">
        <f>-(D6+E5)</f>
        <v>-220615.67</v>
      </c>
      <c r="G6" s="4">
        <f t="shared" ref="G6:G29" si="0">PV($C$38,C6,,-D6)</f>
        <v>-78536.605876172587</v>
      </c>
      <c r="H6" s="4">
        <f>-(G6+H5)</f>
        <v>-221463.3941238274</v>
      </c>
    </row>
    <row r="7" spans="2:8" x14ac:dyDescent="0.2">
      <c r="B7" s="31">
        <v>45323</v>
      </c>
      <c r="C7" s="37">
        <v>2</v>
      </c>
      <c r="D7" s="4">
        <f>-SUM('Custos e Despesas'!D14:D15)</f>
        <v>-26800</v>
      </c>
      <c r="E7" s="4">
        <f>-(D7-E6)</f>
        <v>-193815.67</v>
      </c>
      <c r="G7" s="4">
        <f t="shared" si="0"/>
        <v>-26230.676018610731</v>
      </c>
      <c r="H7" s="4">
        <f>-(G7-H6)</f>
        <v>-195232.71810521666</v>
      </c>
    </row>
    <row r="8" spans="2:8" x14ac:dyDescent="0.2">
      <c r="B8" s="31">
        <v>45352</v>
      </c>
      <c r="C8" s="37">
        <v>3</v>
      </c>
      <c r="D8" s="4">
        <f>-SUM('Custos e Despesas'!D14:D15)</f>
        <v>-26800</v>
      </c>
      <c r="E8" s="4">
        <f>-(D8-E7)</f>
        <v>-167015.67000000001</v>
      </c>
      <c r="G8" s="4">
        <f t="shared" si="0"/>
        <v>-25950.565613379909</v>
      </c>
      <c r="H8" s="4">
        <f t="shared" ref="H8:H16" si="1">-(G8-H7)</f>
        <v>-169282.15249183675</v>
      </c>
    </row>
    <row r="9" spans="2:8" x14ac:dyDescent="0.2">
      <c r="B9" s="31">
        <v>45383</v>
      </c>
      <c r="C9" s="37">
        <v>4</v>
      </c>
      <c r="D9" s="4">
        <f>-SUM('Custos e Despesas'!D17:D18)</f>
        <v>-33300</v>
      </c>
      <c r="E9" s="4">
        <f t="shared" ref="E9:E29" si="2">-(D9-E8)</f>
        <v>-133715.67000000001</v>
      </c>
      <c r="G9" s="4">
        <f t="shared" si="0"/>
        <v>-31900.215156907947</v>
      </c>
      <c r="H9" s="4">
        <f t="shared" si="1"/>
        <v>-137381.93733492881</v>
      </c>
    </row>
    <row r="10" spans="2:8" x14ac:dyDescent="0.2">
      <c r="B10" s="31">
        <v>45413</v>
      </c>
      <c r="C10" s="37">
        <v>5</v>
      </c>
      <c r="D10" s="4">
        <f>-SUM('Custos e Despesas'!D17:D18)</f>
        <v>-33300</v>
      </c>
      <c r="E10" s="4">
        <f t="shared" si="2"/>
        <v>-100415.67000000001</v>
      </c>
      <c r="G10" s="4">
        <f t="shared" si="0"/>
        <v>-31559.561252745807</v>
      </c>
      <c r="H10" s="4">
        <f t="shared" si="1"/>
        <v>-105822.37608218301</v>
      </c>
    </row>
    <row r="11" spans="2:8" x14ac:dyDescent="0.2">
      <c r="B11" s="31">
        <v>45444</v>
      </c>
      <c r="C11" s="37">
        <v>6</v>
      </c>
      <c r="D11" s="4">
        <f>-SUM('Custos e Despesas'!D17:D18)+SUM(Receita!G11:H11)</f>
        <v>-32487.5</v>
      </c>
      <c r="E11" s="4">
        <f t="shared" si="2"/>
        <v>-67928.170000000013</v>
      </c>
      <c r="G11" s="4">
        <f t="shared" si="0"/>
        <v>-30460.733752743145</v>
      </c>
      <c r="H11" s="4">
        <f t="shared" si="1"/>
        <v>-75361.64232943987</v>
      </c>
    </row>
    <row r="12" spans="2:8" x14ac:dyDescent="0.2">
      <c r="B12" s="31">
        <v>45474</v>
      </c>
      <c r="C12" s="37">
        <v>7</v>
      </c>
      <c r="D12" s="4">
        <f>-SUM('Custos e Despesas'!D17:D18)+SUM(Receita!G12:H12)</f>
        <v>-21487.5</v>
      </c>
      <c r="E12" s="4">
        <f t="shared" si="2"/>
        <v>-46440.670000000013</v>
      </c>
      <c r="G12" s="4">
        <f t="shared" si="0"/>
        <v>-19931.835879319122</v>
      </c>
      <c r="H12" s="4">
        <f t="shared" si="1"/>
        <v>-55429.806450120748</v>
      </c>
    </row>
    <row r="13" spans="2:8" x14ac:dyDescent="0.2">
      <c r="B13" s="31">
        <v>45505</v>
      </c>
      <c r="C13" s="37">
        <v>8</v>
      </c>
      <c r="D13" s="4">
        <f>-SUM('Custos e Despesas'!D17:D18)+SUM(Receita!G13:H13)</f>
        <v>-15987.5</v>
      </c>
      <c r="E13" s="4">
        <f t="shared" si="2"/>
        <v>-30453.170000000013</v>
      </c>
      <c r="G13" s="4">
        <f t="shared" si="0"/>
        <v>-14671.662055139914</v>
      </c>
      <c r="H13" s="4">
        <f t="shared" si="1"/>
        <v>-40758.144394980831</v>
      </c>
    </row>
    <row r="14" spans="2:8" x14ac:dyDescent="0.2">
      <c r="B14" s="31">
        <v>45536</v>
      </c>
      <c r="C14" s="37">
        <v>9</v>
      </c>
      <c r="D14" s="4">
        <f>-SUM('Custos e Despesas'!D17:D18)+SUM(Receita!G14:H14)</f>
        <v>-10487.5</v>
      </c>
      <c r="E14" s="4">
        <f t="shared" si="2"/>
        <v>-19965.670000000013</v>
      </c>
      <c r="G14" s="4">
        <f t="shared" si="0"/>
        <v>-9521.5592884636135</v>
      </c>
      <c r="H14" s="4">
        <f t="shared" si="1"/>
        <v>-31236.585106517217</v>
      </c>
    </row>
    <row r="15" spans="2:8" x14ac:dyDescent="0.2">
      <c r="B15" s="31">
        <v>45566</v>
      </c>
      <c r="C15" s="37">
        <v>10</v>
      </c>
      <c r="D15" s="4">
        <f>-SUM('Custos e Despesas'!D17:D18)+SUM(Receita!G15:H15)</f>
        <v>-4987.5</v>
      </c>
      <c r="E15" s="4">
        <f t="shared" si="2"/>
        <v>-14978.170000000013</v>
      </c>
      <c r="G15" s="4">
        <f t="shared" si="0"/>
        <v>-4479.7765860439276</v>
      </c>
      <c r="H15" s="4">
        <f t="shared" si="1"/>
        <v>-26756.808520473289</v>
      </c>
    </row>
    <row r="16" spans="2:8" x14ac:dyDescent="0.2">
      <c r="B16" s="31">
        <v>45597</v>
      </c>
      <c r="C16" s="37">
        <v>11</v>
      </c>
      <c r="D16" s="4">
        <f>-SUM('Custos e Despesas'!D17:D18)+SUM(Receita!G16:H16)</f>
        <v>6825</v>
      </c>
      <c r="E16" s="4">
        <f>D16+E15</f>
        <v>-8153.1700000000128</v>
      </c>
      <c r="G16" s="4">
        <f t="shared" si="0"/>
        <v>6064.7575979166204</v>
      </c>
      <c r="H16" s="4">
        <f>G16+H15</f>
        <v>-20692.050922556668</v>
      </c>
    </row>
    <row r="17" spans="2:8" x14ac:dyDescent="0.2">
      <c r="B17" s="31">
        <v>45627</v>
      </c>
      <c r="C17" s="37">
        <v>12</v>
      </c>
      <c r="D17" s="4">
        <f>-SUM('Custos e Despesas'!D17:D18)+SUM(Receita!G17:H17)</f>
        <v>17825</v>
      </c>
      <c r="E17" s="4">
        <f t="shared" ref="E17:E28" si="3">D17+E16</f>
        <v>9671.8299999999872</v>
      </c>
      <c r="G17" s="4">
        <f t="shared" si="0"/>
        <v>15670.313128423486</v>
      </c>
      <c r="H17" s="4">
        <f t="shared" ref="H17:H29" si="4">G17+H16</f>
        <v>-5021.7377941331815</v>
      </c>
    </row>
    <row r="18" spans="2:8" x14ac:dyDescent="0.2">
      <c r="B18" s="31">
        <v>45658</v>
      </c>
      <c r="C18" s="37">
        <v>13</v>
      </c>
      <c r="D18" s="4">
        <f>-SUM('Custos e Despesas'!D17:D18)+SUM(Receita!G18:H18)</f>
        <v>28825</v>
      </c>
      <c r="E18" s="4">
        <f t="shared" si="3"/>
        <v>38496.829999999987</v>
      </c>
      <c r="G18" s="4">
        <f t="shared" si="0"/>
        <v>25070.026722125582</v>
      </c>
      <c r="H18" s="4">
        <f t="shared" si="4"/>
        <v>20048.288927992398</v>
      </c>
    </row>
    <row r="19" spans="2:8" x14ac:dyDescent="0.2">
      <c r="B19" s="31">
        <v>45689</v>
      </c>
      <c r="C19" s="37">
        <v>14</v>
      </c>
      <c r="D19" s="4">
        <f>-SUM('Custos e Despesas'!D17:D18)+SUM(Receita!G19:H19)</f>
        <v>39825</v>
      </c>
      <c r="E19" s="4">
        <f t="shared" si="3"/>
        <v>78321.829999999987</v>
      </c>
      <c r="G19" s="4">
        <f t="shared" si="0"/>
        <v>34267.199268567805</v>
      </c>
      <c r="H19" s="4">
        <f t="shared" si="4"/>
        <v>54315.488196560204</v>
      </c>
    </row>
    <row r="20" spans="2:8" x14ac:dyDescent="0.2">
      <c r="B20" s="31">
        <v>45717</v>
      </c>
      <c r="C20" s="37">
        <v>15</v>
      </c>
      <c r="D20" s="4">
        <f>-SUM('Custos e Despesas'!D17:D18)+SUM(Receita!G20:H20)</f>
        <v>50825</v>
      </c>
      <c r="E20" s="4">
        <f t="shared" si="3"/>
        <v>129146.82999999999</v>
      </c>
      <c r="G20" s="4">
        <f t="shared" si="0"/>
        <v>43265.084631912119</v>
      </c>
      <c r="H20" s="4">
        <f t="shared" si="4"/>
        <v>97580.57282847233</v>
      </c>
    </row>
    <row r="21" spans="2:8" x14ac:dyDescent="0.2">
      <c r="B21" s="31">
        <v>45748</v>
      </c>
      <c r="C21" s="37">
        <v>16</v>
      </c>
      <c r="D21" s="4">
        <f>-SUM('Custos e Despesas'!D17:D18)+SUM(Receita!G21:H21)</f>
        <v>61825</v>
      </c>
      <c r="E21" s="4">
        <f t="shared" si="3"/>
        <v>190971.83</v>
      </c>
      <c r="G21" s="4">
        <f t="shared" si="0"/>
        <v>52066.890278862513</v>
      </c>
      <c r="H21" s="4">
        <f t="shared" si="4"/>
        <v>149647.46310733486</v>
      </c>
    </row>
    <row r="22" spans="2:8" x14ac:dyDescent="0.2">
      <c r="B22" s="31">
        <v>45778</v>
      </c>
      <c r="C22" s="37">
        <v>17</v>
      </c>
      <c r="D22" s="4">
        <f>-SUM('Custos e Despesas'!D17:D18)+SUM(Receita!G22:H22)</f>
        <v>72825</v>
      </c>
      <c r="E22" s="4">
        <f t="shared" si="3"/>
        <v>263796.82999999996</v>
      </c>
      <c r="G22" s="4">
        <f t="shared" si="0"/>
        <v>60675.777898541673</v>
      </c>
      <c r="H22" s="4">
        <f t="shared" si="4"/>
        <v>210323.24100587654</v>
      </c>
    </row>
    <row r="23" spans="2:8" x14ac:dyDescent="0.2">
      <c r="B23" s="31">
        <v>45809</v>
      </c>
      <c r="C23" s="37">
        <v>18</v>
      </c>
      <c r="D23" s="4">
        <f>-SUM('Custos e Despesas'!D17:D18)+SUM(Receita!G23:H23)</f>
        <v>83825</v>
      </c>
      <c r="E23" s="4">
        <f t="shared" si="3"/>
        <v>347621.82999999996</v>
      </c>
      <c r="G23" s="4">
        <f t="shared" si="0"/>
        <v>69094.864014419582</v>
      </c>
      <c r="H23" s="4">
        <f t="shared" si="4"/>
        <v>279418.10502029612</v>
      </c>
    </row>
    <row r="24" spans="2:8" x14ac:dyDescent="0.2">
      <c r="B24" s="31">
        <v>45839</v>
      </c>
      <c r="C24" s="37">
        <v>19</v>
      </c>
      <c r="D24" s="4">
        <f>-SUM('Custos e Despesas'!D17:D18)+SUM(Receita!G24:H24)</f>
        <v>94825</v>
      </c>
      <c r="E24" s="4">
        <f t="shared" si="3"/>
        <v>442446.82999999996</v>
      </c>
      <c r="G24" s="4">
        <f t="shared" si="0"/>
        <v>77327.220588393116</v>
      </c>
      <c r="H24" s="4">
        <f t="shared" si="4"/>
        <v>356745.32560868922</v>
      </c>
    </row>
    <row r="25" spans="2:8" x14ac:dyDescent="0.2">
      <c r="B25" s="31">
        <v>45870</v>
      </c>
      <c r="C25" s="37">
        <v>20</v>
      </c>
      <c r="D25" s="4">
        <f>-SUM('Custos e Despesas'!D17:D18)+SUM(Receita!G25:H25)</f>
        <v>105825</v>
      </c>
      <c r="E25" s="4">
        <f t="shared" si="3"/>
        <v>548271.82999999996</v>
      </c>
      <c r="G25" s="4">
        <f t="shared" si="0"/>
        <v>85375.875617114623</v>
      </c>
      <c r="H25" s="4">
        <f t="shared" si="4"/>
        <v>442121.20122580382</v>
      </c>
    </row>
    <row r="26" spans="2:8" x14ac:dyDescent="0.2">
      <c r="B26" s="31">
        <v>45901</v>
      </c>
      <c r="C26" s="37">
        <v>21</v>
      </c>
      <c r="D26" s="4">
        <f>-SUM('Custos e Despesas'!D17:D18)+SUM(Receita!G26:H26)</f>
        <v>116825</v>
      </c>
      <c r="E26" s="4">
        <f t="shared" si="3"/>
        <v>665096.82999999996</v>
      </c>
      <c r="G26" s="4">
        <f t="shared" si="0"/>
        <v>93243.813720665727</v>
      </c>
      <c r="H26" s="4">
        <f t="shared" si="4"/>
        <v>535365.01494646957</v>
      </c>
    </row>
    <row r="27" spans="2:8" x14ac:dyDescent="0.2">
      <c r="B27" s="31">
        <v>45931</v>
      </c>
      <c r="C27" s="37">
        <v>22</v>
      </c>
      <c r="D27" s="4">
        <f>-SUM('Custos e Despesas'!D17:D18)+SUM(Receita!G27:H27)</f>
        <v>127825</v>
      </c>
      <c r="E27" s="4">
        <f t="shared" si="3"/>
        <v>792921.83</v>
      </c>
      <c r="G27" s="4">
        <f t="shared" si="0"/>
        <v>100933.97672367265</v>
      </c>
      <c r="H27" s="4">
        <f t="shared" si="4"/>
        <v>636298.99167014216</v>
      </c>
    </row>
    <row r="28" spans="2:8" x14ac:dyDescent="0.2">
      <c r="B28" s="31">
        <v>45962</v>
      </c>
      <c r="C28" s="37">
        <v>23</v>
      </c>
      <c r="D28" s="4">
        <f>-SUM('Custos e Despesas'!D17:D18)+SUM(Receita!G28:H28)</f>
        <v>138825</v>
      </c>
      <c r="E28" s="4">
        <f t="shared" si="3"/>
        <v>931746.83</v>
      </c>
      <c r="G28" s="4">
        <f t="shared" si="0"/>
        <v>108449.26422895632</v>
      </c>
      <c r="H28" s="4">
        <f t="shared" si="4"/>
        <v>744748.25589909847</v>
      </c>
    </row>
    <row r="29" spans="2:8" x14ac:dyDescent="0.2">
      <c r="B29" s="47">
        <v>45992</v>
      </c>
      <c r="C29" s="48">
        <v>24</v>
      </c>
      <c r="D29" s="40">
        <f>-SUM('Custos e Despesas'!D17:D18)+SUM(Receita!G29:H29)</f>
        <v>149825</v>
      </c>
      <c r="E29" s="40">
        <f>D29+E28</f>
        <v>1081571.83</v>
      </c>
      <c r="F29" s="41"/>
      <c r="G29" s="40">
        <f t="shared" si="0"/>
        <v>115792.53418381128</v>
      </c>
      <c r="H29" s="40">
        <f t="shared" si="4"/>
        <v>860540.79008290975</v>
      </c>
    </row>
    <row r="30" spans="2:8" ht="13.5" x14ac:dyDescent="0.25">
      <c r="B30" s="16" t="s">
        <v>17</v>
      </c>
      <c r="C30" s="16"/>
      <c r="D30" s="64"/>
    </row>
    <row r="32" spans="2:8" x14ac:dyDescent="0.2">
      <c r="D32" s="50" t="s">
        <v>57</v>
      </c>
      <c r="E32" s="65">
        <f>C16-(E16/D17)</f>
        <v>11.457400841514728</v>
      </c>
    </row>
    <row r="33" spans="2:5" x14ac:dyDescent="0.2">
      <c r="D33" s="30"/>
      <c r="E33" s="50" t="s">
        <v>58</v>
      </c>
    </row>
    <row r="34" spans="2:5" x14ac:dyDescent="0.2">
      <c r="D34" s="50" t="s">
        <v>62</v>
      </c>
      <c r="E34" s="65">
        <f>C18-(H17/G18)</f>
        <v>13.20030843404332</v>
      </c>
    </row>
    <row r="35" spans="2:5" x14ac:dyDescent="0.2">
      <c r="D35" s="30"/>
      <c r="E35" s="50" t="s">
        <v>58</v>
      </c>
    </row>
    <row r="37" spans="2:5" x14ac:dyDescent="0.2">
      <c r="B37" s="50" t="s">
        <v>59</v>
      </c>
      <c r="C37" s="51">
        <v>0.13750000000000001</v>
      </c>
      <c r="D37" s="50" t="s">
        <v>60</v>
      </c>
    </row>
    <row r="38" spans="2:5" x14ac:dyDescent="0.2">
      <c r="B38" s="29"/>
      <c r="C38" s="52">
        <v>1.0794E-2</v>
      </c>
      <c r="D38" s="50" t="s">
        <v>61</v>
      </c>
    </row>
    <row r="40" spans="2:5" x14ac:dyDescent="0.2">
      <c r="B40" s="54" t="s">
        <v>65</v>
      </c>
      <c r="C40" s="55">
        <f>NPV(C38,D6:D29)-D5</f>
        <v>314054.40712385555</v>
      </c>
    </row>
    <row r="41" spans="2:5" x14ac:dyDescent="0.2">
      <c r="B41" s="54" t="s">
        <v>66</v>
      </c>
      <c r="C41" s="56"/>
    </row>
  </sheetData>
  <pageMargins left="0.511811024" right="0.511811024" top="0.78740157499999996" bottom="0.78740157499999996" header="0.31496062000000002" footer="0.31496062000000002"/>
  <ignoredErrors>
    <ignoredError sqref="E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&gt;&gt;&gt;</vt:lpstr>
      <vt:lpstr>Custos e Despesas</vt:lpstr>
      <vt:lpstr>Formação Preço</vt:lpstr>
      <vt:lpstr>Receita</vt:lpstr>
      <vt:lpstr>Fluxo de Caixa</vt:lpstr>
      <vt:lpstr>Fluxo de Caixa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Matos</dc:creator>
  <cp:lastModifiedBy>Caique Matos</cp:lastModifiedBy>
  <dcterms:created xsi:type="dcterms:W3CDTF">2023-11-12T16:00:54Z</dcterms:created>
  <dcterms:modified xsi:type="dcterms:W3CDTF">2023-11-16T03:07:03Z</dcterms:modified>
</cp:coreProperties>
</file>