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4026518\Downloads\"/>
    </mc:Choice>
  </mc:AlternateContent>
  <xr:revisionPtr revIDLastSave="0" documentId="13_ncr:1_{EEB1292D-B6BD-4AF5-AB47-90440D53EAFB}" xr6:coauthVersionLast="36" xr6:coauthVersionMax="36" xr10:uidLastSave="{00000000-0000-0000-0000-000000000000}"/>
  <bookViews>
    <workbookView xWindow="0" yWindow="0" windowWidth="19200" windowHeight="7545" tabRatio="854" firstSheet="1" activeTab="2" xr2:uid="{00000000-000D-0000-FFFF-FFFF00000000}"/>
  </bookViews>
  <sheets>
    <sheet name="Gráfico de Gantt" sheetId="18" state="hidden" r:id="rId1"/>
    <sheet name="Gestão de Custo" sheetId="21" r:id="rId2"/>
    <sheet name="Orcado" sheetId="22" r:id="rId3"/>
    <sheet name="Realizado" sheetId="23" r:id="rId4"/>
    <sheet name="Gráfico -Status" sheetId="24" r:id="rId5"/>
    <sheet name="Param" sheetId="25"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'Gráfico de Gantt'!$G$5</definedName>
    <definedName name="Periodicidade">[3]Param!$AB$5:$AB$9</definedName>
    <definedName name="progresso_da_tarefa" localSheetId="0">[2]CronogramaDeProjeto!$D1</definedName>
    <definedName name="Semana_de_exibição">'Gráfico de Gantt'!$G$6</definedName>
    <definedName name="Status">[1]Param!#REF!</definedName>
    <definedName name="t" hidden="1">{"'TG'!$A$1:$L$37"}</definedName>
    <definedName name="término_da_tarefa" localSheetId="0">[2]CronogramaDeProjeto!$F1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F9" i="22" l="1"/>
  <c r="B5" i="24" l="1"/>
  <c r="D4" i="24"/>
  <c r="F52" i="23"/>
  <c r="G52" i="23" s="1"/>
  <c r="H52" i="23" s="1"/>
  <c r="I52" i="23" s="1"/>
  <c r="J52" i="23" s="1"/>
  <c r="K52" i="23" s="1"/>
  <c r="L52" i="23" s="1"/>
  <c r="M52" i="23" s="1"/>
  <c r="N52" i="23" s="1"/>
  <c r="O52" i="23" s="1"/>
  <c r="P52" i="23" s="1"/>
  <c r="B52" i="23"/>
  <c r="F51" i="23"/>
  <c r="B51" i="23"/>
  <c r="F50" i="23"/>
  <c r="G50" i="23" s="1"/>
  <c r="H50" i="23" s="1"/>
  <c r="I50" i="23" s="1"/>
  <c r="J50" i="23" s="1"/>
  <c r="K50" i="23" s="1"/>
  <c r="L50" i="23" s="1"/>
  <c r="M50" i="23" s="1"/>
  <c r="N50" i="23" s="1"/>
  <c r="O50" i="23" s="1"/>
  <c r="P50" i="23" s="1"/>
  <c r="B50" i="23"/>
  <c r="F49" i="23"/>
  <c r="G49" i="23" s="1"/>
  <c r="H49" i="23" s="1"/>
  <c r="I49" i="23" s="1"/>
  <c r="J49" i="23" s="1"/>
  <c r="K49" i="23" s="1"/>
  <c r="L49" i="23" s="1"/>
  <c r="M49" i="23" s="1"/>
  <c r="N49" i="23" s="1"/>
  <c r="O49" i="23" s="1"/>
  <c r="P49" i="23" s="1"/>
  <c r="B49" i="23"/>
  <c r="F48" i="23"/>
  <c r="G48" i="23" s="1"/>
  <c r="H48" i="23" s="1"/>
  <c r="I48" i="23" s="1"/>
  <c r="J48" i="23" s="1"/>
  <c r="K48" i="23" s="1"/>
  <c r="L48" i="23" s="1"/>
  <c r="M48" i="23" s="1"/>
  <c r="N48" i="23" s="1"/>
  <c r="O48" i="23" s="1"/>
  <c r="P48" i="23" s="1"/>
  <c r="B48" i="23"/>
  <c r="F47" i="23"/>
  <c r="G47" i="23" s="1"/>
  <c r="H47" i="23" s="1"/>
  <c r="I47" i="23" s="1"/>
  <c r="J47" i="23" s="1"/>
  <c r="K47" i="23" s="1"/>
  <c r="L47" i="23" s="1"/>
  <c r="M47" i="23" s="1"/>
  <c r="N47" i="23" s="1"/>
  <c r="O47" i="23" s="1"/>
  <c r="P47" i="23" s="1"/>
  <c r="B47" i="23"/>
  <c r="F46" i="23"/>
  <c r="G46" i="23" s="1"/>
  <c r="H46" i="23" s="1"/>
  <c r="I46" i="23" s="1"/>
  <c r="J46" i="23" s="1"/>
  <c r="K46" i="23" s="1"/>
  <c r="L46" i="23" s="1"/>
  <c r="M46" i="23" s="1"/>
  <c r="N46" i="23" s="1"/>
  <c r="O46" i="23" s="1"/>
  <c r="P46" i="23" s="1"/>
  <c r="B46" i="23"/>
  <c r="G45" i="23"/>
  <c r="H45" i="23" s="1"/>
  <c r="F45" i="23"/>
  <c r="B45" i="23"/>
  <c r="F44" i="23"/>
  <c r="G44" i="23" s="1"/>
  <c r="H44" i="23" s="1"/>
  <c r="I44" i="23" s="1"/>
  <c r="J44" i="23" s="1"/>
  <c r="K44" i="23" s="1"/>
  <c r="L44" i="23" s="1"/>
  <c r="M44" i="23" s="1"/>
  <c r="N44" i="23" s="1"/>
  <c r="O44" i="23" s="1"/>
  <c r="P44" i="23" s="1"/>
  <c r="B44" i="23"/>
  <c r="F43" i="23"/>
  <c r="B43" i="23"/>
  <c r="F42" i="23"/>
  <c r="G42" i="23" s="1"/>
  <c r="H42" i="23" s="1"/>
  <c r="I42" i="23" s="1"/>
  <c r="J42" i="23" s="1"/>
  <c r="K42" i="23" s="1"/>
  <c r="L42" i="23" s="1"/>
  <c r="M42" i="23" s="1"/>
  <c r="N42" i="23" s="1"/>
  <c r="O42" i="23" s="1"/>
  <c r="P42" i="23" s="1"/>
  <c r="B42" i="23"/>
  <c r="F41" i="23"/>
  <c r="G41" i="23" s="1"/>
  <c r="H41" i="23" s="1"/>
  <c r="I41" i="23" s="1"/>
  <c r="J41" i="23" s="1"/>
  <c r="K41" i="23" s="1"/>
  <c r="L41" i="23" s="1"/>
  <c r="M41" i="23" s="1"/>
  <c r="N41" i="23" s="1"/>
  <c r="O41" i="23" s="1"/>
  <c r="P41" i="23" s="1"/>
  <c r="B41" i="23"/>
  <c r="F40" i="23"/>
  <c r="G40" i="23" s="1"/>
  <c r="H40" i="23" s="1"/>
  <c r="I40" i="23" s="1"/>
  <c r="J40" i="23" s="1"/>
  <c r="K40" i="23" s="1"/>
  <c r="L40" i="23" s="1"/>
  <c r="M40" i="23" s="1"/>
  <c r="N40" i="23" s="1"/>
  <c r="O40" i="23" s="1"/>
  <c r="P40" i="23" s="1"/>
  <c r="B40" i="23"/>
  <c r="F39" i="23"/>
  <c r="G39" i="23" s="1"/>
  <c r="H39" i="23" s="1"/>
  <c r="I39" i="23" s="1"/>
  <c r="J39" i="23" s="1"/>
  <c r="K39" i="23" s="1"/>
  <c r="L39" i="23" s="1"/>
  <c r="M39" i="23" s="1"/>
  <c r="N39" i="23" s="1"/>
  <c r="O39" i="23" s="1"/>
  <c r="P39" i="23" s="1"/>
  <c r="B39" i="23"/>
  <c r="F29" i="23"/>
  <c r="G29" i="23" s="1"/>
  <c r="B29" i="23"/>
  <c r="I28" i="23"/>
  <c r="J28" i="23" s="1"/>
  <c r="K28" i="23" s="1"/>
  <c r="L28" i="23" s="1"/>
  <c r="M28" i="23" s="1"/>
  <c r="N28" i="23" s="1"/>
  <c r="O28" i="23" s="1"/>
  <c r="P28" i="23" s="1"/>
  <c r="H28" i="23"/>
  <c r="G28" i="23"/>
  <c r="F27" i="23"/>
  <c r="B27" i="23"/>
  <c r="G26" i="23"/>
  <c r="G27" i="23" s="1"/>
  <c r="F25" i="23"/>
  <c r="B25" i="23"/>
  <c r="G24" i="23"/>
  <c r="H24" i="23" s="1"/>
  <c r="I24" i="23" s="1"/>
  <c r="J24" i="23" s="1"/>
  <c r="K24" i="23" s="1"/>
  <c r="L24" i="23" s="1"/>
  <c r="M24" i="23" s="1"/>
  <c r="N24" i="23" s="1"/>
  <c r="O24" i="23" s="1"/>
  <c r="P24" i="23" s="1"/>
  <c r="F23" i="23"/>
  <c r="G23" i="23" s="1"/>
  <c r="B23" i="23"/>
  <c r="G22" i="23"/>
  <c r="H22" i="23" s="1"/>
  <c r="I22" i="23" s="1"/>
  <c r="J22" i="23" s="1"/>
  <c r="K22" i="23" s="1"/>
  <c r="L22" i="23" s="1"/>
  <c r="M22" i="23" s="1"/>
  <c r="N22" i="23" s="1"/>
  <c r="O22" i="23" s="1"/>
  <c r="P22" i="23" s="1"/>
  <c r="F21" i="23"/>
  <c r="B21" i="23"/>
  <c r="G20" i="23"/>
  <c r="F19" i="23"/>
  <c r="B19" i="23"/>
  <c r="G18" i="23"/>
  <c r="H18" i="23" s="1"/>
  <c r="I18" i="23" s="1"/>
  <c r="J18" i="23" s="1"/>
  <c r="K18" i="23" s="1"/>
  <c r="L18" i="23" s="1"/>
  <c r="M18" i="23" s="1"/>
  <c r="N18" i="23" s="1"/>
  <c r="O18" i="23" s="1"/>
  <c r="P18" i="23" s="1"/>
  <c r="F17" i="23"/>
  <c r="B17" i="23"/>
  <c r="G16" i="23"/>
  <c r="H16" i="23" s="1"/>
  <c r="I16" i="23" s="1"/>
  <c r="J16" i="23" s="1"/>
  <c r="K16" i="23" s="1"/>
  <c r="L16" i="23" s="1"/>
  <c r="M16" i="23" s="1"/>
  <c r="N16" i="23" s="1"/>
  <c r="O16" i="23" s="1"/>
  <c r="P16" i="23" s="1"/>
  <c r="F15" i="23"/>
  <c r="B15" i="23"/>
  <c r="G14" i="23"/>
  <c r="H14" i="23" s="1"/>
  <c r="I14" i="23" s="1"/>
  <c r="J14" i="23" s="1"/>
  <c r="K14" i="23" s="1"/>
  <c r="L14" i="23" s="1"/>
  <c r="M14" i="23" s="1"/>
  <c r="N14" i="23" s="1"/>
  <c r="O14" i="23" s="1"/>
  <c r="P14" i="23" s="1"/>
  <c r="F13" i="23"/>
  <c r="B13" i="23"/>
  <c r="G12" i="23"/>
  <c r="H12" i="23" s="1"/>
  <c r="I12" i="23" s="1"/>
  <c r="J12" i="23" s="1"/>
  <c r="K12" i="23" s="1"/>
  <c r="L12" i="23" s="1"/>
  <c r="M12" i="23" s="1"/>
  <c r="N12" i="23" s="1"/>
  <c r="O12" i="23" s="1"/>
  <c r="P12" i="23" s="1"/>
  <c r="F11" i="23"/>
  <c r="G11" i="23" s="1"/>
  <c r="B11" i="23"/>
  <c r="F9" i="23"/>
  <c r="G9" i="23" s="1"/>
  <c r="B9" i="23"/>
  <c r="E5" i="23"/>
  <c r="D5" i="23"/>
  <c r="D6" i="23" s="1"/>
  <c r="F4" i="23"/>
  <c r="G4" i="23" s="1"/>
  <c r="H4" i="23" s="1"/>
  <c r="I4" i="23" s="1"/>
  <c r="J4" i="23" s="1"/>
  <c r="K4" i="23" s="1"/>
  <c r="L4" i="23" s="1"/>
  <c r="M4" i="23" s="1"/>
  <c r="N4" i="23" s="1"/>
  <c r="O4" i="23" s="1"/>
  <c r="P4" i="23" s="1"/>
  <c r="C4" i="23"/>
  <c r="C3" i="23"/>
  <c r="B2" i="23"/>
  <c r="F46" i="22"/>
  <c r="G46" i="22" s="1"/>
  <c r="H46" i="22" s="1"/>
  <c r="I46" i="22" s="1"/>
  <c r="J46" i="22" s="1"/>
  <c r="K46" i="22" s="1"/>
  <c r="L46" i="22" s="1"/>
  <c r="M46" i="22" s="1"/>
  <c r="N46" i="22" s="1"/>
  <c r="O46" i="22" s="1"/>
  <c r="P46" i="22" s="1"/>
  <c r="F45" i="22"/>
  <c r="G45" i="22" s="1"/>
  <c r="H45" i="22" s="1"/>
  <c r="I45" i="22" s="1"/>
  <c r="J45" i="22" s="1"/>
  <c r="K45" i="22" s="1"/>
  <c r="L45" i="22" s="1"/>
  <c r="M45" i="22" s="1"/>
  <c r="N45" i="22" s="1"/>
  <c r="O45" i="22" s="1"/>
  <c r="P45" i="22" s="1"/>
  <c r="F44" i="22"/>
  <c r="G44" i="22" s="1"/>
  <c r="H44" i="22" s="1"/>
  <c r="I44" i="22" s="1"/>
  <c r="J44" i="22" s="1"/>
  <c r="K44" i="22" s="1"/>
  <c r="L44" i="22" s="1"/>
  <c r="M44" i="22" s="1"/>
  <c r="N44" i="22" s="1"/>
  <c r="O44" i="22" s="1"/>
  <c r="P44" i="22" s="1"/>
  <c r="F43" i="22"/>
  <c r="G43" i="22" s="1"/>
  <c r="H43" i="22" s="1"/>
  <c r="I43" i="22" s="1"/>
  <c r="J43" i="22" s="1"/>
  <c r="K43" i="22" s="1"/>
  <c r="L43" i="22" s="1"/>
  <c r="M43" i="22" s="1"/>
  <c r="N43" i="22" s="1"/>
  <c r="O43" i="22" s="1"/>
  <c r="P43" i="22" s="1"/>
  <c r="F42" i="22"/>
  <c r="G42" i="22" s="1"/>
  <c r="H42" i="22" s="1"/>
  <c r="I42" i="22" s="1"/>
  <c r="J42" i="22" s="1"/>
  <c r="K42" i="22" s="1"/>
  <c r="L42" i="22" s="1"/>
  <c r="M42" i="22" s="1"/>
  <c r="N42" i="22" s="1"/>
  <c r="O42" i="22" s="1"/>
  <c r="P42" i="22" s="1"/>
  <c r="F41" i="22"/>
  <c r="G41" i="22" s="1"/>
  <c r="H41" i="22" s="1"/>
  <c r="I41" i="22" s="1"/>
  <c r="J41" i="22" s="1"/>
  <c r="K41" i="22" s="1"/>
  <c r="L41" i="22" s="1"/>
  <c r="M41" i="22" s="1"/>
  <c r="N41" i="22" s="1"/>
  <c r="O41" i="22" s="1"/>
  <c r="P41" i="22" s="1"/>
  <c r="F40" i="22"/>
  <c r="G40" i="22" s="1"/>
  <c r="H40" i="22" s="1"/>
  <c r="I40" i="22" s="1"/>
  <c r="J40" i="22" s="1"/>
  <c r="K40" i="22" s="1"/>
  <c r="L40" i="22" s="1"/>
  <c r="M40" i="22" s="1"/>
  <c r="N40" i="22" s="1"/>
  <c r="O40" i="22" s="1"/>
  <c r="P40" i="22" s="1"/>
  <c r="F39" i="22"/>
  <c r="G39" i="22" s="1"/>
  <c r="H39" i="22" s="1"/>
  <c r="I39" i="22" s="1"/>
  <c r="J39" i="22" s="1"/>
  <c r="K39" i="22" s="1"/>
  <c r="L39" i="22" s="1"/>
  <c r="M39" i="22" s="1"/>
  <c r="N39" i="22" s="1"/>
  <c r="O39" i="22" s="1"/>
  <c r="P39" i="22" s="1"/>
  <c r="F38" i="22"/>
  <c r="G38" i="22" s="1"/>
  <c r="H38" i="22" s="1"/>
  <c r="I38" i="22" s="1"/>
  <c r="J38" i="22" s="1"/>
  <c r="K38" i="22" s="1"/>
  <c r="L38" i="22" s="1"/>
  <c r="M38" i="22" s="1"/>
  <c r="N38" i="22" s="1"/>
  <c r="O38" i="22" s="1"/>
  <c r="P38" i="22" s="1"/>
  <c r="F37" i="22"/>
  <c r="G37" i="22" s="1"/>
  <c r="H37" i="22" s="1"/>
  <c r="I37" i="22" s="1"/>
  <c r="J37" i="22" s="1"/>
  <c r="K37" i="22" s="1"/>
  <c r="L37" i="22" s="1"/>
  <c r="M37" i="22" s="1"/>
  <c r="N37" i="22" s="1"/>
  <c r="O37" i="22" s="1"/>
  <c r="P37" i="22" s="1"/>
  <c r="F36" i="22"/>
  <c r="G36" i="22" s="1"/>
  <c r="H36" i="22" s="1"/>
  <c r="I36" i="22" s="1"/>
  <c r="J36" i="22" s="1"/>
  <c r="K36" i="22" s="1"/>
  <c r="L36" i="22" s="1"/>
  <c r="M36" i="22" s="1"/>
  <c r="N36" i="22" s="1"/>
  <c r="O36" i="22" s="1"/>
  <c r="P36" i="22" s="1"/>
  <c r="F35" i="22"/>
  <c r="G35" i="22" s="1"/>
  <c r="H35" i="22" s="1"/>
  <c r="I35" i="22" s="1"/>
  <c r="J35" i="22" s="1"/>
  <c r="K35" i="22" s="1"/>
  <c r="L35" i="22" s="1"/>
  <c r="M35" i="22" s="1"/>
  <c r="N35" i="22" s="1"/>
  <c r="O35" i="22" s="1"/>
  <c r="P35" i="22" s="1"/>
  <c r="F34" i="22"/>
  <c r="G34" i="22" s="1"/>
  <c r="H34" i="22" s="1"/>
  <c r="I34" i="22" s="1"/>
  <c r="J34" i="22" s="1"/>
  <c r="K34" i="22" s="1"/>
  <c r="L34" i="22" s="1"/>
  <c r="M34" i="22" s="1"/>
  <c r="N34" i="22" s="1"/>
  <c r="O34" i="22" s="1"/>
  <c r="P34" i="22" s="1"/>
  <c r="F33" i="22"/>
  <c r="G33" i="22" s="1"/>
  <c r="H33" i="22" s="1"/>
  <c r="I33" i="22" s="1"/>
  <c r="J33" i="22" s="1"/>
  <c r="K33" i="22" s="1"/>
  <c r="L33" i="22" s="1"/>
  <c r="M33" i="22" s="1"/>
  <c r="N33" i="22" s="1"/>
  <c r="O33" i="22" s="1"/>
  <c r="P33" i="22" s="1"/>
  <c r="F29" i="22"/>
  <c r="G29" i="22" s="1"/>
  <c r="H29" i="22" s="1"/>
  <c r="I29" i="22" s="1"/>
  <c r="G28" i="22"/>
  <c r="H28" i="22" s="1"/>
  <c r="I28" i="22" s="1"/>
  <c r="J28" i="22" s="1"/>
  <c r="K28" i="22" s="1"/>
  <c r="L28" i="22" s="1"/>
  <c r="M28" i="22" s="1"/>
  <c r="N28" i="22" s="1"/>
  <c r="O28" i="22" s="1"/>
  <c r="P28" i="22" s="1"/>
  <c r="F27" i="22"/>
  <c r="I26" i="22"/>
  <c r="J26" i="22" s="1"/>
  <c r="K26" i="22" s="1"/>
  <c r="L26" i="22" s="1"/>
  <c r="M26" i="22" s="1"/>
  <c r="N26" i="22" s="1"/>
  <c r="O26" i="22" s="1"/>
  <c r="P26" i="22" s="1"/>
  <c r="G26" i="22"/>
  <c r="H26" i="22" s="1"/>
  <c r="F25" i="22"/>
  <c r="G24" i="22"/>
  <c r="H24" i="22" s="1"/>
  <c r="I24" i="22" s="1"/>
  <c r="J24" i="22" s="1"/>
  <c r="K24" i="22" s="1"/>
  <c r="L24" i="22" s="1"/>
  <c r="M24" i="22" s="1"/>
  <c r="N24" i="22" s="1"/>
  <c r="O24" i="22" s="1"/>
  <c r="P24" i="22" s="1"/>
  <c r="F23" i="22"/>
  <c r="G22" i="22"/>
  <c r="H22" i="22" s="1"/>
  <c r="I22" i="22" s="1"/>
  <c r="J22" i="22" s="1"/>
  <c r="K22" i="22" s="1"/>
  <c r="L22" i="22" s="1"/>
  <c r="M22" i="22" s="1"/>
  <c r="N22" i="22" s="1"/>
  <c r="O22" i="22" s="1"/>
  <c r="P22" i="22" s="1"/>
  <c r="F21" i="22"/>
  <c r="G21" i="22" s="1"/>
  <c r="G20" i="22"/>
  <c r="H20" i="22" s="1"/>
  <c r="I20" i="22" s="1"/>
  <c r="J20" i="22" s="1"/>
  <c r="K20" i="22" s="1"/>
  <c r="L20" i="22" s="1"/>
  <c r="M20" i="22" s="1"/>
  <c r="N20" i="22" s="1"/>
  <c r="O20" i="22" s="1"/>
  <c r="P20" i="22" s="1"/>
  <c r="F19" i="22"/>
  <c r="G18" i="22"/>
  <c r="H18" i="22" s="1"/>
  <c r="I18" i="22" s="1"/>
  <c r="J18" i="22" s="1"/>
  <c r="K18" i="22" s="1"/>
  <c r="L18" i="22" s="1"/>
  <c r="M18" i="22" s="1"/>
  <c r="N18" i="22" s="1"/>
  <c r="O18" i="22" s="1"/>
  <c r="P18" i="22" s="1"/>
  <c r="F17" i="22"/>
  <c r="G17" i="22" s="1"/>
  <c r="H17" i="22" s="1"/>
  <c r="I17" i="22" s="1"/>
  <c r="I16" i="22"/>
  <c r="J16" i="22" s="1"/>
  <c r="K16" i="22" s="1"/>
  <c r="L16" i="22" s="1"/>
  <c r="M16" i="22" s="1"/>
  <c r="N16" i="22" s="1"/>
  <c r="O16" i="22" s="1"/>
  <c r="P16" i="22" s="1"/>
  <c r="H16" i="22"/>
  <c r="G16" i="22"/>
  <c r="F15" i="22"/>
  <c r="G14" i="22"/>
  <c r="H14" i="22" s="1"/>
  <c r="I14" i="22" s="1"/>
  <c r="J14" i="22" s="1"/>
  <c r="K14" i="22" s="1"/>
  <c r="L14" i="22" s="1"/>
  <c r="M14" i="22" s="1"/>
  <c r="N14" i="22" s="1"/>
  <c r="O14" i="22" s="1"/>
  <c r="P14" i="22" s="1"/>
  <c r="F13" i="22"/>
  <c r="G12" i="22"/>
  <c r="H12" i="22" s="1"/>
  <c r="I12" i="22" s="1"/>
  <c r="J12" i="22" s="1"/>
  <c r="K12" i="22" s="1"/>
  <c r="L12" i="22" s="1"/>
  <c r="M12" i="22" s="1"/>
  <c r="N12" i="22" s="1"/>
  <c r="O12" i="22" s="1"/>
  <c r="P12" i="22" s="1"/>
  <c r="F11" i="22"/>
  <c r="G10" i="22"/>
  <c r="H10" i="22" s="1"/>
  <c r="I10" i="22" s="1"/>
  <c r="J10" i="22" s="1"/>
  <c r="K10" i="22" s="1"/>
  <c r="L10" i="22" s="1"/>
  <c r="M10" i="22" s="1"/>
  <c r="N10" i="22" s="1"/>
  <c r="O10" i="22" s="1"/>
  <c r="P10" i="22" s="1"/>
  <c r="I9" i="22"/>
  <c r="J9" i="22" s="1"/>
  <c r="E5" i="22"/>
  <c r="D5" i="22"/>
  <c r="G4" i="22"/>
  <c r="H4" i="22" s="1"/>
  <c r="I4" i="22" s="1"/>
  <c r="J4" i="22" s="1"/>
  <c r="K4" i="22" s="1"/>
  <c r="L4" i="22" s="1"/>
  <c r="M4" i="22" s="1"/>
  <c r="N4" i="22" s="1"/>
  <c r="O4" i="22" s="1"/>
  <c r="P4" i="22" s="1"/>
  <c r="F4" i="22"/>
  <c r="C4" i="22"/>
  <c r="E3" i="22"/>
  <c r="C3" i="22"/>
  <c r="B24" i="21"/>
  <c r="B25" i="21" s="1"/>
  <c r="B26" i="21" s="1"/>
  <c r="B27" i="21" s="1"/>
  <c r="B28" i="21" s="1"/>
  <c r="B29" i="21" s="1"/>
  <c r="B30" i="21" s="1"/>
  <c r="B31" i="21" s="1"/>
  <c r="B32" i="21" s="1"/>
  <c r="B33" i="21" s="1"/>
  <c r="B34" i="21" s="1"/>
  <c r="D20" i="21"/>
  <c r="C5" i="21"/>
  <c r="C6" i="21" s="1"/>
  <c r="C7" i="21" s="1"/>
  <c r="C8" i="21" s="1"/>
  <c r="H26" i="23" l="1"/>
  <c r="I26" i="23" s="1"/>
  <c r="J26" i="23" s="1"/>
  <c r="K26" i="23" s="1"/>
  <c r="L26" i="23" s="1"/>
  <c r="M26" i="23" s="1"/>
  <c r="N26" i="23" s="1"/>
  <c r="O26" i="23" s="1"/>
  <c r="P26" i="23" s="1"/>
  <c r="G13" i="23"/>
  <c r="H13" i="23" s="1"/>
  <c r="I13" i="23" s="1"/>
  <c r="J13" i="23" s="1"/>
  <c r="K13" i="23" s="1"/>
  <c r="L13" i="23" s="1"/>
  <c r="M13" i="23" s="1"/>
  <c r="N13" i="23" s="1"/>
  <c r="G17" i="23"/>
  <c r="H17" i="23" s="1"/>
  <c r="I17" i="23" s="1"/>
  <c r="J17" i="23" s="1"/>
  <c r="K17" i="23" s="1"/>
  <c r="L17" i="23" s="1"/>
  <c r="M17" i="23" s="1"/>
  <c r="N17" i="23" s="1"/>
  <c r="O17" i="23" s="1"/>
  <c r="P17" i="23" s="1"/>
  <c r="H29" i="23"/>
  <c r="I29" i="23" s="1"/>
  <c r="H23" i="23"/>
  <c r="I23" i="23" s="1"/>
  <c r="G19" i="22"/>
  <c r="G23" i="22"/>
  <c r="H23" i="22" s="1"/>
  <c r="I23" i="22" s="1"/>
  <c r="J23" i="22" s="1"/>
  <c r="K23" i="22" s="1"/>
  <c r="L23" i="22" s="1"/>
  <c r="M23" i="22" s="1"/>
  <c r="N23" i="22" s="1"/>
  <c r="O23" i="22" s="1"/>
  <c r="P23" i="22" s="1"/>
  <c r="G15" i="22"/>
  <c r="G21" i="23"/>
  <c r="O13" i="23"/>
  <c r="P13" i="23" s="1"/>
  <c r="H19" i="22"/>
  <c r="I19" i="22" s="1"/>
  <c r="J19" i="22" s="1"/>
  <c r="K19" i="22" s="1"/>
  <c r="L19" i="22" s="1"/>
  <c r="M19" i="22" s="1"/>
  <c r="N19" i="22" s="1"/>
  <c r="O19" i="22" s="1"/>
  <c r="P19" i="22" s="1"/>
  <c r="J29" i="23"/>
  <c r="K29" i="23" s="1"/>
  <c r="L29" i="23" s="1"/>
  <c r="M29" i="23" s="1"/>
  <c r="N29" i="23" s="1"/>
  <c r="O29" i="23" s="1"/>
  <c r="P29" i="23" s="1"/>
  <c r="H11" i="23"/>
  <c r="I11" i="23" s="1"/>
  <c r="J11" i="23" s="1"/>
  <c r="K11" i="23" s="1"/>
  <c r="L11" i="23" s="1"/>
  <c r="M11" i="23" s="1"/>
  <c r="N11" i="23" s="1"/>
  <c r="O11" i="23" s="1"/>
  <c r="P11" i="23" s="1"/>
  <c r="Q11" i="23"/>
  <c r="G19" i="23"/>
  <c r="H19" i="23" s="1"/>
  <c r="I19" i="23" s="1"/>
  <c r="J19" i="23" s="1"/>
  <c r="K19" i="23" s="1"/>
  <c r="L19" i="23" s="1"/>
  <c r="M19" i="23" s="1"/>
  <c r="N19" i="23" s="1"/>
  <c r="O19" i="23" s="1"/>
  <c r="P19" i="23" s="1"/>
  <c r="G43" i="23"/>
  <c r="H43" i="23" s="1"/>
  <c r="I43" i="23" s="1"/>
  <c r="J43" i="23" s="1"/>
  <c r="K43" i="23" s="1"/>
  <c r="L43" i="23" s="1"/>
  <c r="M43" i="23" s="1"/>
  <c r="N43" i="23" s="1"/>
  <c r="O43" i="23" s="1"/>
  <c r="P43" i="23" s="1"/>
  <c r="Q23" i="22"/>
  <c r="G13" i="22"/>
  <c r="H13" i="22" s="1"/>
  <c r="I13" i="22" s="1"/>
  <c r="J13" i="22" s="1"/>
  <c r="K13" i="22" s="1"/>
  <c r="L13" i="22" s="1"/>
  <c r="M13" i="22" s="1"/>
  <c r="N13" i="22" s="1"/>
  <c r="O13" i="22" s="1"/>
  <c r="P13" i="22" s="1"/>
  <c r="F5" i="23"/>
  <c r="H20" i="23"/>
  <c r="I20" i="23" s="1"/>
  <c r="J20" i="23" s="1"/>
  <c r="K20" i="23" s="1"/>
  <c r="L20" i="23" s="1"/>
  <c r="M20" i="23" s="1"/>
  <c r="N20" i="23" s="1"/>
  <c r="O20" i="23" s="1"/>
  <c r="P20" i="23" s="1"/>
  <c r="F3" i="22"/>
  <c r="E3" i="23"/>
  <c r="Q39" i="23"/>
  <c r="Q44" i="23"/>
  <c r="K9" i="22"/>
  <c r="J17" i="22"/>
  <c r="K17" i="22" s="1"/>
  <c r="L17" i="22" s="1"/>
  <c r="M17" i="22" s="1"/>
  <c r="N17" i="22" s="1"/>
  <c r="O17" i="22" s="1"/>
  <c r="P17" i="22" s="1"/>
  <c r="E6" i="23"/>
  <c r="Q41" i="23"/>
  <c r="Q52" i="23"/>
  <c r="G25" i="22"/>
  <c r="H25" i="22" s="1"/>
  <c r="I25" i="22" s="1"/>
  <c r="J25" i="22" s="1"/>
  <c r="K25" i="22" s="1"/>
  <c r="L25" i="22" s="1"/>
  <c r="M25" i="22" s="1"/>
  <c r="N25" i="22" s="1"/>
  <c r="O25" i="22" s="1"/>
  <c r="P25" i="22" s="1"/>
  <c r="Q25" i="22" s="1"/>
  <c r="H21" i="22"/>
  <c r="J29" i="22"/>
  <c r="K29" i="22" s="1"/>
  <c r="L29" i="22" s="1"/>
  <c r="M29" i="22" s="1"/>
  <c r="N29" i="22" s="1"/>
  <c r="O29" i="22" s="1"/>
  <c r="P29" i="22" s="1"/>
  <c r="Q25" i="23"/>
  <c r="I45" i="23"/>
  <c r="J45" i="23" s="1"/>
  <c r="K45" i="23" s="1"/>
  <c r="L45" i="23" s="1"/>
  <c r="M45" i="23" s="1"/>
  <c r="N45" i="23" s="1"/>
  <c r="O45" i="23" s="1"/>
  <c r="P45" i="23" s="1"/>
  <c r="Q49" i="23"/>
  <c r="Q42" i="23"/>
  <c r="H9" i="23"/>
  <c r="F5" i="22"/>
  <c r="H27" i="23"/>
  <c r="I27" i="23" s="1"/>
  <c r="J27" i="23" s="1"/>
  <c r="K27" i="23" s="1"/>
  <c r="L27" i="23" s="1"/>
  <c r="M27" i="23" s="1"/>
  <c r="N27" i="23" s="1"/>
  <c r="O27" i="23" s="1"/>
  <c r="P27" i="23" s="1"/>
  <c r="Q17" i="23"/>
  <c r="D6" i="22"/>
  <c r="C4" i="24"/>
  <c r="G11" i="22"/>
  <c r="Q40" i="23"/>
  <c r="D5" i="24"/>
  <c r="Q13" i="22"/>
  <c r="G27" i="22"/>
  <c r="G51" i="23"/>
  <c r="H51" i="23" s="1"/>
  <c r="I51" i="23" s="1"/>
  <c r="J51" i="23" s="1"/>
  <c r="K51" i="23" s="1"/>
  <c r="L51" i="23" s="1"/>
  <c r="M51" i="23" s="1"/>
  <c r="N51" i="23" s="1"/>
  <c r="O51" i="23" s="1"/>
  <c r="P51" i="23" s="1"/>
  <c r="G25" i="23"/>
  <c r="H25" i="23" s="1"/>
  <c r="I25" i="23" s="1"/>
  <c r="J25" i="23" s="1"/>
  <c r="K25" i="23" s="1"/>
  <c r="L25" i="23" s="1"/>
  <c r="M25" i="23" s="1"/>
  <c r="N25" i="23" s="1"/>
  <c r="O25" i="23" s="1"/>
  <c r="P25" i="23" s="1"/>
  <c r="B6" i="24"/>
  <c r="Q46" i="23"/>
  <c r="G15" i="23"/>
  <c r="G5" i="23" s="1"/>
  <c r="Q47" i="23"/>
  <c r="F4" i="24"/>
  <c r="Q48" i="23"/>
  <c r="Q29" i="22"/>
  <c r="Q33" i="22"/>
  <c r="Q34" i="22"/>
  <c r="Q35" i="22"/>
  <c r="Q36" i="22"/>
  <c r="Q37" i="22"/>
  <c r="Q38" i="22"/>
  <c r="Q39" i="22"/>
  <c r="Q40" i="22"/>
  <c r="Q41" i="22"/>
  <c r="Q42" i="22"/>
  <c r="Q43" i="22"/>
  <c r="Q44" i="22"/>
  <c r="Q45" i="22"/>
  <c r="Q46" i="22"/>
  <c r="Q50" i="23"/>
  <c r="C5" i="24"/>
  <c r="J23" i="23" l="1"/>
  <c r="K23" i="23" s="1"/>
  <c r="L23" i="23" s="1"/>
  <c r="M23" i="23" s="1"/>
  <c r="N23" i="23" s="1"/>
  <c r="O23" i="23" s="1"/>
  <c r="P23" i="23" s="1"/>
  <c r="Q23" i="23"/>
  <c r="Q51" i="23"/>
  <c r="Q19" i="22"/>
  <c r="Q17" i="22"/>
  <c r="H15" i="22"/>
  <c r="I15" i="22" s="1"/>
  <c r="J15" i="22" s="1"/>
  <c r="K15" i="22" s="1"/>
  <c r="L15" i="22" s="1"/>
  <c r="M15" i="22" s="1"/>
  <c r="N15" i="22" s="1"/>
  <c r="O15" i="22" s="1"/>
  <c r="P15" i="22" s="1"/>
  <c r="Q43" i="23"/>
  <c r="F6" i="23"/>
  <c r="G3" i="22"/>
  <c r="F3" i="23"/>
  <c r="H27" i="22"/>
  <c r="I27" i="22" s="1"/>
  <c r="J27" i="22" s="1"/>
  <c r="K27" i="22" s="1"/>
  <c r="L27" i="22" s="1"/>
  <c r="M27" i="22" s="1"/>
  <c r="N27" i="22" s="1"/>
  <c r="O27" i="22" s="1"/>
  <c r="P27" i="22" s="1"/>
  <c r="Q13" i="23"/>
  <c r="Q19" i="23"/>
  <c r="I9" i="23"/>
  <c r="B7" i="24"/>
  <c r="D6" i="24"/>
  <c r="C6" i="24"/>
  <c r="G6" i="23"/>
  <c r="Q29" i="23"/>
  <c r="F5" i="24"/>
  <c r="H15" i="23"/>
  <c r="I15" i="23" s="1"/>
  <c r="J15" i="23" s="1"/>
  <c r="K15" i="23" s="1"/>
  <c r="L15" i="23" s="1"/>
  <c r="M15" i="23" s="1"/>
  <c r="N15" i="23" s="1"/>
  <c r="O15" i="23" s="1"/>
  <c r="P15" i="23" s="1"/>
  <c r="G5" i="22"/>
  <c r="H11" i="22"/>
  <c r="I21" i="22"/>
  <c r="J21" i="22" s="1"/>
  <c r="K21" i="22" s="1"/>
  <c r="L21" i="22" s="1"/>
  <c r="M21" i="22" s="1"/>
  <c r="N21" i="22" s="1"/>
  <c r="O21" i="22" s="1"/>
  <c r="P21" i="22" s="1"/>
  <c r="Q27" i="23"/>
  <c r="E4" i="24"/>
  <c r="G4" i="24" s="1"/>
  <c r="E6" i="22"/>
  <c r="F6" i="22" s="1"/>
  <c r="Q45" i="23"/>
  <c r="L9" i="22"/>
  <c r="H21" i="23"/>
  <c r="H5" i="23" s="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G6" i="22" l="1"/>
  <c r="Q15" i="22"/>
  <c r="H5" i="22"/>
  <c r="I11" i="22"/>
  <c r="J9" i="23"/>
  <c r="M9" i="22"/>
  <c r="Q15" i="23"/>
  <c r="F6" i="24"/>
  <c r="Q27" i="22"/>
  <c r="H4" i="24"/>
  <c r="E5" i="24"/>
  <c r="E6" i="24" s="1"/>
  <c r="H6" i="23"/>
  <c r="H3" i="22"/>
  <c r="G3" i="23"/>
  <c r="Q21" i="22"/>
  <c r="I21" i="23"/>
  <c r="J21" i="23" s="1"/>
  <c r="K21" i="23" s="1"/>
  <c r="L21" i="23" s="1"/>
  <c r="M21" i="23" s="1"/>
  <c r="N21" i="23" s="1"/>
  <c r="O21" i="23" s="1"/>
  <c r="P21" i="23" s="1"/>
  <c r="Q21" i="23"/>
  <c r="B8" i="24"/>
  <c r="D7" i="24"/>
  <c r="C7" i="24"/>
  <c r="K6" i="18"/>
  <c r="L7" i="18"/>
  <c r="H5" i="24" l="1"/>
  <c r="I5" i="23"/>
  <c r="I6" i="23"/>
  <c r="G5" i="24"/>
  <c r="H6" i="22"/>
  <c r="I5" i="22"/>
  <c r="J11" i="22"/>
  <c r="H6" i="24"/>
  <c r="G6" i="24"/>
  <c r="F7" i="24"/>
  <c r="N9" i="22"/>
  <c r="D8" i="24"/>
  <c r="C8" i="24"/>
  <c r="B9" i="24"/>
  <c r="E7" i="24"/>
  <c r="K9" i="23"/>
  <c r="J5" i="23"/>
  <c r="I3" i="22"/>
  <c r="H3" i="23"/>
  <c r="M7" i="18"/>
  <c r="L8" i="18"/>
  <c r="I6" i="22" l="1"/>
  <c r="J3" i="22"/>
  <c r="I3" i="23"/>
  <c r="F8" i="24"/>
  <c r="H7" i="24"/>
  <c r="G7" i="24"/>
  <c r="K5" i="23"/>
  <c r="L9" i="23"/>
  <c r="E8" i="24"/>
  <c r="J6" i="23"/>
  <c r="B10" i="24"/>
  <c r="D9" i="24"/>
  <c r="C9" i="24"/>
  <c r="K11" i="22"/>
  <c r="J5" i="22"/>
  <c r="O9" i="22"/>
  <c r="M8" i="18"/>
  <c r="N7" i="18"/>
  <c r="J6" i="22" l="1"/>
  <c r="E9" i="24"/>
  <c r="D10" i="24"/>
  <c r="C10" i="24"/>
  <c r="B11" i="24"/>
  <c r="J3" i="23"/>
  <c r="K3" i="22"/>
  <c r="K6" i="23"/>
  <c r="P9" i="22"/>
  <c r="G8" i="24"/>
  <c r="F9" i="24"/>
  <c r="H8" i="24"/>
  <c r="L11" i="22"/>
  <c r="K5" i="22"/>
  <c r="L5" i="23"/>
  <c r="M9" i="23"/>
  <c r="N8" i="18"/>
  <c r="O7" i="18"/>
  <c r="E10" i="24" l="1"/>
  <c r="K6" i="22"/>
  <c r="B12" i="24"/>
  <c r="D11" i="24"/>
  <c r="C11" i="24"/>
  <c r="E11" i="24" s="1"/>
  <c r="L3" i="22"/>
  <c r="K3" i="23"/>
  <c r="M5" i="23"/>
  <c r="N9" i="23"/>
  <c r="L6" i="23"/>
  <c r="M11" i="22"/>
  <c r="L5" i="22"/>
  <c r="H9" i="24"/>
  <c r="G9" i="24"/>
  <c r="F10" i="24"/>
  <c r="Q9" i="22"/>
  <c r="O8" i="18"/>
  <c r="P7" i="18"/>
  <c r="L6" i="22" l="1"/>
  <c r="N11" i="22"/>
  <c r="M5" i="22"/>
  <c r="C12" i="24"/>
  <c r="E12" i="24" s="1"/>
  <c r="B13" i="24"/>
  <c r="D12" i="24"/>
  <c r="M6" i="23"/>
  <c r="N5" i="23"/>
  <c r="O9" i="23"/>
  <c r="F11" i="24"/>
  <c r="H10" i="24"/>
  <c r="G10" i="24"/>
  <c r="L3" i="23"/>
  <c r="M3" i="22"/>
  <c r="Q7" i="18"/>
  <c r="P8" i="18"/>
  <c r="M6" i="22" l="1"/>
  <c r="N6" i="23"/>
  <c r="O5" i="23"/>
  <c r="P9" i="23"/>
  <c r="D13" i="24"/>
  <c r="C13" i="24"/>
  <c r="E13" i="24" s="1"/>
  <c r="B14" i="24"/>
  <c r="M3" i="23"/>
  <c r="N3" i="22"/>
  <c r="O11" i="22"/>
  <c r="N5" i="22"/>
  <c r="N6" i="22" s="1"/>
  <c r="H11" i="24"/>
  <c r="G11" i="24"/>
  <c r="F12" i="24"/>
  <c r="Q8" i="18"/>
  <c r="R7" i="18"/>
  <c r="N3" i="23" l="1"/>
  <c r="O3" i="22"/>
  <c r="P11" i="22"/>
  <c r="O5" i="22"/>
  <c r="O6" i="22" s="1"/>
  <c r="B15" i="24"/>
  <c r="D14" i="24"/>
  <c r="C14" i="24"/>
  <c r="E14" i="24" s="1"/>
  <c r="P5" i="23"/>
  <c r="Q9" i="23"/>
  <c r="F13" i="24"/>
  <c r="H12" i="24"/>
  <c r="G12" i="24"/>
  <c r="O6" i="23"/>
  <c r="R6" i="18"/>
  <c r="S7" i="18"/>
  <c r="R8" i="18"/>
  <c r="H13" i="24" l="1"/>
  <c r="G13" i="24"/>
  <c r="F14" i="24"/>
  <c r="Q5" i="23"/>
  <c r="D61" i="23"/>
  <c r="D59" i="23"/>
  <c r="D15" i="24"/>
  <c r="C15" i="24"/>
  <c r="E15" i="24" s="1"/>
  <c r="B16" i="24"/>
  <c r="P5" i="22"/>
  <c r="Q11" i="22"/>
  <c r="O3" i="23"/>
  <c r="P3" i="22"/>
  <c r="P3" i="23" s="1"/>
  <c r="P6" i="23"/>
  <c r="D60" i="23" s="1"/>
  <c r="S8" i="18"/>
  <c r="T7" i="18"/>
  <c r="F15" i="24" l="1"/>
  <c r="H14" i="24"/>
  <c r="G14" i="24"/>
  <c r="D55" i="22"/>
  <c r="D53" i="22"/>
  <c r="Q5" i="22"/>
  <c r="D16" i="24"/>
  <c r="D17" i="24" s="1"/>
  <c r="C16" i="24"/>
  <c r="C17" i="24" s="1"/>
  <c r="P6" i="22"/>
  <c r="D54" i="22" s="1"/>
  <c r="U7" i="18"/>
  <c r="T8" i="18"/>
  <c r="C18" i="24" l="1"/>
  <c r="F16" i="24"/>
  <c r="H15" i="24"/>
  <c r="G15" i="24"/>
  <c r="E16" i="24"/>
  <c r="U8" i="18"/>
  <c r="V7" i="18"/>
  <c r="H16" i="24" l="1"/>
  <c r="G16" i="24"/>
  <c r="W7" i="18"/>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0090D73E-6CEF-4C91-AB46-A43EEC3BDA5A}">
      <text>
        <r>
          <rPr>
            <b/>
            <sz val="9"/>
            <color indexed="81"/>
            <rFont val="Tahoma"/>
            <family val="2"/>
          </rPr>
          <t>Eduardo Montes, PMP:</t>
        </r>
        <r>
          <rPr>
            <sz val="9"/>
            <color indexed="81"/>
            <rFont val="Tahoma"/>
            <family val="2"/>
          </rPr>
          <t xml:space="preserve">
Explique o ganho financeiro e forma de cálculo</t>
        </r>
      </text>
    </comment>
    <comment ref="B10" authorId="0" shapeId="0" xr:uid="{D909A8AD-6538-4F10-9AA7-0F7FBB44459C}">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1" authorId="0" shapeId="0" xr:uid="{307081DD-526B-40FB-8142-01592BF94EF6}">
      <text>
        <r>
          <rPr>
            <b/>
            <sz val="9"/>
            <color indexed="81"/>
            <rFont val="Tahoma"/>
            <family val="2"/>
          </rPr>
          <t>Eduardo Montes, PMP:</t>
        </r>
        <r>
          <rPr>
            <sz val="9"/>
            <color indexed="81"/>
            <rFont val="Tahoma"/>
            <family val="2"/>
          </rPr>
          <t xml:space="preserve">
Explique o ganho financeiro e forma de cálculo</t>
        </r>
      </text>
    </comment>
    <comment ref="B12" authorId="0" shapeId="0" xr:uid="{A9F0E159-5814-4F44-A1EB-7D2AF579A1DB}">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3" authorId="0" shapeId="0" xr:uid="{43F4CE14-50D9-44F2-8810-D78353986B04}">
      <text>
        <r>
          <rPr>
            <b/>
            <sz val="9"/>
            <color indexed="81"/>
            <rFont val="Tahoma"/>
            <family val="2"/>
          </rPr>
          <t>Eduardo Montes, PMP:</t>
        </r>
        <r>
          <rPr>
            <sz val="9"/>
            <color indexed="81"/>
            <rFont val="Tahoma"/>
            <family val="2"/>
          </rPr>
          <t xml:space="preserve">
Explique o ganho financeiro e forma de cálculo</t>
        </r>
      </text>
    </comment>
    <comment ref="B14" authorId="0" shapeId="0" xr:uid="{F0529566-474A-48EF-8E91-5EA9C01F3FD9}">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5" authorId="0" shapeId="0" xr:uid="{59FE704C-5C9C-4F92-A101-EB3A7DCF1B34}">
      <text>
        <r>
          <rPr>
            <b/>
            <sz val="9"/>
            <color indexed="81"/>
            <rFont val="Tahoma"/>
            <family val="2"/>
          </rPr>
          <t>Eduardo Montes, PMP:</t>
        </r>
        <r>
          <rPr>
            <sz val="9"/>
            <color indexed="81"/>
            <rFont val="Tahoma"/>
            <family val="2"/>
          </rPr>
          <t xml:space="preserve">
Explique o ganho financeiro e forma de cálculo</t>
        </r>
      </text>
    </comment>
    <comment ref="B16" authorId="0" shapeId="0" xr:uid="{9B1439E1-3931-4D09-9D93-DEAE3AFB2714}">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7" authorId="0" shapeId="0" xr:uid="{0D05AE9A-6005-4BCC-8F42-9C6567878B12}">
      <text>
        <r>
          <rPr>
            <b/>
            <sz val="9"/>
            <color indexed="81"/>
            <rFont val="Tahoma"/>
            <family val="2"/>
          </rPr>
          <t>Eduardo Montes, PMP:</t>
        </r>
        <r>
          <rPr>
            <sz val="9"/>
            <color indexed="81"/>
            <rFont val="Tahoma"/>
            <family val="2"/>
          </rPr>
          <t xml:space="preserve">
Explique o ganho financeiro e forma de cálculo</t>
        </r>
      </text>
    </comment>
    <comment ref="B18" authorId="0" shapeId="0" xr:uid="{0B49801B-5C2E-4DE9-A346-564FC3C1E7A3}">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9" authorId="0" shapeId="0" xr:uid="{6820B822-94C7-4A43-83E6-1B29D5E41DCD}">
      <text>
        <r>
          <rPr>
            <b/>
            <sz val="9"/>
            <color indexed="81"/>
            <rFont val="Tahoma"/>
            <family val="2"/>
          </rPr>
          <t>Eduardo Montes, PMP:</t>
        </r>
        <r>
          <rPr>
            <sz val="9"/>
            <color indexed="81"/>
            <rFont val="Tahoma"/>
            <family val="2"/>
          </rPr>
          <t xml:space="preserve">
Explique o ganho financeiro e forma de cálculo</t>
        </r>
      </text>
    </comment>
    <comment ref="B20" authorId="0" shapeId="0" xr:uid="{46F6875E-BB21-439B-82BB-CF02EB979672}">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1" authorId="0" shapeId="0" xr:uid="{19A9423E-7020-45BC-AA1B-F38834C915C0}">
      <text>
        <r>
          <rPr>
            <b/>
            <sz val="9"/>
            <color indexed="81"/>
            <rFont val="Tahoma"/>
            <family val="2"/>
          </rPr>
          <t>Eduardo Montes, PMP:</t>
        </r>
        <r>
          <rPr>
            <sz val="9"/>
            <color indexed="81"/>
            <rFont val="Tahoma"/>
            <family val="2"/>
          </rPr>
          <t xml:space="preserve">
Explique o ganho financeiro e forma de cálculo</t>
        </r>
      </text>
    </comment>
    <comment ref="B22" authorId="0" shapeId="0" xr:uid="{CF81F7ED-2817-4412-A260-B0F8A0A184A3}">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3" authorId="0" shapeId="0" xr:uid="{554C31B5-22EE-4BC8-B92D-36C412D6512B}">
      <text>
        <r>
          <rPr>
            <b/>
            <sz val="9"/>
            <color indexed="81"/>
            <rFont val="Tahoma"/>
            <family val="2"/>
          </rPr>
          <t>Eduardo Montes, PMP:</t>
        </r>
        <r>
          <rPr>
            <sz val="9"/>
            <color indexed="81"/>
            <rFont val="Tahoma"/>
            <family val="2"/>
          </rPr>
          <t xml:space="preserve">
Explique o ganho financeiro e forma de cálculo</t>
        </r>
      </text>
    </comment>
    <comment ref="B24" authorId="0" shapeId="0" xr:uid="{42FE33D3-CF9B-42A6-A8E7-E42F9B5D18C1}">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5" authorId="0" shapeId="0" xr:uid="{178B6183-660B-4D66-88B0-8EBAD9E1CD36}">
      <text>
        <r>
          <rPr>
            <b/>
            <sz val="9"/>
            <color indexed="81"/>
            <rFont val="Tahoma"/>
            <family val="2"/>
          </rPr>
          <t>Eduardo Montes, PMP:</t>
        </r>
        <r>
          <rPr>
            <sz val="9"/>
            <color indexed="81"/>
            <rFont val="Tahoma"/>
            <family val="2"/>
          </rPr>
          <t xml:space="preserve">
Explique o ganho financeiro e forma de cálculo</t>
        </r>
      </text>
    </comment>
    <comment ref="B26" authorId="0" shapeId="0" xr:uid="{E5CE19BC-C6A8-41EA-A34B-4F7767E30EA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7" authorId="0" shapeId="0" xr:uid="{81510A79-B294-4C14-8BB1-C1DE8748B556}">
      <text>
        <r>
          <rPr>
            <b/>
            <sz val="9"/>
            <color indexed="81"/>
            <rFont val="Tahoma"/>
            <family val="2"/>
          </rPr>
          <t>Eduardo Montes, PMP:</t>
        </r>
        <r>
          <rPr>
            <sz val="9"/>
            <color indexed="81"/>
            <rFont val="Tahoma"/>
            <family val="2"/>
          </rPr>
          <t xml:space="preserve">
Explique o ganho financeiro e forma de cálculo</t>
        </r>
      </text>
    </comment>
    <comment ref="B28" authorId="0" shapeId="0" xr:uid="{70941643-A2A2-4FFA-ADB2-58283E628A3F}">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9" authorId="0" shapeId="0" xr:uid="{6B6E1068-0D6C-4E08-ABEC-11E40E2BB262}">
      <text>
        <r>
          <rPr>
            <b/>
            <sz val="9"/>
            <color indexed="81"/>
            <rFont val="Tahoma"/>
            <family val="2"/>
          </rPr>
          <t>Eduardo Montes, PMP:</t>
        </r>
        <r>
          <rPr>
            <sz val="9"/>
            <color indexed="81"/>
            <rFont val="Tahoma"/>
            <family val="2"/>
          </rPr>
          <t xml:space="preserve">
Explique o ganho financeiro e forma de cálculo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6E283095-DECC-43F6-828E-B8075232961D}">
      <text>
        <r>
          <rPr>
            <b/>
            <sz val="9"/>
            <color indexed="81"/>
            <rFont val="Tahoma"/>
            <family val="2"/>
          </rPr>
          <t>Eduardo Montes, PMP:</t>
        </r>
        <r>
          <rPr>
            <sz val="9"/>
            <color indexed="81"/>
            <rFont val="Tahoma"/>
            <family val="2"/>
          </rPr>
          <t xml:space="preserve">
Explique o ganho financeiro e forma de cálculo</t>
        </r>
      </text>
    </comment>
    <comment ref="C11" authorId="0" shapeId="0" xr:uid="{64D7D555-6448-4561-995C-4CB090A39B7F}">
      <text>
        <r>
          <rPr>
            <b/>
            <sz val="9"/>
            <color indexed="81"/>
            <rFont val="Tahoma"/>
            <family val="2"/>
          </rPr>
          <t>Eduardo Montes, PMP:</t>
        </r>
        <r>
          <rPr>
            <sz val="9"/>
            <color indexed="81"/>
            <rFont val="Tahoma"/>
            <family val="2"/>
          </rPr>
          <t xml:space="preserve">
Explique o ganho financeiro e forma de cálculo</t>
        </r>
      </text>
    </comment>
    <comment ref="C13" authorId="0" shapeId="0" xr:uid="{FD2B9904-C11D-40B7-B790-D0B5750B372B}">
      <text>
        <r>
          <rPr>
            <b/>
            <sz val="9"/>
            <color indexed="81"/>
            <rFont val="Tahoma"/>
            <family val="2"/>
          </rPr>
          <t>Eduardo Montes, PMP:</t>
        </r>
        <r>
          <rPr>
            <sz val="9"/>
            <color indexed="81"/>
            <rFont val="Tahoma"/>
            <family val="2"/>
          </rPr>
          <t xml:space="preserve">
Explique o ganho financeiro e forma de cálculo</t>
        </r>
      </text>
    </comment>
    <comment ref="C15" authorId="0" shapeId="0" xr:uid="{5C8AAE85-00D3-4368-BEF5-1072412C0126}">
      <text>
        <r>
          <rPr>
            <b/>
            <sz val="9"/>
            <color indexed="81"/>
            <rFont val="Tahoma"/>
            <family val="2"/>
          </rPr>
          <t>Eduardo Montes, PMP:</t>
        </r>
        <r>
          <rPr>
            <sz val="9"/>
            <color indexed="81"/>
            <rFont val="Tahoma"/>
            <family val="2"/>
          </rPr>
          <t xml:space="preserve">
Explique o ganho financeiro e forma de cálculo</t>
        </r>
      </text>
    </comment>
    <comment ref="C17" authorId="0" shapeId="0" xr:uid="{B8DC27F6-0176-403A-8868-5DA85EE53426}">
      <text>
        <r>
          <rPr>
            <b/>
            <sz val="9"/>
            <color indexed="81"/>
            <rFont val="Tahoma"/>
            <family val="2"/>
          </rPr>
          <t>Eduardo Montes, PMP:</t>
        </r>
        <r>
          <rPr>
            <sz val="9"/>
            <color indexed="81"/>
            <rFont val="Tahoma"/>
            <family val="2"/>
          </rPr>
          <t xml:space="preserve">
Explique o ganho financeiro e forma de cálculo</t>
        </r>
      </text>
    </comment>
    <comment ref="C19" authorId="0" shapeId="0" xr:uid="{52273597-8917-45A1-94A9-FD9834302AE0}">
      <text>
        <r>
          <rPr>
            <b/>
            <sz val="9"/>
            <color indexed="81"/>
            <rFont val="Tahoma"/>
            <family val="2"/>
          </rPr>
          <t>Eduardo Montes, PMP:</t>
        </r>
        <r>
          <rPr>
            <sz val="9"/>
            <color indexed="81"/>
            <rFont val="Tahoma"/>
            <family val="2"/>
          </rPr>
          <t xml:space="preserve">
Explique o ganho financeiro e forma de cálculo</t>
        </r>
      </text>
    </comment>
    <comment ref="C21" authorId="0" shapeId="0" xr:uid="{B3971EAA-C1B6-4D17-8961-FFA46AEE3689}">
      <text>
        <r>
          <rPr>
            <b/>
            <sz val="9"/>
            <color indexed="81"/>
            <rFont val="Tahoma"/>
            <family val="2"/>
          </rPr>
          <t>Eduardo Montes, PMP:</t>
        </r>
        <r>
          <rPr>
            <sz val="9"/>
            <color indexed="81"/>
            <rFont val="Tahoma"/>
            <family val="2"/>
          </rPr>
          <t xml:space="preserve">
Explique o ganho financeiro e forma de cálculo</t>
        </r>
      </text>
    </comment>
    <comment ref="C23" authorId="0" shapeId="0" xr:uid="{E90641EC-BE88-47F8-8341-A1FDF7F26791}">
      <text>
        <r>
          <rPr>
            <b/>
            <sz val="9"/>
            <color indexed="81"/>
            <rFont val="Tahoma"/>
            <family val="2"/>
          </rPr>
          <t>Eduardo Montes, PMP:</t>
        </r>
        <r>
          <rPr>
            <sz val="9"/>
            <color indexed="81"/>
            <rFont val="Tahoma"/>
            <family val="2"/>
          </rPr>
          <t xml:space="preserve">
Explique o ganho financeiro e forma de cálculo</t>
        </r>
      </text>
    </comment>
    <comment ref="C25" authorId="0" shapeId="0" xr:uid="{FCA6C5EF-28F0-483E-BFC3-7D777A59DC5E}">
      <text>
        <r>
          <rPr>
            <b/>
            <sz val="9"/>
            <color indexed="81"/>
            <rFont val="Tahoma"/>
            <family val="2"/>
          </rPr>
          <t>Eduardo Montes, PMP:</t>
        </r>
        <r>
          <rPr>
            <sz val="9"/>
            <color indexed="81"/>
            <rFont val="Tahoma"/>
            <family val="2"/>
          </rPr>
          <t xml:space="preserve">
Explique o ganho financeiro e forma de cálculo</t>
        </r>
      </text>
    </comment>
    <comment ref="C27" authorId="0" shapeId="0" xr:uid="{F5ACE7D0-1296-413A-8BAD-DD5C62016B80}">
      <text>
        <r>
          <rPr>
            <b/>
            <sz val="9"/>
            <color indexed="81"/>
            <rFont val="Tahoma"/>
            <family val="2"/>
          </rPr>
          <t>Eduardo Montes, PMP:</t>
        </r>
        <r>
          <rPr>
            <sz val="9"/>
            <color indexed="81"/>
            <rFont val="Tahoma"/>
            <family val="2"/>
          </rPr>
          <t xml:space="preserve">
Explique o ganho financeiro e forma de cálculo</t>
        </r>
      </text>
    </comment>
    <comment ref="C29" authorId="0" shapeId="0" xr:uid="{D126E8C4-B811-4B79-9066-B215986FC4D5}">
      <text>
        <r>
          <rPr>
            <b/>
            <sz val="9"/>
            <color indexed="81"/>
            <rFont val="Tahoma"/>
            <family val="2"/>
          </rPr>
          <t>Eduardo Montes, PMP:</t>
        </r>
        <r>
          <rPr>
            <sz val="9"/>
            <color indexed="81"/>
            <rFont val="Tahoma"/>
            <family val="2"/>
          </rPr>
          <t xml:space="preserve">
Explique o ganho financeiro e forma de cálculo</t>
        </r>
      </text>
    </comment>
  </commentList>
</comments>
</file>

<file path=xl/sharedStrings.xml><?xml version="1.0" encoding="utf-8"?>
<sst xmlns="http://schemas.openxmlformats.org/spreadsheetml/2006/main" count="447" uniqueCount="264">
  <si>
    <t>Ref</t>
  </si>
  <si>
    <t>Etapas – Atividades - Marcos</t>
  </si>
  <si>
    <t>Dependência</t>
  </si>
  <si>
    <t>Responsável</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</si>
  <si>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</si>
  <si>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</si>
  <si>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</si>
  <si>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</si>
  <si>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</si>
  <si>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</si>
  <si>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</si>
  <si>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</si>
  <si>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</si>
  <si>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</si>
  <si>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</si>
  <si>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</si>
  <si>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</si>
  <si>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</si>
  <si>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</si>
  <si>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</si>
  <si>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</si>
  <si>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</si>
  <si>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</si>
  <si>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</si>
  <si>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</si>
  <si>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</si>
  <si>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</si>
  <si>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</si>
  <si>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</si>
  <si>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TOTAL</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</si>
  <si>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</si>
  <si>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</si>
  <si>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</si>
  <si>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</si>
  <si>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</si>
  <si>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</si>
  <si>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</si>
  <si>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</si>
  <si>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</si>
  <si>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</si>
  <si>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</si>
  <si>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</si>
  <si>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</si>
  <si>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</si>
  <si>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</si>
  <si>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</si>
  <si>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</si>
  <si>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</si>
  <si>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</si>
  <si>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</si>
  <si>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</si>
  <si>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</si>
  <si>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</si>
  <si>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</si>
  <si>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</si>
  <si>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</si>
  <si>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</si>
  <si>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</si>
  <si>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</si>
  <si>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</si>
  <si>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</si>
  <si>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</si>
  <si>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</si>
  <si>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</si>
  <si>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</si>
  <si>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</si>
  <si>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</si>
  <si>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</si>
  <si>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</si>
  <si>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</si>
  <si>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</si>
  <si>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</si>
  <si>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</si>
  <si>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</si>
  <si>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</si>
  <si>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</si>
  <si>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</si>
  <si>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</si>
  <si>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</si>
  <si>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</si>
  <si>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</si>
  <si>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</si>
  <si>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</si>
  <si>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</si>
  <si>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</si>
  <si>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</si>
  <si>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</si>
  <si>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</si>
  <si>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</si>
  <si>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</si>
  <si>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</si>
  <si>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</si>
  <si>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</si>
  <si>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</si>
  <si>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</si>
  <si>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</si>
  <si>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</si>
  <si>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</si>
  <si>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</si>
  <si>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</si>
  <si>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</si>
  <si>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</si>
  <si>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</si>
  <si>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</si>
  <si>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</si>
  <si>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</si>
  <si>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</si>
  <si>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</si>
  <si>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</si>
  <si>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</si>
  <si>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</si>
  <si>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</si>
  <si>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</si>
  <si>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</si>
  <si>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</si>
  <si>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</si>
  <si>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</si>
  <si>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</si>
  <si>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</si>
  <si>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</si>
  <si>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</si>
  <si>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</si>
  <si>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</si>
  <si>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</si>
  <si>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</si>
  <si>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</si>
  <si>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</si>
  <si>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</si>
  <si>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</si>
  <si>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</si>
  <si>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</si>
  <si>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</si>
  <si>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</si>
  <si>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</si>
  <si>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</si>
  <si>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</si>
  <si>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</si>
  <si>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</si>
  <si>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</si>
  <si>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</si>
  <si>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</si>
  <si>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</si>
  <si>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</si>
  <si>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</si>
  <si>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</si>
  <si>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</si>
  <si>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</si>
  <si>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</si>
  <si>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</si>
  <si>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</si>
  <si>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</si>
  <si>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</si>
  <si>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</si>
  <si>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</si>
  <si>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</si>
  <si>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</si>
  <si>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</si>
  <si>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</si>
  <si>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</si>
  <si>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Expansão</t>
  </si>
  <si>
    <t>Saúde e bem-estar na palma da sua mão</t>
  </si>
  <si>
    <t>Projeto</t>
  </si>
  <si>
    <t>Pós-lançamento (Stakeholders internos)</t>
  </si>
  <si>
    <t>Lançamento (Stakeholders internos)</t>
  </si>
  <si>
    <t xml:space="preserve">Marketing e Divulgação - para o Mercado </t>
  </si>
  <si>
    <t>Previsões de Orçamento</t>
  </si>
  <si>
    <t>Saúde e Bem Estar</t>
  </si>
  <si>
    <t>Capa</t>
  </si>
  <si>
    <t>Instruções, Histórico de Alterações e as Aprovações</t>
  </si>
  <si>
    <t>Orçado</t>
  </si>
  <si>
    <t>Detalhamento dos investimentos orçados</t>
  </si>
  <si>
    <t>Realizado</t>
  </si>
  <si>
    <t>Detalhamento dos investimentos realizados</t>
  </si>
  <si>
    <t>Status</t>
  </si>
  <si>
    <t>Status comparando Orçado x Realizado</t>
  </si>
  <si>
    <t>Parâmetros</t>
  </si>
  <si>
    <t>Parâmetros usados nas outras abas da planilha.</t>
  </si>
  <si>
    <t>Fonte</t>
  </si>
  <si>
    <t>https://escritoriodeprojetos.com.br/download/previsoes-do-orcamento/</t>
  </si>
  <si>
    <t>Controle de Versões</t>
  </si>
  <si>
    <t>Versão</t>
  </si>
  <si>
    <t>Data</t>
  </si>
  <si>
    <t>Autor</t>
  </si>
  <si>
    <t>Notas da Revisão</t>
  </si>
  <si>
    <t>Bruna Dias</t>
  </si>
  <si>
    <t>Mary Alice</t>
  </si>
  <si>
    <t>Instruções</t>
  </si>
  <si>
    <t>Ref.</t>
  </si>
  <si>
    <t>Aba</t>
  </si>
  <si>
    <t>Respons</t>
  </si>
  <si>
    <t>Passos</t>
  </si>
  <si>
    <t>Param</t>
  </si>
  <si>
    <t>PMO</t>
  </si>
  <si>
    <t>Entre com o Custo do Capital</t>
  </si>
  <si>
    <t>Gerente de Projetos</t>
  </si>
  <si>
    <t>Preencher as informações de identificação do projeto (Nome, Solicitante e Patrocionador)</t>
  </si>
  <si>
    <t>Preencher na coluna B o nome de cada Gasto (B7, B10, ...). No máximo 5, caso tiver mais de 5 agrupar os benefícios ou ajustar planilha. Veja na Aba Param - Coluna C - Tipos de gastos comuns em projetos</t>
  </si>
  <si>
    <t>Sempre que possível, esclareça como foi calculado o valor dos gastos (C7, C10, ...)</t>
  </si>
  <si>
    <t>Entrar com o valor dos gastos por ano (D9..M21), se preferir, entre com o valor do crescimento por ano (D8..M20) para todos os gastos</t>
  </si>
  <si>
    <t>Preenche na coluna B o nome dos custos (B29, B30)</t>
  </si>
  <si>
    <t>Sempre que possível, esclareça como foi calculado o valor dos custos (C29, C30)</t>
  </si>
  <si>
    <t>Entrar com o valor dos custos por ano (D27..M31)</t>
  </si>
  <si>
    <t>Entre com o valor realizado mês a mês. Caso não necessitar registrar os detalhes, pode incluir o valor total na linha 39 [Investimento total]</t>
  </si>
  <si>
    <t>Aprovações</t>
  </si>
  <si>
    <t>Participante</t>
  </si>
  <si>
    <t>Assinatura</t>
  </si>
  <si>
    <t>Identificação do Projeto</t>
  </si>
  <si>
    <t>Mês</t>
  </si>
  <si>
    <t>Nome do Projeto</t>
  </si>
  <si>
    <t>Patrocinador</t>
  </si>
  <si>
    <t>Investimento inicial Total</t>
  </si>
  <si>
    <t>Investimento Acumulado</t>
  </si>
  <si>
    <t>Explicação</t>
  </si>
  <si>
    <t>Investimento c/ taxa de crescimento</t>
  </si>
  <si>
    <t>Para facilitar o cálculo do gasto baseado em uma taxa de crescimento.</t>
  </si>
  <si>
    <t>Gasto referente ao start do projeto, desde o estudo, mapeamento de funcionalidade e formação de time</t>
  </si>
  <si>
    <t>Taxa de Crescimento de 10%</t>
  </si>
  <si>
    <t>Taxa de crescimento de investimento de 10% ao mês MOM</t>
  </si>
  <si>
    <t>Tudo que tange o mapeamento inicial do planejamento, como plano de exercicio e requisitos, mapas de academias e parques e afins.</t>
  </si>
  <si>
    <t>Todo processo que compete ao desenvolvimento da funcionalidade em sua camada de Wire, Layout, experiência, ou seja, UX.</t>
  </si>
  <si>
    <t>Desenvolvimento do frontend, backend e todo processo de desenvolvimento.</t>
  </si>
  <si>
    <t xml:space="preserve">Foco na segurança e integração da plataforma. </t>
  </si>
  <si>
    <t>Teste</t>
  </si>
  <si>
    <t>Verificar as funcionalidades, realizar testes e possíveis correções</t>
  </si>
  <si>
    <t>Tudo que tange aos stakeholders</t>
  </si>
  <si>
    <t>Tudo que tange o pós lançamento.</t>
  </si>
  <si>
    <t>Todo processo de marketing e divulgação.</t>
  </si>
  <si>
    <t>Feedback e adapção</t>
  </si>
  <si>
    <t>Investimentos</t>
  </si>
  <si>
    <t>Custo de Implementação</t>
  </si>
  <si>
    <t>Custo da Operação</t>
  </si>
  <si>
    <t>Custos de Treinamento</t>
  </si>
  <si>
    <t>Custo</t>
  </si>
  <si>
    <t>Outros custos</t>
  </si>
  <si>
    <t>Indicadores Financeiros</t>
  </si>
  <si>
    <t>NPV/VPL</t>
  </si>
  <si>
    <t xml:space="preserve">Payback </t>
  </si>
  <si>
    <t>ROI</t>
  </si>
  <si>
    <t>Investimento Total</t>
  </si>
  <si>
    <t>Períodos</t>
  </si>
  <si>
    <t>No Período (R$)</t>
  </si>
  <si>
    <t>Acumulado (R$)</t>
  </si>
  <si>
    <t>Desvio (R$)</t>
  </si>
  <si>
    <t>Desvio %</t>
  </si>
  <si>
    <t>Diferença dos realizados</t>
  </si>
  <si>
    <t>Saldo Final</t>
  </si>
  <si>
    <t>Variável</t>
  </si>
  <si>
    <t>Tipo de Benefício</t>
  </si>
  <si>
    <t>Custo do Capital</t>
  </si>
  <si>
    <t>Retorno Requerido do Investimento</t>
  </si>
  <si>
    <t>Domínio ou Valor</t>
  </si>
  <si>
    <t>Aumento de Receita</t>
  </si>
  <si>
    <t>Aumento de Produtividade</t>
  </si>
  <si>
    <t>Aumento da Capacidade Produtiva</t>
  </si>
  <si>
    <t>Redução do Turn-over</t>
  </si>
  <si>
    <t>Redução de retrabalho</t>
  </si>
  <si>
    <t>Redução dos custos da não qualidade</t>
  </si>
  <si>
    <t>Redução das reclamações dos clientes</t>
  </si>
  <si>
    <t>Redução dos custos</t>
  </si>
  <si>
    <t>Parametros a serem configurados inicialmente</t>
  </si>
  <si>
    <t>Nome do projeto</t>
  </si>
  <si>
    <t>Mês de início</t>
  </si>
  <si>
    <t>Cannoli</t>
  </si>
  <si>
    <t>PI ADS4 - 2025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</si>
</sst>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d\,\ dd/mm/yyyy"/>
    <numFmt numFmtId="165" formatCode="d\-mmm\-yyyy"/>
    <numFmt numFmtId="166" formatCode="d"/>
    <numFmt numFmtId="167" formatCode="d/m/yy;@"/>
    <numFmt numFmtId="168" formatCode="&quot;R$&quot;\ #,##0.00"/>
    <numFmt numFmtId="169" formatCode="[$-416]mmm/yy;@"/>
    <numFmt numFmtId="170" formatCode="&quot;$&quot;#,##0.00_);[Red]\(&quot;$&quot;#,##0.00\)"/>
  </numFmts>
  <fonts count="51"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1"/>
      <color theme="0"/>
      <name val="Calibri"/>
      <family val="2"/>
      <scheme val="minor"/>
    </font>
    <font>
      <b/>
      <sz val="12"/>
      <color indexed="23"/>
      <name val="Calibri"/>
      <family val="2"/>
      <scheme val="minor"/>
    </font>
    <font>
      <sz val="12"/>
      <color indexed="23"/>
      <name val="Calibri"/>
      <family val="2"/>
      <scheme val="minor"/>
    </font>
    <font>
      <b/>
      <i/>
      <sz val="18"/>
      <color rgb="FFFFFFFF"/>
      <name val="Cambria"/>
      <family val="2"/>
      <scheme val="major"/>
    </font>
    <font>
      <sz val="12"/>
      <color rgb="FFFFFFFF"/>
      <name val="Calibri"/>
      <family val="2"/>
      <scheme val="minor"/>
    </font>
    <font>
      <b/>
      <i/>
      <sz val="18"/>
      <color rgb="FFFFFFFF"/>
      <name val="Cambria"/>
      <family val="1"/>
    </font>
    <font>
      <sz val="12"/>
      <color theme="0"/>
      <name val="Calibri"/>
      <family val="2"/>
      <scheme val="minor"/>
    </font>
    <font>
      <sz val="12"/>
      <color theme="1"/>
      <name val="Calibri"/>
      <family val="2"/>
      <scheme val="minor"/>
    </font>
    <font>
      <sz val="14"/>
      <color indexed="23"/>
      <name val="Calibri"/>
      <family val="2"/>
      <scheme val="minor"/>
    </font>
    <font>
      <b/>
      <i/>
      <sz val="14"/>
      <color theme="0"/>
      <name val="Calibri"/>
      <family val="2"/>
      <scheme val="minor"/>
    </font>
    <font>
      <i/>
      <sz val="14"/>
      <color theme="1"/>
      <name val="Calibri"/>
      <family val="2"/>
      <scheme val="minor"/>
    </font>
    <font>
      <sz val="14"/>
      <color theme="1"/>
      <name val="Calibri"/>
      <family val="2"/>
      <scheme val="minor"/>
    </font>
    <font>
      <u/>
      <sz val="11"/>
      <color theme="10"/>
      <name val="Calibri"/>
      <family val="2"/>
      <scheme val="minor"/>
    </font>
    <font>
      <sz val="11"/>
      <name val="Calibri"/>
      <family val="2"/>
    </font>
    <font>
      <sz val="12"/>
      <name val="Calibri"/>
      <family val="2"/>
      <scheme val="minor"/>
    </font>
    <font>
      <b/>
      <sz val="11"/>
      <name val="Calibri"/>
      <family val="2"/>
      <scheme val="minor"/>
    </font>
    <font>
      <sz val="11"/>
      <color theme="1"/>
      <name val="Calibri"/>
      <family val="2"/>
    </font>
    <font>
      <b/>
      <i/>
      <sz val="12"/>
      <color theme="1"/>
      <name val="Calibri"/>
      <family val="2"/>
    </font>
    <font>
      <b/>
      <sz val="11"/>
      <color theme="1"/>
      <name val="Calibri"/>
      <family val="2"/>
    </font>
    <font>
      <b/>
      <sz val="9"/>
      <color indexed="81"/>
      <name val="Tahoma"/>
      <family val="2"/>
    </font>
    <font>
      <sz val="9"/>
      <color indexed="81"/>
      <name val="Tahoma"/>
      <family val="2"/>
    </font>
    <font>
      <b/>
      <i/>
      <sz val="11"/>
      <color theme="1"/>
      <name val="Calibri"/>
      <family val="2"/>
    </font>
    <font>
      <b/>
      <i/>
      <sz val="11"/>
      <color theme="1"/>
      <name val="Calibri"/>
      <family val="2"/>
      <scheme val="minor"/>
    </font>
    <font>
      <sz val="10"/>
      <name val="Arial"/>
      <family val="2"/>
    </font>
  </fonts>
  <fills count="24">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indexed="64"/>
      </patternFill>
    </fill>
    <fill>
      <patternFill patternType="solid">
        <fgColor theme="0" tint="-0.34998626667073579"/>
        <bgColor indexed="64"/>
      </patternFill>
    </fill>
    <fill>
      <patternFill patternType="solid">
        <fgColor theme="4"/>
        <bgColor theme="4"/>
      </patternFill>
    </fill>
    <fill>
      <patternFill patternType="solid">
        <fgColor theme="5"/>
        <bgColor theme="5"/>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theme="2"/>
      </top>
      <bottom/>
      <diagonal/>
    </border>
    <border>
      <left/>
      <right/>
      <top/>
      <bottom style="thin">
        <color theme="2"/>
      </bottom>
      <diagonal/>
    </border>
    <border>
      <left/>
      <right style="medium">
        <color rgb="FF999999"/>
      </right>
      <top style="medium">
        <color rgb="FF999999"/>
      </top>
      <bottom style="medium">
        <color rgb="FF999999"/>
      </bottom>
      <diagonal/>
    </border>
  </borders>
  <cellStyleXfs count="20">
    <xf numFmtId="0" fontId="0" fillId="0" borderId="0"/>
    <xf numFmtId="167" fontId="11" fillId="0" borderId="37" applyFill="0">
      <alignment horizontal="center" vertical="center"/>
    </xf>
    <xf numFmtId="0" fontId="6" fillId="0" borderId="0" applyNumberFormat="0" applyFill="0" applyBorder="0" applyAlignment="0" applyProtection="0">
      <alignment vertical="top"/>
      <protection locked="0"/>
    </xf>
    <xf numFmtId="164" fontId="11" fillId="0" borderId="29">
      <alignment horizontal="center" vertical="center"/>
    </xf>
    <xf numFmtId="0" fontId="11" fillId="0" borderId="37" applyFill="0">
      <alignment horizontal="center" vertical="center"/>
    </xf>
    <xf numFmtId="9" fontId="2" fillId="0" borderId="0" applyFont="0" applyFill="0" applyBorder="0" applyAlignment="0" applyProtection="0"/>
    <xf numFmtId="0" fontId="11" fillId="0" borderId="37" applyFill="0">
      <alignment horizontal="left" vertical="center" indent="2"/>
    </xf>
    <xf numFmtId="0" fontId="13" fillId="0" borderId="0" applyNumberFormat="0" applyFill="0" applyBorder="0" applyAlignment="0" applyProtection="0"/>
    <xf numFmtId="0" fontId="14" fillId="0" borderId="19" applyNumberFormat="0" applyFill="0" applyAlignment="0" applyProtection="0"/>
    <xf numFmtId="0" fontId="15" fillId="0" borderId="20" applyNumberFormat="0" applyFill="0" applyAlignment="0" applyProtection="0"/>
    <xf numFmtId="0" fontId="12" fillId="0" borderId="0"/>
    <xf numFmtId="0" fontId="2" fillId="0" borderId="0"/>
    <xf numFmtId="0" fontId="13" fillId="0" borderId="0" applyNumberFormat="0" applyFill="0" applyBorder="0" applyAlignment="0" applyProtection="0"/>
    <xf numFmtId="0" fontId="39" fillId="0" borderId="0" applyNumberFormat="0" applyFill="0" applyBorder="0" applyAlignment="0" applyProtection="0"/>
    <xf numFmtId="0" fontId="12" fillId="22" borderId="0" applyNumberFormat="0" applyBorder="0" applyAlignment="0" applyProtection="0"/>
    <xf numFmtId="0" fontId="22" fillId="0" borderId="0"/>
    <xf numFmtId="0" fontId="12" fillId="23" borderId="0" applyNumberFormat="0" applyBorder="0" applyAlignment="0" applyProtection="0"/>
    <xf numFmtId="0" fontId="43" fillId="19" borderId="0" applyNumberFormat="0" applyBorder="0" applyAlignment="0" applyProtection="0"/>
    <xf numFmtId="0" fontId="1" fillId="0" borderId="0"/>
    <xf numFmtId="9" fontId="50" fillId="0" borderId="0" applyFont="0" applyFill="0" applyBorder="0" applyAlignment="0" applyProtection="0"/>
  </cellStyleXfs>
  <cellXfs count="248">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29" xfId="0" applyBorder="1" applyAlignment="1">
      <alignment horizontal="center" vertical="center"/>
    </xf>
    <xf numFmtId="0" fontId="0" fillId="0" borderId="33" xfId="0" applyBorder="1"/>
    <xf numFmtId="166" fontId="19" fillId="7" borderId="34" xfId="0" applyNumberFormat="1" applyFont="1" applyFill="1" applyBorder="1" applyAlignment="1">
      <alignment horizontal="center" vertical="center"/>
    </xf>
    <xf numFmtId="166" fontId="19" fillId="7" borderId="0" xfId="0" applyNumberFormat="1" applyFont="1" applyFill="1" applyAlignment="1">
      <alignment horizontal="center" vertical="center"/>
    </xf>
    <xf numFmtId="166" fontId="19" fillId="7" borderId="28" xfId="0" applyNumberFormat="1" applyFont="1" applyFill="1" applyBorder="1" applyAlignment="1">
      <alignment horizontal="center" vertical="center"/>
    </xf>
    <xf numFmtId="0" fontId="20" fillId="8" borderId="31" xfId="0" applyFont="1" applyFill="1" applyBorder="1" applyAlignment="1">
      <alignment horizontal="left" vertical="center" indent="1"/>
    </xf>
    <xf numFmtId="0" fontId="20" fillId="8" borderId="31" xfId="0" applyFont="1" applyFill="1" applyBorder="1" applyAlignment="1">
      <alignment horizontal="center" vertical="center" wrapText="1"/>
    </xf>
    <xf numFmtId="0" fontId="21" fillId="9"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6" fillId="10" borderId="37" xfId="0" applyFont="1" applyFill="1" applyBorder="1" applyAlignment="1">
      <alignment horizontal="left" vertical="center" indent="1"/>
    </xf>
    <xf numFmtId="0" fontId="11" fillId="10" borderId="37" xfId="4" applyFill="1">
      <alignment horizontal="center" vertical="center"/>
    </xf>
    <xf numFmtId="9" fontId="22" fillId="10" borderId="37" xfId="5" applyFont="1" applyFill="1" applyBorder="1" applyAlignment="1">
      <alignment horizontal="center" vertical="center"/>
    </xf>
    <xf numFmtId="167" fontId="0" fillId="10" borderId="37" xfId="0" applyNumberFormat="1" applyFill="1" applyBorder="1" applyAlignment="1">
      <alignment horizontal="center" vertical="center"/>
    </xf>
    <xf numFmtId="167" fontId="22" fillId="10" borderId="37" xfId="0" applyNumberFormat="1" applyFont="1" applyFill="1" applyBorder="1" applyAlignment="1">
      <alignment horizontal="center" vertical="center"/>
    </xf>
    <xf numFmtId="0" fontId="22" fillId="0" borderId="37" xfId="0" applyFont="1" applyBorder="1" applyAlignment="1">
      <alignment horizontal="center" vertical="center"/>
    </xf>
    <xf numFmtId="0" fontId="11" fillId="11" borderId="37" xfId="6" applyFill="1">
      <alignment horizontal="left" vertical="center" indent="2"/>
    </xf>
    <xf numFmtId="0" fontId="11" fillId="11" borderId="37" xfId="4" applyFill="1">
      <alignment horizontal="center" vertical="center"/>
    </xf>
    <xf numFmtId="9" fontId="22" fillId="11" borderId="37" xfId="5" applyFont="1" applyFill="1" applyBorder="1" applyAlignment="1">
      <alignment horizontal="center" vertical="center"/>
    </xf>
    <xf numFmtId="167" fontId="11" fillId="11" borderId="37" xfId="1" applyFill="1">
      <alignment horizontal="center" vertical="center"/>
    </xf>
    <xf numFmtId="0" fontId="0" fillId="0" borderId="36" xfId="0" applyBorder="1" applyAlignment="1">
      <alignment horizontal="right" vertical="center"/>
    </xf>
    <xf numFmtId="0" fontId="16" fillId="12" borderId="37" xfId="0" applyFont="1" applyFill="1" applyBorder="1" applyAlignment="1">
      <alignment horizontal="left" vertical="center" indent="1"/>
    </xf>
    <xf numFmtId="0" fontId="11" fillId="12" borderId="37" xfId="4" applyFill="1">
      <alignment horizontal="center" vertical="center"/>
    </xf>
    <xf numFmtId="9" fontId="22" fillId="12" borderId="37" xfId="5" applyFont="1" applyFill="1" applyBorder="1" applyAlignment="1">
      <alignment horizontal="center" vertical="center"/>
    </xf>
    <xf numFmtId="167" fontId="0" fillId="12" borderId="37" xfId="0" applyNumberFormat="1" applyFill="1" applyBorder="1" applyAlignment="1">
      <alignment horizontal="center" vertical="center"/>
    </xf>
    <xf numFmtId="167" fontId="22" fillId="12" borderId="37" xfId="0" applyNumberFormat="1" applyFont="1" applyFill="1" applyBorder="1" applyAlignment="1">
      <alignment horizontal="center" vertical="center"/>
    </xf>
    <xf numFmtId="0" fontId="11" fillId="13" borderId="37" xfId="6" applyFill="1">
      <alignment horizontal="left" vertical="center" indent="2"/>
    </xf>
    <xf numFmtId="0" fontId="11" fillId="13" borderId="37" xfId="4" applyFill="1">
      <alignment horizontal="center" vertical="center"/>
    </xf>
    <xf numFmtId="9" fontId="22" fillId="13" borderId="37" xfId="5" applyFont="1" applyFill="1" applyBorder="1" applyAlignment="1">
      <alignment horizontal="center" vertical="center"/>
    </xf>
    <xf numFmtId="167" fontId="11" fillId="13" borderId="37" xfId="1" applyFill="1">
      <alignment horizontal="center" vertical="center"/>
    </xf>
    <xf numFmtId="0" fontId="16" fillId="14" borderId="37" xfId="0" applyFont="1" applyFill="1" applyBorder="1" applyAlignment="1">
      <alignment horizontal="left" vertical="center" indent="1"/>
    </xf>
    <xf numFmtId="0" fontId="11" fillId="14" borderId="37" xfId="4" applyFill="1">
      <alignment horizontal="center" vertical="center"/>
    </xf>
    <xf numFmtId="9" fontId="22" fillId="14" borderId="37" xfId="5" applyFont="1" applyFill="1" applyBorder="1" applyAlignment="1">
      <alignment horizontal="center" vertical="center"/>
    </xf>
    <xf numFmtId="167" fontId="0" fillId="14" borderId="37" xfId="0" applyNumberFormat="1" applyFill="1" applyBorder="1" applyAlignment="1">
      <alignment horizontal="center" vertical="center"/>
    </xf>
    <xf numFmtId="167" fontId="22" fillId="14" borderId="37" xfId="0" applyNumberFormat="1" applyFont="1" applyFill="1" applyBorder="1" applyAlignment="1">
      <alignment horizontal="center" vertical="center"/>
    </xf>
    <xf numFmtId="0" fontId="11" fillId="15" borderId="37" xfId="6" applyFill="1">
      <alignment horizontal="left" vertical="center" indent="2"/>
    </xf>
    <xf numFmtId="0" fontId="11" fillId="15" borderId="37" xfId="4" applyFill="1">
      <alignment horizontal="center" vertical="center"/>
    </xf>
    <xf numFmtId="9" fontId="22" fillId="15" borderId="37" xfId="5" applyFont="1" applyFill="1" applyBorder="1" applyAlignment="1">
      <alignment horizontal="center" vertical="center"/>
    </xf>
    <xf numFmtId="167" fontId="11" fillId="15" borderId="37" xfId="1" applyFill="1">
      <alignment horizontal="center" vertical="center"/>
    </xf>
    <xf numFmtId="0" fontId="16" fillId="16" borderId="37" xfId="0" applyFont="1" applyFill="1" applyBorder="1" applyAlignment="1">
      <alignment horizontal="left" vertical="center" indent="1"/>
    </xf>
    <xf numFmtId="0" fontId="11" fillId="16" borderId="37" xfId="4" applyFill="1">
      <alignment horizontal="center" vertical="center"/>
    </xf>
    <xf numFmtId="9" fontId="22" fillId="16" borderId="37" xfId="5" applyFont="1" applyFill="1" applyBorder="1" applyAlignment="1">
      <alignment horizontal="center" vertical="center"/>
    </xf>
    <xf numFmtId="167" fontId="0" fillId="16" borderId="37" xfId="0" applyNumberFormat="1" applyFill="1" applyBorder="1" applyAlignment="1">
      <alignment horizontal="center" vertical="center"/>
    </xf>
    <xf numFmtId="167" fontId="22" fillId="16" borderId="37" xfId="0" applyNumberFormat="1" applyFont="1" applyFill="1" applyBorder="1" applyAlignment="1">
      <alignment horizontal="center" vertical="center"/>
    </xf>
    <xf numFmtId="0" fontId="11" fillId="17" borderId="37" xfId="6" applyFill="1">
      <alignment horizontal="left" vertical="center" indent="2"/>
    </xf>
    <xf numFmtId="0" fontId="11" fillId="17" borderId="37" xfId="4" applyFill="1">
      <alignment horizontal="center" vertical="center"/>
    </xf>
    <xf numFmtId="9" fontId="22" fillId="17" borderId="37" xfId="5" applyFont="1" applyFill="1" applyBorder="1" applyAlignment="1">
      <alignment horizontal="center" vertical="center"/>
    </xf>
    <xf numFmtId="167" fontId="11" fillId="17" borderId="37" xfId="1" applyFill="1">
      <alignment horizontal="center" vertical="center"/>
    </xf>
    <xf numFmtId="0" fontId="11" fillId="0" borderId="37" xfId="6">
      <alignment horizontal="left" vertical="center" indent="2"/>
    </xf>
    <xf numFmtId="0" fontId="11" fillId="0" borderId="37" xfId="4">
      <alignment horizontal="center" vertical="center"/>
    </xf>
    <xf numFmtId="9" fontId="22" fillId="0" borderId="37" xfId="5" applyFont="1" applyBorder="1" applyAlignment="1">
      <alignment horizontal="center" vertical="center"/>
    </xf>
    <xf numFmtId="167" fontId="11" fillId="0" borderId="37" xfId="1">
      <alignment horizontal="center" vertical="center"/>
    </xf>
    <xf numFmtId="0" fontId="23" fillId="18" borderId="37" xfId="0" applyFont="1" applyFill="1" applyBorder="1" applyAlignment="1">
      <alignment horizontal="left" vertical="center" indent="1"/>
    </xf>
    <xf numFmtId="0" fontId="23" fillId="18" borderId="37" xfId="0" applyFont="1" applyFill="1" applyBorder="1" applyAlignment="1">
      <alignment horizontal="center" vertical="center"/>
    </xf>
    <xf numFmtId="9" fontId="22" fillId="18" borderId="37" xfId="5" applyFont="1" applyFill="1" applyBorder="1" applyAlignment="1">
      <alignment horizontal="center" vertical="center"/>
    </xf>
    <xf numFmtId="167" fontId="24" fillId="18" borderId="37" xfId="0" applyNumberFormat="1" applyFont="1" applyFill="1" applyBorder="1" applyAlignment="1">
      <alignment horizontal="left" vertical="center"/>
    </xf>
    <xf numFmtId="167" fontId="22" fillId="18" borderId="37" xfId="0" applyNumberFormat="1" applyFont="1" applyFill="1" applyBorder="1" applyAlignment="1">
      <alignment horizontal="center" vertical="center"/>
    </xf>
    <xf numFmtId="0" fontId="22" fillId="18" borderId="37" xfId="0" applyFont="1" applyFill="1" applyBorder="1" applyAlignment="1">
      <alignment horizontal="center" vertical="center"/>
    </xf>
    <xf numFmtId="0" fontId="0" fillId="18" borderId="36"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19" xfId="8" applyAlignment="1">
      <alignment vertical="top" wrapText="1"/>
    </xf>
    <xf numFmtId="0" fontId="28" fillId="0" borderId="0" xfId="11" applyFont="1" applyAlignment="1">
      <alignment horizontal="center"/>
    </xf>
    <xf numFmtId="0" fontId="29" fillId="0" borderId="0" xfId="11" applyFont="1" applyAlignment="1">
      <alignment horizontal="center"/>
    </xf>
    <xf numFmtId="0" fontId="29" fillId="0" borderId="0" xfId="11" applyFont="1"/>
    <xf numFmtId="0" fontId="29" fillId="0" borderId="0" xfId="11" applyFont="1" applyAlignment="1">
      <alignment vertical="center"/>
    </xf>
    <xf numFmtId="0" fontId="30" fillId="20" borderId="0" xfId="11" applyFont="1" applyFill="1" applyAlignment="1">
      <alignment horizontal="left" vertical="center" indent="2"/>
    </xf>
    <xf numFmtId="0" fontId="30" fillId="20" borderId="0" xfId="11" applyFont="1" applyFill="1" applyAlignment="1">
      <alignment horizontal="left" vertical="center"/>
    </xf>
    <xf numFmtId="0" fontId="31" fillId="20" borderId="0" xfId="11" applyFont="1" applyFill="1" applyAlignment="1">
      <alignment vertical="center"/>
    </xf>
    <xf numFmtId="0" fontId="32" fillId="20" borderId="0" xfId="11" applyFont="1" applyFill="1" applyAlignment="1">
      <alignment vertical="center"/>
    </xf>
    <xf numFmtId="0" fontId="32" fillId="20" borderId="0" xfId="11" applyFont="1" applyFill="1" applyAlignment="1">
      <alignment horizontal="right" vertical="center"/>
    </xf>
    <xf numFmtId="0" fontId="29" fillId="5" borderId="48" xfId="11" applyFont="1" applyFill="1" applyBorder="1" applyAlignment="1">
      <alignment horizontal="center"/>
    </xf>
    <xf numFmtId="0" fontId="33" fillId="21" borderId="48" xfId="11" applyFont="1" applyFill="1" applyBorder="1" applyAlignment="1">
      <alignment horizontal="center"/>
    </xf>
    <xf numFmtId="0" fontId="34" fillId="0" borderId="48" xfId="11" applyFont="1" applyBorder="1"/>
    <xf numFmtId="0" fontId="35" fillId="0" borderId="0" xfId="11" applyFont="1"/>
    <xf numFmtId="0" fontId="35" fillId="5" borderId="0" xfId="11" applyFont="1" applyFill="1" applyAlignment="1">
      <alignment horizontal="center"/>
    </xf>
    <xf numFmtId="0" fontId="36" fillId="21" borderId="0" xfId="11" applyFont="1" applyFill="1" applyAlignment="1">
      <alignment horizontal="center" vertical="center"/>
    </xf>
    <xf numFmtId="0" fontId="13" fillId="0" borderId="0" xfId="12" applyAlignment="1" applyProtection="1"/>
    <xf numFmtId="0" fontId="2" fillId="0" borderId="0" xfId="11"/>
    <xf numFmtId="0" fontId="37" fillId="0" borderId="0" xfId="11" applyFont="1" applyAlignment="1">
      <alignment vertical="center"/>
    </xf>
    <xf numFmtId="0" fontId="38" fillId="0" borderId="0" xfId="11" applyFont="1" applyAlignment="1">
      <alignment vertical="center"/>
    </xf>
    <xf numFmtId="0" fontId="29" fillId="5" borderId="0" xfId="11" applyFont="1" applyFill="1" applyAlignment="1">
      <alignment horizontal="center"/>
    </xf>
    <xf numFmtId="0" fontId="33" fillId="21" borderId="0" xfId="11" applyFont="1" applyFill="1" applyAlignment="1">
      <alignment horizontal="center"/>
    </xf>
    <xf numFmtId="0" fontId="34" fillId="0" borderId="0" xfId="11" applyFont="1"/>
    <xf numFmtId="0" fontId="39" fillId="0" borderId="0" xfId="13"/>
    <xf numFmtId="0" fontId="29" fillId="5" borderId="49" xfId="11" applyFont="1" applyFill="1" applyBorder="1" applyAlignment="1">
      <alignment horizontal="center"/>
    </xf>
    <xf numFmtId="0" fontId="33" fillId="21" borderId="49" xfId="11" applyFont="1" applyFill="1" applyBorder="1" applyAlignment="1">
      <alignment horizontal="center"/>
    </xf>
    <xf numFmtId="0" fontId="34" fillId="0" borderId="49" xfId="11" applyFont="1" applyBorder="1"/>
    <xf numFmtId="0" fontId="12" fillId="22" borderId="1" xfId="14" applyBorder="1" applyAlignment="1">
      <alignment horizontal="center"/>
    </xf>
    <xf numFmtId="0" fontId="12" fillId="22" borderId="1" xfId="14" applyBorder="1"/>
    <xf numFmtId="0" fontId="34" fillId="0" borderId="1" xfId="11" applyFont="1" applyBorder="1" applyAlignment="1">
      <alignment horizontal="center"/>
    </xf>
    <xf numFmtId="14" fontId="40" fillId="0" borderId="50" xfId="15" applyNumberFormat="1" applyFont="1" applyBorder="1" applyAlignment="1">
      <alignment horizontal="center" vertical="center" wrapText="1"/>
    </xf>
    <xf numFmtId="0" fontId="40" fillId="0" borderId="50" xfId="15" applyFont="1" applyBorder="1" applyAlignment="1">
      <alignment horizontal="center" vertical="center" wrapText="1"/>
    </xf>
    <xf numFmtId="0" fontId="41" fillId="0" borderId="1" xfId="11" applyFont="1" applyBorder="1"/>
    <xf numFmtId="14" fontId="41" fillId="0" borderId="1" xfId="11" applyNumberFormat="1" applyFont="1" applyBorder="1" applyAlignment="1">
      <alignment horizontal="center"/>
    </xf>
    <xf numFmtId="0" fontId="0" fillId="0" borderId="1" xfId="11" applyFont="1" applyBorder="1" applyAlignment="1">
      <alignment horizontal="center"/>
    </xf>
    <xf numFmtId="0" fontId="41" fillId="0" borderId="1" xfId="11" applyFont="1" applyBorder="1" applyAlignment="1">
      <alignment horizontal="center"/>
    </xf>
    <xf numFmtId="0" fontId="22" fillId="0" borderId="0" xfId="11" applyFont="1"/>
    <xf numFmtId="0" fontId="12" fillId="22" borderId="1" xfId="14" applyBorder="1" applyAlignment="1">
      <alignment horizontal="center" wrapText="1"/>
    </xf>
    <xf numFmtId="0" fontId="42" fillId="0" borderId="0" xfId="11" applyFont="1"/>
    <xf numFmtId="0" fontId="22" fillId="0" borderId="1" xfId="11" applyFont="1" applyBorder="1"/>
    <xf numFmtId="0" fontId="22" fillId="0" borderId="1" xfId="11" applyFont="1" applyBorder="1" applyAlignment="1">
      <alignment wrapText="1"/>
    </xf>
    <xf numFmtId="1" fontId="22" fillId="0" borderId="1" xfId="11" applyNumberFormat="1" applyFont="1" applyBorder="1" applyAlignment="1">
      <alignment horizontal="center" vertical="top" wrapText="1"/>
    </xf>
    <xf numFmtId="0" fontId="12" fillId="23" borderId="0" xfId="16"/>
    <xf numFmtId="0" fontId="22" fillId="0" borderId="0" xfId="15"/>
    <xf numFmtId="0" fontId="27" fillId="22" borderId="0" xfId="14" applyFont="1"/>
    <xf numFmtId="0" fontId="44" fillId="19" borderId="1" xfId="17" applyFont="1" applyBorder="1" applyAlignment="1">
      <alignment horizontal="center" vertical="center"/>
    </xf>
    <xf numFmtId="0" fontId="12" fillId="22" borderId="0" xfId="14"/>
    <xf numFmtId="17" fontId="12" fillId="22" borderId="0" xfId="14" applyNumberFormat="1" applyAlignment="1">
      <alignment horizontal="center"/>
    </xf>
    <xf numFmtId="169" fontId="12" fillId="22" borderId="0" xfId="14" applyNumberFormat="1" applyAlignment="1">
      <alignment horizontal="center"/>
    </xf>
    <xf numFmtId="0" fontId="27" fillId="22" borderId="0" xfId="14" applyFont="1" applyAlignment="1">
      <alignment vertical="center"/>
    </xf>
    <xf numFmtId="0" fontId="45" fillId="19" borderId="0" xfId="17" applyFont="1" applyAlignment="1">
      <alignment horizontal="center" vertical="center"/>
    </xf>
    <xf numFmtId="0" fontId="12" fillId="20" borderId="0" xfId="15" applyFont="1" applyFill="1" applyAlignment="1">
      <alignment horizontal="right"/>
    </xf>
    <xf numFmtId="0" fontId="42" fillId="0" borderId="1" xfId="15" applyFont="1" applyBorder="1" applyAlignment="1">
      <alignment vertical="center"/>
    </xf>
    <xf numFmtId="168" fontId="42" fillId="0" borderId="1" xfId="15" applyNumberFormat="1" applyFont="1" applyBorder="1" applyAlignment="1">
      <alignment horizontal="center" vertical="center"/>
    </xf>
    <xf numFmtId="168" fontId="42" fillId="20" borderId="0" xfId="15" applyNumberFormat="1" applyFont="1" applyFill="1"/>
    <xf numFmtId="168" fontId="27" fillId="23" borderId="0" xfId="16" applyNumberFormat="1" applyFont="1"/>
    <xf numFmtId="0" fontId="42" fillId="0" borderId="0" xfId="15" applyFont="1"/>
    <xf numFmtId="0" fontId="22" fillId="0" borderId="45" xfId="15" applyBorder="1"/>
    <xf numFmtId="9" fontId="22" fillId="0" borderId="45" xfId="15" applyNumberFormat="1" applyBorder="1"/>
    <xf numFmtId="9" fontId="43" fillId="0" borderId="45" xfId="17" applyNumberFormat="1" applyFill="1" applyBorder="1"/>
    <xf numFmtId="9" fontId="43" fillId="19" borderId="45" xfId="17" applyNumberFormat="1" applyBorder="1"/>
    <xf numFmtId="0" fontId="22" fillId="0" borderId="41" xfId="15" applyBorder="1"/>
    <xf numFmtId="3" fontId="42" fillId="0" borderId="43" xfId="15" applyNumberFormat="1" applyFont="1" applyBorder="1" applyAlignment="1">
      <alignment horizontal="left" vertical="center"/>
    </xf>
    <xf numFmtId="3" fontId="22" fillId="0" borderId="47" xfId="15" applyNumberFormat="1" applyBorder="1" applyAlignment="1">
      <alignment wrapText="1"/>
    </xf>
    <xf numFmtId="3" fontId="22" fillId="0" borderId="47" xfId="15" applyNumberFormat="1" applyBorder="1"/>
    <xf numFmtId="3" fontId="43" fillId="19" borderId="47" xfId="17" applyNumberFormat="1" applyBorder="1"/>
    <xf numFmtId="3" fontId="12" fillId="23" borderId="42" xfId="16" applyNumberFormat="1" applyBorder="1"/>
    <xf numFmtId="0" fontId="22" fillId="0" borderId="44" xfId="15" applyBorder="1" applyAlignment="1">
      <alignment horizontal="left" vertical="center"/>
    </xf>
    <xf numFmtId="0" fontId="42" fillId="0" borderId="43" xfId="15" applyFont="1" applyBorder="1" applyAlignment="1">
      <alignment horizontal="left" vertical="center"/>
    </xf>
    <xf numFmtId="0" fontId="22" fillId="0" borderId="47" xfId="15" applyBorder="1" applyAlignment="1">
      <alignment wrapText="1"/>
    </xf>
    <xf numFmtId="0" fontId="42" fillId="0" borderId="43" xfId="15" applyFont="1" applyBorder="1" applyAlignment="1">
      <alignment horizontal="left" vertical="center" wrapText="1"/>
    </xf>
    <xf numFmtId="0" fontId="22" fillId="0" borderId="47" xfId="15" applyBorder="1"/>
    <xf numFmtId="3" fontId="22" fillId="0" borderId="1" xfId="15" applyNumberFormat="1" applyBorder="1"/>
    <xf numFmtId="0" fontId="42" fillId="0" borderId="0" xfId="15" applyFont="1" applyAlignment="1">
      <alignment wrapText="1"/>
    </xf>
    <xf numFmtId="3" fontId="22" fillId="0" borderId="0" xfId="15" applyNumberFormat="1"/>
    <xf numFmtId="3" fontId="43" fillId="19" borderId="0" xfId="17" applyNumberFormat="1" applyBorder="1"/>
    <xf numFmtId="3" fontId="12" fillId="23" borderId="0" xfId="16" applyNumberFormat="1" applyBorder="1"/>
    <xf numFmtId="3" fontId="43" fillId="19" borderId="0" xfId="17" applyNumberFormat="1"/>
    <xf numFmtId="3" fontId="12" fillId="23" borderId="0" xfId="16" applyNumberFormat="1"/>
    <xf numFmtId="1" fontId="22" fillId="0" borderId="0" xfId="15" applyNumberFormat="1"/>
    <xf numFmtId="0" fontId="42" fillId="11" borderId="0" xfId="15" applyFont="1" applyFill="1"/>
    <xf numFmtId="0" fontId="22" fillId="11" borderId="0" xfId="15" applyFill="1"/>
    <xf numFmtId="10" fontId="22" fillId="0" borderId="0" xfId="15" applyNumberFormat="1"/>
    <xf numFmtId="170" fontId="22" fillId="0" borderId="0" xfId="15" applyNumberFormat="1"/>
    <xf numFmtId="9" fontId="22" fillId="0" borderId="0" xfId="5" applyFont="1"/>
    <xf numFmtId="0" fontId="42" fillId="20" borderId="0" xfId="15" applyFont="1" applyFill="1" applyAlignment="1">
      <alignment horizontal="center"/>
    </xf>
    <xf numFmtId="0" fontId="1" fillId="23" borderId="0" xfId="16" applyFont="1"/>
    <xf numFmtId="0" fontId="48" fillId="19" borderId="1" xfId="17" applyFont="1" applyBorder="1" applyAlignment="1">
      <alignment horizontal="center" vertical="center"/>
    </xf>
    <xf numFmtId="0" fontId="16" fillId="23" borderId="0" xfId="16" applyFont="1" applyAlignment="1">
      <alignment horizontal="center"/>
    </xf>
    <xf numFmtId="0" fontId="45" fillId="19" borderId="0" xfId="17" applyFont="1" applyAlignment="1">
      <alignment horizontal="center"/>
    </xf>
    <xf numFmtId="168" fontId="16" fillId="23" borderId="0" xfId="16" applyNumberFormat="1" applyFont="1"/>
    <xf numFmtId="0" fontId="1" fillId="0" borderId="0" xfId="15" applyFont="1"/>
    <xf numFmtId="0" fontId="1" fillId="0" borderId="41" xfId="15" applyFont="1" applyBorder="1"/>
    <xf numFmtId="3" fontId="42" fillId="0" borderId="43" xfId="15" applyNumberFormat="1" applyFont="1" applyBorder="1" applyAlignment="1">
      <alignment vertical="center"/>
    </xf>
    <xf numFmtId="3" fontId="1" fillId="0" borderId="42" xfId="16" applyNumberFormat="1" applyFont="1" applyFill="1" applyBorder="1"/>
    <xf numFmtId="0" fontId="22" fillId="0" borderId="44" xfId="15" applyBorder="1" applyAlignment="1">
      <alignment vertical="center"/>
    </xf>
    <xf numFmtId="0" fontId="42" fillId="0" borderId="43" xfId="15" applyFont="1" applyBorder="1" applyAlignment="1">
      <alignment vertical="center"/>
    </xf>
    <xf numFmtId="3" fontId="1" fillId="0" borderId="0" xfId="16" applyNumberFormat="1" applyFont="1" applyFill="1" applyBorder="1"/>
    <xf numFmtId="4" fontId="22" fillId="0" borderId="0" xfId="15" applyNumberFormat="1"/>
    <xf numFmtId="4" fontId="43" fillId="19" borderId="0" xfId="17" applyNumberFormat="1"/>
    <xf numFmtId="3" fontId="1" fillId="23" borderId="0" xfId="16" applyNumberFormat="1" applyFont="1"/>
    <xf numFmtId="0" fontId="12" fillId="22" borderId="0" xfId="14" applyAlignment="1">
      <alignment wrapText="1"/>
    </xf>
    <xf numFmtId="0" fontId="12" fillId="22" borderId="38" xfId="14" applyBorder="1" applyAlignment="1">
      <alignment wrapText="1"/>
    </xf>
    <xf numFmtId="0" fontId="12" fillId="22" borderId="43" xfId="14" applyBorder="1" applyAlignment="1">
      <alignment wrapText="1"/>
    </xf>
    <xf numFmtId="0" fontId="12" fillId="22" borderId="42" xfId="14" applyBorder="1" applyAlignment="1">
      <alignment wrapText="1"/>
    </xf>
    <xf numFmtId="0" fontId="12" fillId="22" borderId="39" xfId="14" applyBorder="1" applyAlignment="1">
      <alignment wrapText="1"/>
    </xf>
    <xf numFmtId="0" fontId="22" fillId="0" borderId="1" xfId="15" applyBorder="1"/>
    <xf numFmtId="9" fontId="22" fillId="0" borderId="1" xfId="15" applyNumberFormat="1" applyBorder="1"/>
    <xf numFmtId="0" fontId="12" fillId="23" borderId="1" xfId="16" applyBorder="1"/>
    <xf numFmtId="0" fontId="22" fillId="0" borderId="38" xfId="15" applyBorder="1"/>
    <xf numFmtId="0" fontId="22" fillId="0" borderId="44" xfId="15" applyBorder="1"/>
    <xf numFmtId="9" fontId="22" fillId="0" borderId="38" xfId="15" applyNumberFormat="1" applyBorder="1"/>
    <xf numFmtId="0" fontId="22" fillId="0" borderId="46" xfId="15" applyBorder="1"/>
    <xf numFmtId="0" fontId="22" fillId="0" borderId="40" xfId="15" applyBorder="1"/>
    <xf numFmtId="0" fontId="22" fillId="0" borderId="43" xfId="15" applyBorder="1"/>
    <xf numFmtId="0" fontId="22" fillId="0" borderId="39" xfId="15" applyBorder="1"/>
    <xf numFmtId="0" fontId="49" fillId="6" borderId="0" xfId="18" applyFont="1" applyFill="1"/>
    <xf numFmtId="17" fontId="1" fillId="6" borderId="0" xfId="18" applyNumberFormat="1" applyFill="1"/>
    <xf numFmtId="0" fontId="16" fillId="6" borderId="0" xfId="18" applyFont="1" applyFill="1"/>
    <xf numFmtId="0" fontId="22" fillId="6" borderId="0" xfId="15" applyFill="1"/>
    <xf numFmtId="0" fontId="1" fillId="6" borderId="0" xfId="18" applyFill="1"/>
    <xf numFmtId="165" fontId="0" fillId="7" borderId="30" xfId="0" applyNumberFormat="1" applyFill="1" applyBorder="1" applyAlignment="1">
      <alignment horizontal="left" vertical="center" wrapText="1" indent="1"/>
    </xf>
    <xf numFmtId="165" fontId="0" fillId="7" borderId="31" xfId="0" applyNumberFormat="1" applyFill="1" applyBorder="1" applyAlignment="1">
      <alignment horizontal="left" vertical="center" wrapText="1" indent="1"/>
    </xf>
    <xf numFmtId="165" fontId="0" fillId="7" borderId="32" xfId="0" applyNumberFormat="1" applyFill="1" applyBorder="1" applyAlignment="1">
      <alignment horizontal="left" vertical="center" wrapText="1" indent="1"/>
    </xf>
    <xf numFmtId="0" fontId="15" fillId="0" borderId="20" xfId="9" applyAlignment="1">
      <alignment horizontal="right" indent="1"/>
    </xf>
    <xf numFmtId="0" fontId="15" fillId="0" borderId="28" xfId="9" applyBorder="1" applyAlignment="1">
      <alignment horizontal="right" indent="1"/>
    </xf>
    <xf numFmtId="164" fontId="11" fillId="0" borderId="29" xfId="3">
      <alignment horizontal="center" vertical="center"/>
    </xf>
    <xf numFmtId="0" fontId="41" fillId="0" borderId="1" xfId="11" applyFont="1" applyBorder="1"/>
    <xf numFmtId="0" fontId="37" fillId="0" borderId="0" xfId="11" applyFont="1" applyAlignment="1">
      <alignment horizontal="left" vertical="center" wrapText="1"/>
    </xf>
    <xf numFmtId="0" fontId="30" fillId="20" borderId="0" xfId="11" applyFont="1" applyFill="1" applyAlignment="1">
      <alignment horizontal="center" vertical="center"/>
    </xf>
    <xf numFmtId="0" fontId="12" fillId="22" borderId="1" xfId="14" applyBorder="1"/>
    <xf numFmtId="0" fontId="0" fillId="0" borderId="1" xfId="11" applyFont="1" applyBorder="1" applyAlignment="1">
      <alignment wrapText="1"/>
    </xf>
    <xf numFmtId="0" fontId="22" fillId="0" borderId="1" xfId="11" applyFont="1" applyBorder="1" applyAlignment="1">
      <alignment wrapText="1"/>
    </xf>
    <xf numFmtId="0" fontId="12" fillId="22" borderId="1" xfId="14" applyBorder="1" applyAlignment="1">
      <alignment horizontal="center" wrapText="1"/>
    </xf>
    <xf numFmtId="0" fontId="27" fillId="22" borderId="0" xfId="14" applyFont="1" applyAlignment="1">
      <alignment horizontal="left"/>
    </xf>
    <xf numFmtId="0" fontId="27" fillId="22" borderId="0" xfId="14" applyFont="1" applyAlignment="1">
      <alignment horizontal="center"/>
    </xf>
    <xf numFmtId="0" fontId="12" fillId="22" borderId="0" xfId="14" applyAlignment="1">
      <alignment horizontal="center"/>
    </xf>
    <xf numFmtId="0" fontId="12" fillId="22" borderId="44" xfId="14" applyBorder="1" applyAlignment="1">
      <alignment wrapText="1"/>
    </xf>
    <xf numFmtId="0" fontId="12" fillId="22" borderId="41" xfId="14" applyBorder="1" applyAlignment="1">
      <alignment wrapText="1"/>
    </xf>
    <xf numFmtId="0" fontId="3" fillId="4" borderId="11" xfId="0" applyFont="1" applyFill="1" applyBorder="1" applyAlignment="1">
      <alignment horizontal="center" vertical="center" wrapText="1"/>
    </xf>
    <xf numFmtId="0" fontId="0" fillId="0" borderId="12" xfId="0" applyBorder="1"/>
    <xf numFmtId="0" fontId="0" fillId="0" borderId="13" xfId="0" applyBorder="1"/>
    <xf numFmtId="0" fontId="3" fillId="4" borderId="11" xfId="0" quotePrefix="1"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5" fillId="0" borderId="16" xfId="0" applyFont="1" applyBorder="1" applyAlignment="1">
      <alignment horizontal="center" wrapText="1"/>
    </xf>
    <xf numFmtId="0" fontId="0" fillId="0" borderId="17" xfId="0" applyBorder="1"/>
    <xf numFmtId="0" fontId="0" fillId="0" borderId="18" xfId="0" applyBorder="1"/>
    <xf numFmtId="0" fontId="5" fillId="0" borderId="16" xfId="0" applyFont="1" applyBorder="1" applyAlignment="1">
      <alignment horizontal="center"/>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Relação entre Investimento Orçado e Realizado</a:t>
            </a:r>
          </a:p>
        </c:rich>
      </c:tx>
      <c:layout>
        <c:manualLayout>
          <c:xMode val="edge"/>
          <c:yMode val="edge"/>
          <c:x val="0.1526338666265443"/>
          <c:y val="1.8325087044163461E-2"/>
        </c:manualLayout>
      </c:layout>
      <c:overlay val="0"/>
    </c:title>
    <c:autoTitleDeleted val="0"/>
    <c:plotArea>
      <c:layout/>
      <c:lineChart>
        <c:grouping val="standard"/>
        <c:varyColors val="0"/>
        <c:ser>
          <c:idx val="3"/>
          <c:order val="1"/>
          <c:tx>
            <c:strRef>
              <c:f>'Gráfico -Status'!$E$3</c:f>
              <c:strCache>
                <c:ptCount val="1"/>
                <c:pt idx="0">
                  <c:v>Orçado</c:v>
                </c:pt>
              </c:strCache>
            </c:strRef>
          </c:tx>
          <c:marker>
            <c:symbol val="none"/>
          </c:marker>
          <c:val>
            <c:numRef>
              <c:f>'Gráfico -Status'!$E$4:$E$13</c:f>
              <c:numCache>
                <c:formatCode>#,##0</c:formatCode>
                <c:ptCount val="10"/>
                <c:pt idx="0">
                  <c:v>110000</c:v>
                </c:pt>
                <c:pt idx="1">
                  <c:v>120388.23000000001</c:v>
                </c:pt>
                <c:pt idx="2">
                  <c:v>130693.68800000001</c:v>
                </c:pt>
                <c:pt idx="3">
                  <c:v>138679.6918</c:v>
                </c:pt>
                <c:pt idx="4">
                  <c:v>146914.29598</c:v>
                </c:pt>
                <c:pt idx="5">
                  <c:v>155972.36057799999</c:v>
                </c:pt>
                <c:pt idx="6">
                  <c:v>165936.23163579998</c:v>
                </c:pt>
                <c:pt idx="7">
                  <c:v>176896.48979937998</c:v>
                </c:pt>
                <c:pt idx="8">
                  <c:v>188952.773779318</c:v>
                </c:pt>
                <c:pt idx="9">
                  <c:v>202214.68615724982</c:v>
                </c:pt>
              </c:numCache>
            </c:numRef>
          </c:val>
          <c:smooth val="0"/>
          <c:extLst>
            <c:ext xmlns:c16="http://schemas.microsoft.com/office/drawing/2014/chart" uri="{C3380CC4-5D6E-409C-BE32-E72D297353CC}">
              <c16:uniqueId val="{00000000-6AF5-4B95-845E-D0C48D761DFB}"/>
            </c:ext>
          </c:extLst>
        </c:ser>
        <c:ser>
          <c:idx val="4"/>
          <c:order val="2"/>
          <c:tx>
            <c:strRef>
              <c:f>'Gráfico -Status'!$F$3</c:f>
              <c:strCache>
                <c:ptCount val="1"/>
                <c:pt idx="0">
                  <c:v>Realizado</c:v>
                </c:pt>
              </c:strCache>
            </c:strRef>
          </c:tx>
          <c:marker>
            <c:symbol val="none"/>
          </c:marker>
          <c:val>
            <c:numRef>
              <c:f>'Gráfico -Status'!$F$4:$F$13</c:f>
              <c:numCache>
                <c:formatCode>#,##0</c:formatCode>
                <c:ptCount val="10"/>
                <c:pt idx="0">
                  <c:v>158109</c:v>
                </c:pt>
                <c:pt idx="1">
                  <c:v>166096.4</c:v>
                </c:pt>
                <c:pt idx="2">
                  <c:v>174804.54</c:v>
                </c:pt>
                <c:pt idx="3">
                  <c:v>184305.49400000001</c:v>
                </c:pt>
                <c:pt idx="4">
                  <c:v>194678.54340000002</c:v>
                </c:pt>
                <c:pt idx="5">
                  <c:v>206010.89774000001</c:v>
                </c:pt>
                <c:pt idx="6">
                  <c:v>218398.48751400001</c:v>
                </c:pt>
                <c:pt idx="7">
                  <c:v>231946.83626540002</c:v>
                </c:pt>
                <c:pt idx="8">
                  <c:v>246772.01989194003</c:v>
                </c:pt>
                <c:pt idx="9">
                  <c:v>263001.72188113403</c:v>
                </c:pt>
              </c:numCache>
            </c:numRef>
          </c:val>
          <c:smooth val="0"/>
          <c:extLst>
            <c:ext xmlns:c16="http://schemas.microsoft.com/office/drawing/2014/chart" uri="{C3380CC4-5D6E-409C-BE32-E72D297353CC}">
              <c16:uniqueId val="{00000001-6AF5-4B95-845E-D0C48D761DFB}"/>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'Gráfico -Status'!$B$3</c15:sqref>
                        </c15:formulaRef>
                      </c:ext>
                    </c:extLst>
                    <c:strCache>
                      <c:ptCount val="1"/>
                      <c:pt idx="0">
                        <c:v>Mês</c:v>
                      </c:pt>
                    </c:strCache>
                  </c:strRef>
                </c:tx>
                <c:marker>
                  <c:symbol val="none"/>
                </c:marker>
                <c:val>
                  <c:numRef>
                    <c:extLst>
                      <c:ext uri="{02D57815-91ED-43cb-92C2-25804820EDAC}">
                        <c15:formulaRef>
                          <c15:sqref>'Gráfico -Status'!$B$4:$B$13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6AF5-4B95-845E-D0C48D761DFB}"/>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0"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png"/><Relationship Id="rId1" Type="http://schemas.openxmlformats.org/officeDocument/2006/relationships/hyperlink" Target="https://escritoriodeprojetos.com.br/" TargetMode="External"/><Relationship Id="rId4" Type="http://schemas.openxmlformats.org/officeDocument/2006/relationships/image" Target="https://encrypted-tbn0.gstatic.com/images?q=tbn:ANd9GcSJ2ijpeoXGPRtz5cNwDfxA0_BvMmgkBeomZ2z0XgM&amp;s"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https://encrypted-tbn0.gstatic.com/images?q=tbn:ANd9GcSJ2ijpeoXGPRtz5cNwDfxA0_BvMmgkBeomZ2z0XgM&amp;s" TargetMode="External"/><Relationship Id="rId2" Type="http://schemas.openxmlformats.org/officeDocument/2006/relationships/image" Target="../media/image1.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666750</xdr:colOff>
      <xdr:row>8</xdr:row>
      <xdr:rowOff>63500</xdr:rowOff>
    </xdr:from>
    <xdr:to>
      <xdr:col>9</xdr:col>
      <xdr:colOff>744361</xdr:colOff>
      <xdr:row>10</xdr:row>
      <xdr:rowOff>69850</xdr:rowOff>
    </xdr:to>
    <xdr:pic>
      <xdr:nvPicPr>
        <xdr:cNvPr id="2" name="Picture 3">
          <a:hlinkClick xmlns:r="http://schemas.openxmlformats.org/officeDocument/2006/relationships" r:id="rId1"/>
          <a:extLst>
            <a:ext uri="{FF2B5EF4-FFF2-40B4-BE49-F238E27FC236}">
              <a16:creationId xmlns:a16="http://schemas.microsoft.com/office/drawing/2014/main" id="{9A709A17-9715-46AE-B3C0-B93DAC4381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915275" y="2178050"/>
          <a:ext cx="1058686" cy="49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20055</xdr:colOff>
      <xdr:row>5</xdr:row>
      <xdr:rowOff>135152</xdr:rowOff>
    </xdr:from>
    <xdr:to>
      <xdr:col>1</xdr:col>
      <xdr:colOff>503601</xdr:colOff>
      <xdr:row>8</xdr:row>
      <xdr:rowOff>106680</xdr:rowOff>
    </xdr:to>
    <xdr:pic>
      <xdr:nvPicPr>
        <xdr:cNvPr id="3" name="Imagem 2" descr="Logotipo De Saúde E Bem Estar Design De Logotipo De Centro ...">
          <a:extLst>
            <a:ext uri="{FF2B5EF4-FFF2-40B4-BE49-F238E27FC236}">
              <a16:creationId xmlns:a16="http://schemas.microsoft.com/office/drawing/2014/main" id="{0DDABFDC-6A50-4D55-A966-53ABCE5DF7A4}"/>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95315" y="1400072"/>
          <a:ext cx="483546" cy="84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285750</xdr:colOff>
      <xdr:row>0</xdr:row>
      <xdr:rowOff>138112</xdr:rowOff>
    </xdr:from>
    <xdr:to>
      <xdr:col>15</xdr:col>
      <xdr:colOff>590550</xdr:colOff>
      <xdr:row>17</xdr:row>
      <xdr:rowOff>128587</xdr:rowOff>
    </xdr:to>
    <xdr:graphicFrame macro="">
      <xdr:nvGraphicFramePr>
        <xdr:cNvPr id="2" name="Chart 1">
          <a:extLst>
            <a:ext uri="{FF2B5EF4-FFF2-40B4-BE49-F238E27FC236}">
              <a16:creationId xmlns:a16="http://schemas.microsoft.com/office/drawing/2014/main" id="{E25154CD-5E27-4692-99B6-F3DE6FEB5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445446</xdr:colOff>
      <xdr:row>2</xdr:row>
      <xdr:rowOff>254055</xdr:rowOff>
    </xdr:from>
    <xdr:to>
      <xdr:col>17</xdr:col>
      <xdr:colOff>580082</xdr:colOff>
      <xdr:row>8</xdr:row>
      <xdr:rowOff>137160</xdr:rowOff>
    </xdr:to>
    <xdr:pic>
      <xdr:nvPicPr>
        <xdr:cNvPr id="3" name="Imagem 2" descr="Logotipo De Saúde E Bem Estar Design De Logotipo De Centro ...">
          <a:extLst>
            <a:ext uri="{FF2B5EF4-FFF2-40B4-BE49-F238E27FC236}">
              <a16:creationId xmlns:a16="http://schemas.microsoft.com/office/drawing/2014/main" id="{233463DD-8710-4EE7-BA5B-58ADC7899E26}"/>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10435266" y="619815"/>
          <a:ext cx="774716" cy="1346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1</xdr:row>
      <xdr:rowOff>60960</xdr:rowOff>
    </xdr:from>
    <xdr:to>
      <xdr:col>5</xdr:col>
      <xdr:colOff>64446</xdr:colOff>
      <xdr:row>5</xdr:row>
      <xdr:rowOff>169648</xdr:rowOff>
    </xdr:to>
    <xdr:pic>
      <xdr:nvPicPr>
        <xdr:cNvPr id="2" name="Imagem 1" descr="Logotipo De Saúde E Bem Estar Design De Logotipo De Centro ...">
          <a:extLst>
            <a:ext uri="{FF2B5EF4-FFF2-40B4-BE49-F238E27FC236}">
              <a16:creationId xmlns:a16="http://schemas.microsoft.com/office/drawing/2014/main" id="{04A3011A-6931-4292-AC48-04997C206B8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263640" y="243840"/>
          <a:ext cx="483546" cy="84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escritoriodeprojetos.com.br/download/previsoes-do-orcamento/"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5"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1" t="s">
        <v>160</v>
      </c>
      <c r="F3" s="32"/>
      <c r="G3" s="33"/>
      <c r="H3" s="34"/>
    </row>
    <row r="5" spans="1:66" ht="34.5" customHeight="1" thickBot="1" x14ac:dyDescent="0.3">
      <c r="A5" s="35" t="s">
        <v>128</v>
      </c>
      <c r="D5" s="99" t="s">
        <v>158</v>
      </c>
      <c r="E5" s="223" t="s">
        <v>129</v>
      </c>
      <c r="F5" s="224"/>
      <c r="G5" s="225">
        <v>45160</v>
      </c>
      <c r="H5" s="225"/>
    </row>
    <row r="6" spans="1:66" ht="30" customHeight="1" thickTop="1" thickBot="1" x14ac:dyDescent="0.3">
      <c r="A6" s="30" t="s">
        <v>130</v>
      </c>
      <c r="B6" s="30"/>
      <c r="C6" s="30"/>
      <c r="E6" s="223" t="s">
        <v>131</v>
      </c>
      <c r="F6" s="224"/>
      <c r="G6" s="36">
        <v>1</v>
      </c>
      <c r="K6" s="220">
        <f>K7</f>
        <v>45159</v>
      </c>
      <c r="L6" s="221"/>
      <c r="M6" s="221"/>
      <c r="N6" s="221"/>
      <c r="O6" s="221"/>
      <c r="P6" s="221"/>
      <c r="Q6" s="222"/>
      <c r="R6" s="220">
        <f>R7</f>
        <v>45166</v>
      </c>
      <c r="S6" s="221"/>
      <c r="T6" s="221"/>
      <c r="U6" s="221"/>
      <c r="V6" s="221"/>
      <c r="W6" s="221"/>
      <c r="X6" s="222"/>
      <c r="Y6" s="220">
        <f>Y7</f>
        <v>45173</v>
      </c>
      <c r="Z6" s="221"/>
      <c r="AA6" s="221"/>
      <c r="AB6" s="221"/>
      <c r="AC6" s="221"/>
      <c r="AD6" s="221"/>
      <c r="AE6" s="222"/>
      <c r="AF6" s="220">
        <f>AF7</f>
        <v>45180</v>
      </c>
      <c r="AG6" s="221"/>
      <c r="AH6" s="221"/>
      <c r="AI6" s="221"/>
      <c r="AJ6" s="221"/>
      <c r="AK6" s="221"/>
      <c r="AL6" s="222"/>
      <c r="AM6" s="220">
        <f>AM7</f>
        <v>45187</v>
      </c>
      <c r="AN6" s="221"/>
      <c r="AO6" s="221"/>
      <c r="AP6" s="221"/>
      <c r="AQ6" s="221"/>
      <c r="AR6" s="221"/>
      <c r="AS6" s="222"/>
      <c r="AT6" s="220">
        <f>AT7</f>
        <v>45194</v>
      </c>
      <c r="AU6" s="221"/>
      <c r="AV6" s="221"/>
      <c r="AW6" s="221"/>
      <c r="AX6" s="221"/>
      <c r="AY6" s="221"/>
      <c r="AZ6" s="222"/>
      <c r="BA6" s="220">
        <f>BA7</f>
        <v>45201</v>
      </c>
      <c r="BB6" s="221"/>
      <c r="BC6" s="221"/>
      <c r="BD6" s="221"/>
      <c r="BE6" s="221"/>
      <c r="BF6" s="221"/>
      <c r="BG6" s="222"/>
      <c r="BH6" s="220">
        <f>BH7</f>
        <v>45208</v>
      </c>
      <c r="BI6" s="221"/>
      <c r="BJ6" s="221"/>
      <c r="BK6" s="221"/>
      <c r="BL6" s="221"/>
      <c r="BM6" s="221"/>
      <c r="BN6" s="222"/>
    </row>
    <row r="7" spans="1:66" ht="15" customHeight="1" x14ac:dyDescent="0.25">
      <c r="A7" s="30" t="s">
        <v>132</v>
      </c>
      <c r="B7" s="30"/>
      <c r="C7" s="30"/>
      <c r="D7" s="37"/>
      <c r="E7" s="37"/>
      <c r="F7" s="37"/>
      <c r="G7" s="37"/>
      <c r="H7" s="37"/>
      <c r="I7" s="37"/>
      <c r="K7" s="38">
        <f>Início_do_projeto-WEEKDAY(Início_do_projeto,1)+2+7*(Semana_de_exibição-1)</f>
        <v>45159</v>
      </c>
      <c r="L7" s="39">
        <f>K7+1</f>
        <v>45160</v>
      </c>
      <c r="M7" s="39">
        <f t="shared" ref="M7:AZ7" si="0">L7+1</f>
        <v>45161</v>
      </c>
      <c r="N7" s="39">
        <f t="shared" si="0"/>
        <v>45162</v>
      </c>
      <c r="O7" s="39">
        <f t="shared" si="0"/>
        <v>45163</v>
      </c>
      <c r="P7" s="39">
        <f t="shared" si="0"/>
        <v>45164</v>
      </c>
      <c r="Q7" s="40">
        <f t="shared" si="0"/>
        <v>45165</v>
      </c>
      <c r="R7" s="38">
        <f>Q7+1</f>
        <v>45166</v>
      </c>
      <c r="S7" s="39">
        <f>R7+1</f>
        <v>45167</v>
      </c>
      <c r="T7" s="39">
        <f t="shared" si="0"/>
        <v>45168</v>
      </c>
      <c r="U7" s="39">
        <f t="shared" si="0"/>
        <v>45169</v>
      </c>
      <c r="V7" s="39">
        <f t="shared" si="0"/>
        <v>45170</v>
      </c>
      <c r="W7" s="39">
        <f t="shared" si="0"/>
        <v>45171</v>
      </c>
      <c r="X7" s="40">
        <f t="shared" si="0"/>
        <v>45172</v>
      </c>
      <c r="Y7" s="38">
        <f>X7+1</f>
        <v>45173</v>
      </c>
      <c r="Z7" s="39">
        <f>Y7+1</f>
        <v>45174</v>
      </c>
      <c r="AA7" s="39">
        <f t="shared" si="0"/>
        <v>45175</v>
      </c>
      <c r="AB7" s="39">
        <f t="shared" si="0"/>
        <v>45176</v>
      </c>
      <c r="AC7" s="39">
        <f t="shared" si="0"/>
        <v>45177</v>
      </c>
      <c r="AD7" s="39">
        <f t="shared" si="0"/>
        <v>45178</v>
      </c>
      <c r="AE7" s="40">
        <f t="shared" si="0"/>
        <v>45179</v>
      </c>
      <c r="AF7" s="38">
        <f>AE7+1</f>
        <v>45180</v>
      </c>
      <c r="AG7" s="39">
        <f>AF7+1</f>
        <v>45181</v>
      </c>
      <c r="AH7" s="39">
        <f t="shared" si="0"/>
        <v>45182</v>
      </c>
      <c r="AI7" s="39">
        <f t="shared" si="0"/>
        <v>45183</v>
      </c>
      <c r="AJ7" s="39">
        <f t="shared" si="0"/>
        <v>45184</v>
      </c>
      <c r="AK7" s="39">
        <f t="shared" si="0"/>
        <v>45185</v>
      </c>
      <c r="AL7" s="40">
        <f t="shared" si="0"/>
        <v>45186</v>
      </c>
      <c r="AM7" s="38">
        <f>AL7+1</f>
        <v>45187</v>
      </c>
      <c r="AN7" s="39">
        <f>AM7+1</f>
        <v>45188</v>
      </c>
      <c r="AO7" s="39">
        <f t="shared" si="0"/>
        <v>45189</v>
      </c>
      <c r="AP7" s="39">
        <f t="shared" si="0"/>
        <v>45190</v>
      </c>
      <c r="AQ7" s="39">
        <f t="shared" si="0"/>
        <v>45191</v>
      </c>
      <c r="AR7" s="39">
        <f t="shared" si="0"/>
        <v>45192</v>
      </c>
      <c r="AS7" s="40">
        <f t="shared" si="0"/>
        <v>45193</v>
      </c>
      <c r="AT7" s="38">
        <f>AS7+1</f>
        <v>45194</v>
      </c>
      <c r="AU7" s="39">
        <f>AT7+1</f>
        <v>45195</v>
      </c>
      <c r="AV7" s="39">
        <f t="shared" si="0"/>
        <v>45196</v>
      </c>
      <c r="AW7" s="39">
        <f t="shared" si="0"/>
        <v>45197</v>
      </c>
      <c r="AX7" s="39">
        <f t="shared" si="0"/>
        <v>45198</v>
      </c>
      <c r="AY7" s="39">
        <f t="shared" si="0"/>
        <v>45199</v>
      </c>
      <c r="AZ7" s="40">
        <f t="shared" si="0"/>
        <v>45200</v>
      </c>
      <c r="BA7" s="38">
        <f t="shared" ref="BA7:BN7" si="1">AZ7+1</f>
        <v>45201</v>
      </c>
      <c r="BB7" s="39">
        <f t="shared" si="1"/>
        <v>45202</v>
      </c>
      <c r="BC7" s="39">
        <f t="shared" si="1"/>
        <v>45203</v>
      </c>
      <c r="BD7" s="39">
        <f t="shared" si="1"/>
        <v>45204</v>
      </c>
      <c r="BE7" s="39">
        <f t="shared" si="1"/>
        <v>45205</v>
      </c>
      <c r="BF7" s="39">
        <f t="shared" si="1"/>
        <v>45206</v>
      </c>
      <c r="BG7" s="40">
        <f t="shared" si="1"/>
        <v>45207</v>
      </c>
      <c r="BH7" s="38">
        <f t="shared" si="1"/>
        <v>45208</v>
      </c>
      <c r="BI7" s="39">
        <f t="shared" si="1"/>
        <v>45209</v>
      </c>
      <c r="BJ7" s="39">
        <f t="shared" si="1"/>
        <v>45210</v>
      </c>
      <c r="BK7" s="39">
        <f t="shared" si="1"/>
        <v>45211</v>
      </c>
      <c r="BL7" s="39">
        <f t="shared" si="1"/>
        <v>45212</v>
      </c>
      <c r="BM7" s="39">
        <f t="shared" si="1"/>
        <v>45213</v>
      </c>
      <c r="BN7" s="40">
        <f t="shared" si="1"/>
        <v>45214</v>
      </c>
    </row>
    <row r="8" spans="1:66" ht="30" customHeight="1" thickBot="1" x14ac:dyDescent="0.3">
      <c r="A8" s="30" t="s">
        <v>133</v>
      </c>
      <c r="B8" s="30"/>
      <c r="C8" s="30"/>
      <c r="D8" s="41" t="s">
        <v>134</v>
      </c>
      <c r="E8" s="42" t="s">
        <v>135</v>
      </c>
      <c r="F8" s="42" t="s">
        <v>136</v>
      </c>
      <c r="G8" s="42" t="s">
        <v>137</v>
      </c>
      <c r="H8" s="42" t="s">
        <v>138</v>
      </c>
      <c r="I8" s="42"/>
      <c r="J8" s="42" t="s">
        <v>139</v>
      </c>
      <c r="K8" s="43" t="str">
        <f t="shared" ref="K8:BN8" si="2">LEFT(TEXT(K7,"ddd"),1)</f>
        <v>s</v>
      </c>
      <c r="L8" s="43" t="str">
        <f t="shared" si="2"/>
        <v>t</v>
      </c>
      <c r="M8" s="43" t="str">
        <f t="shared" si="2"/>
        <v>q</v>
      </c>
      <c r="N8" s="43" t="str">
        <f t="shared" si="2"/>
        <v>q</v>
      </c>
      <c r="O8" s="43" t="str">
        <f t="shared" si="2"/>
        <v>s</v>
      </c>
      <c r="P8" s="43" t="str">
        <f t="shared" si="2"/>
        <v>s</v>
      </c>
      <c r="Q8" s="43" t="str">
        <f t="shared" si="2"/>
        <v>d</v>
      </c>
      <c r="R8" s="43" t="str">
        <f t="shared" si="2"/>
        <v>s</v>
      </c>
      <c r="S8" s="43" t="str">
        <f t="shared" si="2"/>
        <v>t</v>
      </c>
      <c r="T8" s="43" t="str">
        <f t="shared" si="2"/>
        <v>q</v>
      </c>
      <c r="U8" s="43" t="str">
        <f t="shared" si="2"/>
        <v>q</v>
      </c>
      <c r="V8" s="43" t="str">
        <f t="shared" si="2"/>
        <v>s</v>
      </c>
      <c r="W8" s="43" t="str">
        <f t="shared" si="2"/>
        <v>s</v>
      </c>
      <c r="X8" s="43" t="str">
        <f t="shared" si="2"/>
        <v>d</v>
      </c>
      <c r="Y8" s="43" t="str">
        <f t="shared" si="2"/>
        <v>s</v>
      </c>
      <c r="Z8" s="43" t="str">
        <f t="shared" si="2"/>
        <v>t</v>
      </c>
      <c r="AA8" s="43" t="str">
        <f t="shared" si="2"/>
        <v>q</v>
      </c>
      <c r="AB8" s="43" t="str">
        <f t="shared" si="2"/>
        <v>q</v>
      </c>
      <c r="AC8" s="43" t="str">
        <f t="shared" si="2"/>
        <v>s</v>
      </c>
      <c r="AD8" s="43" t="str">
        <f t="shared" si="2"/>
        <v>s</v>
      </c>
      <c r="AE8" s="43" t="str">
        <f t="shared" si="2"/>
        <v>d</v>
      </c>
      <c r="AF8" s="43" t="str">
        <f t="shared" si="2"/>
        <v>s</v>
      </c>
      <c r="AG8" s="43" t="str">
        <f t="shared" si="2"/>
        <v>t</v>
      </c>
      <c r="AH8" s="43" t="str">
        <f t="shared" si="2"/>
        <v>q</v>
      </c>
      <c r="AI8" s="43" t="str">
        <f t="shared" si="2"/>
        <v>q</v>
      </c>
      <c r="AJ8" s="43" t="str">
        <f t="shared" si="2"/>
        <v>s</v>
      </c>
      <c r="AK8" s="43" t="str">
        <f t="shared" si="2"/>
        <v>s</v>
      </c>
      <c r="AL8" s="43" t="str">
        <f t="shared" si="2"/>
        <v>d</v>
      </c>
      <c r="AM8" s="43" t="str">
        <f t="shared" si="2"/>
        <v>s</v>
      </c>
      <c r="AN8" s="43" t="str">
        <f t="shared" si="2"/>
        <v>t</v>
      </c>
      <c r="AO8" s="43" t="str">
        <f t="shared" si="2"/>
        <v>q</v>
      </c>
      <c r="AP8" s="43" t="str">
        <f t="shared" si="2"/>
        <v>q</v>
      </c>
      <c r="AQ8" s="43" t="str">
        <f t="shared" si="2"/>
        <v>s</v>
      </c>
      <c r="AR8" s="43" t="str">
        <f t="shared" si="2"/>
        <v>s</v>
      </c>
      <c r="AS8" s="43" t="str">
        <f t="shared" si="2"/>
        <v>d</v>
      </c>
      <c r="AT8" s="43" t="str">
        <f t="shared" si="2"/>
        <v>s</v>
      </c>
      <c r="AU8" s="43" t="str">
        <f t="shared" si="2"/>
        <v>t</v>
      </c>
      <c r="AV8" s="43" t="str">
        <f t="shared" si="2"/>
        <v>q</v>
      </c>
      <c r="AW8" s="43" t="str">
        <f t="shared" si="2"/>
        <v>q</v>
      </c>
      <c r="AX8" s="43" t="str">
        <f t="shared" si="2"/>
        <v>s</v>
      </c>
      <c r="AY8" s="43" t="str">
        <f t="shared" si="2"/>
        <v>s</v>
      </c>
      <c r="AZ8" s="43" t="str">
        <f t="shared" si="2"/>
        <v>d</v>
      </c>
      <c r="BA8" s="43" t="str">
        <f t="shared" si="2"/>
        <v>s</v>
      </c>
      <c r="BB8" s="43" t="str">
        <f t="shared" si="2"/>
        <v>t</v>
      </c>
      <c r="BC8" s="43" t="str">
        <f t="shared" si="2"/>
        <v>q</v>
      </c>
      <c r="BD8" s="43" t="str">
        <f t="shared" si="2"/>
        <v>q</v>
      </c>
      <c r="BE8" s="43" t="str">
        <f t="shared" si="2"/>
        <v>s</v>
      </c>
      <c r="BF8" s="43" t="str">
        <f t="shared" si="2"/>
        <v>s</v>
      </c>
      <c r="BG8" s="43" t="str">
        <f t="shared" si="2"/>
        <v>d</v>
      </c>
      <c r="BH8" s="43" t="str">
        <f t="shared" si="2"/>
        <v>s</v>
      </c>
      <c r="BI8" s="43" t="str">
        <f t="shared" si="2"/>
        <v>t</v>
      </c>
      <c r="BJ8" s="43" t="str">
        <f t="shared" si="2"/>
        <v>q</v>
      </c>
      <c r="BK8" s="43" t="str">
        <f t="shared" si="2"/>
        <v>q</v>
      </c>
      <c r="BL8" s="43" t="str">
        <f t="shared" si="2"/>
        <v>s</v>
      </c>
      <c r="BM8" s="43" t="str">
        <f t="shared" si="2"/>
        <v>s</v>
      </c>
      <c r="BN8" s="43" t="str">
        <f t="shared" si="2"/>
        <v>d</v>
      </c>
    </row>
    <row r="9" spans="1:66" ht="30" hidden="1" customHeight="1" x14ac:dyDescent="0.25">
      <c r="A9" s="35" t="s">
        <v>140</v>
      </c>
      <c r="E9" s="44"/>
      <c r="G9"/>
      <c r="J9">
        <f>IF(OR(ISBLANK(início_da_tarefa),ISBLANK(término_da_tarefa)),"",término_da_tarefa-início_da_tarefa+1)</f>
        <v>4</v>
      </c>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14" customFormat="1" ht="30" customHeight="1" thickBot="1" x14ac:dyDescent="0.3">
      <c r="A10" s="30" t="s">
        <v>141</v>
      </c>
      <c r="B10" s="30"/>
      <c r="C10" s="30"/>
      <c r="D10" s="46" t="s">
        <v>44</v>
      </c>
      <c r="E10" s="47"/>
      <c r="F10" s="48"/>
      <c r="G10" s="49"/>
      <c r="H10" s="50"/>
      <c r="I10" s="51"/>
      <c r="J10" s="51">
        <f t="shared" ref="J10:J35" si="3">IF(OR(ISBLANK(início_da_tarefa),ISBLANK(término_da_tarefa)),"",término_da_tarefa-início_da_tarefa+1)</f>
        <v>3</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4" customFormat="1" ht="30" customHeight="1" thickBot="1" x14ac:dyDescent="0.3">
      <c r="A11" s="30" t="s">
        <v>142</v>
      </c>
      <c r="B11" s="30"/>
      <c r="C11" s="30"/>
      <c r="D11" s="52" t="s">
        <v>42</v>
      </c>
      <c r="E11" s="53"/>
      <c r="F11" s="54"/>
      <c r="G11" s="55">
        <f>Início_do_projeto</f>
        <v>45160</v>
      </c>
      <c r="H11" s="55">
        <f>G11+3</f>
        <v>45163</v>
      </c>
      <c r="I11" s="51"/>
      <c r="J11" s="51">
        <f t="shared" si="3"/>
        <v>5</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row>
    <row r="12" spans="1:66" s="14" customFormat="1" ht="30" customHeight="1" thickBot="1" x14ac:dyDescent="0.3">
      <c r="A12" s="30" t="s">
        <v>144</v>
      </c>
      <c r="B12" s="30"/>
      <c r="C12" s="30"/>
      <c r="D12" s="52" t="s">
        <v>145</v>
      </c>
      <c r="E12" s="53"/>
      <c r="F12" s="54"/>
      <c r="G12" s="55"/>
      <c r="H12" s="55"/>
      <c r="I12" s="51"/>
      <c r="J12" s="51">
        <f t="shared" si="3"/>
        <v>6</v>
      </c>
      <c r="K12" s="45"/>
      <c r="L12" s="45"/>
      <c r="M12" s="45"/>
      <c r="N12" s="45"/>
      <c r="O12" s="45"/>
      <c r="P12" s="45"/>
      <c r="Q12" s="45"/>
      <c r="R12" s="45"/>
      <c r="S12" s="45"/>
      <c r="T12" s="45"/>
      <c r="U12" s="45"/>
      <c r="V12" s="45"/>
      <c r="W12" s="56"/>
      <c r="X12" s="56"/>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14" customFormat="1" ht="30" customHeight="1" thickBot="1" x14ac:dyDescent="0.3">
      <c r="A13" s="35"/>
      <c r="B13" s="35"/>
      <c r="C13" s="35"/>
      <c r="D13" s="52" t="s">
        <v>146</v>
      </c>
      <c r="E13" s="53"/>
      <c r="F13" s="54"/>
      <c r="G13" s="55"/>
      <c r="H13" s="55"/>
      <c r="I13" s="51"/>
      <c r="J13" s="51">
        <f t="shared" si="3"/>
        <v>3</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14" customFormat="1" ht="30" customHeight="1" thickBot="1" x14ac:dyDescent="0.3">
      <c r="A14" s="35"/>
      <c r="B14" s="35"/>
      <c r="C14" s="35"/>
      <c r="D14" s="52" t="s">
        <v>147</v>
      </c>
      <c r="E14" s="53"/>
      <c r="F14" s="54"/>
      <c r="G14" s="55"/>
      <c r="H14" s="55"/>
      <c r="I14" s="51"/>
      <c r="J14" s="51" t="str">
        <f t="shared" si="3"/>
        <v/>
      </c>
      <c r="K14" s="45"/>
      <c r="L14" s="45"/>
      <c r="M14" s="45"/>
      <c r="N14" s="45"/>
      <c r="O14" s="45"/>
      <c r="P14" s="45"/>
      <c r="Q14" s="45"/>
      <c r="R14" s="45"/>
      <c r="S14" s="45"/>
      <c r="T14" s="45"/>
      <c r="U14" s="45"/>
      <c r="V14" s="45"/>
      <c r="W14" s="45"/>
      <c r="X14" s="45"/>
      <c r="Y14" s="45"/>
      <c r="Z14" s="45"/>
      <c r="AA14" s="56"/>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4" customFormat="1" ht="30" customHeight="1" thickBot="1" x14ac:dyDescent="0.3">
      <c r="A15" s="35"/>
      <c r="B15" s="35"/>
      <c r="C15" s="35"/>
      <c r="D15" s="52" t="s">
        <v>148</v>
      </c>
      <c r="E15" s="53"/>
      <c r="F15" s="54"/>
      <c r="G15" s="55"/>
      <c r="H15" s="55"/>
      <c r="I15" s="51"/>
      <c r="J15" s="51">
        <f t="shared" si="3"/>
        <v>5</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14" customFormat="1" ht="30" customHeight="1" thickBot="1" x14ac:dyDescent="0.3">
      <c r="A16" s="30" t="s">
        <v>149</v>
      </c>
      <c r="B16" s="30"/>
      <c r="C16" s="30"/>
      <c r="D16" s="57" t="s">
        <v>150</v>
      </c>
      <c r="E16" s="58"/>
      <c r="F16" s="59"/>
      <c r="G16" s="60"/>
      <c r="H16" s="61"/>
      <c r="I16" s="51"/>
      <c r="J16" s="51">
        <f t="shared" si="3"/>
        <v>6</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14" customFormat="1" ht="30" customHeight="1" thickBot="1" x14ac:dyDescent="0.3">
      <c r="A17" s="30"/>
      <c r="B17" s="30"/>
      <c r="C17" s="30"/>
      <c r="D17" s="62" t="s">
        <v>143</v>
      </c>
      <c r="E17" s="63"/>
      <c r="F17" s="64"/>
      <c r="G17" s="65"/>
      <c r="H17" s="65"/>
      <c r="I17" s="51"/>
      <c r="J17" s="51">
        <f t="shared" si="3"/>
        <v>4</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row>
    <row r="18" spans="1:66" s="14" customFormat="1" ht="30" customHeight="1" thickBot="1" x14ac:dyDescent="0.3">
      <c r="A18" s="35"/>
      <c r="B18" s="35"/>
      <c r="C18" s="35"/>
      <c r="D18" s="62" t="s">
        <v>145</v>
      </c>
      <c r="E18" s="63"/>
      <c r="F18" s="64"/>
      <c r="G18" s="65"/>
      <c r="H18" s="65"/>
      <c r="I18" s="51"/>
      <c r="J18" s="51">
        <f t="shared" si="3"/>
        <v>3</v>
      </c>
      <c r="K18" s="45"/>
      <c r="L18" s="45"/>
      <c r="M18" s="45"/>
      <c r="N18" s="45"/>
      <c r="O18" s="45"/>
      <c r="P18" s="45"/>
      <c r="Q18" s="45"/>
      <c r="R18" s="45"/>
      <c r="S18" s="45"/>
      <c r="T18" s="45"/>
      <c r="U18" s="45"/>
      <c r="V18" s="45"/>
      <c r="W18" s="56"/>
      <c r="X18" s="56"/>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row>
    <row r="19" spans="1:66" s="14" customFormat="1" ht="30" customHeight="1" thickBot="1" x14ac:dyDescent="0.3">
      <c r="A19" s="35"/>
      <c r="B19" s="35"/>
      <c r="C19" s="35"/>
      <c r="D19" s="62" t="s">
        <v>146</v>
      </c>
      <c r="E19" s="63"/>
      <c r="F19" s="64"/>
      <c r="G19" s="65"/>
      <c r="H19" s="65"/>
      <c r="I19" s="51"/>
      <c r="J19" s="51">
        <f t="shared" si="3"/>
        <v>4</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4" customFormat="1" ht="30" customHeight="1" thickBot="1" x14ac:dyDescent="0.3">
      <c r="A20" s="35"/>
      <c r="B20" s="35"/>
      <c r="C20" s="35"/>
      <c r="D20" s="62" t="s">
        <v>147</v>
      </c>
      <c r="E20" s="63"/>
      <c r="F20" s="64"/>
      <c r="G20" s="65"/>
      <c r="H20" s="65"/>
      <c r="I20" s="51"/>
      <c r="J20" s="51" t="str">
        <f t="shared" si="3"/>
        <v/>
      </c>
      <c r="K20" s="45"/>
      <c r="L20" s="45"/>
      <c r="M20" s="45"/>
      <c r="N20" s="45"/>
      <c r="O20" s="45"/>
      <c r="P20" s="45"/>
      <c r="Q20" s="45"/>
      <c r="R20" s="45"/>
      <c r="S20" s="45"/>
      <c r="T20" s="45"/>
      <c r="U20" s="45"/>
      <c r="V20" s="45"/>
      <c r="W20" s="45"/>
      <c r="X20" s="45"/>
      <c r="Y20" s="45"/>
      <c r="Z20" s="45"/>
      <c r="AA20" s="56"/>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14" customFormat="1" ht="30" customHeight="1" thickBot="1" x14ac:dyDescent="0.3">
      <c r="A21" s="35"/>
      <c r="B21" s="35"/>
      <c r="C21" s="35"/>
      <c r="D21" s="62" t="s">
        <v>148</v>
      </c>
      <c r="E21" s="63"/>
      <c r="F21" s="64"/>
      <c r="G21" s="65"/>
      <c r="H21" s="65"/>
      <c r="I21" s="51"/>
      <c r="J21" s="51">
        <f t="shared" si="3"/>
        <v>6</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row>
    <row r="22" spans="1:66" s="14" customFormat="1" ht="30" customHeight="1" thickBot="1" x14ac:dyDescent="0.3">
      <c r="A22" s="35" t="s">
        <v>151</v>
      </c>
      <c r="B22" s="35"/>
      <c r="C22" s="35"/>
      <c r="D22" s="66" t="s">
        <v>152</v>
      </c>
      <c r="E22" s="67"/>
      <c r="F22" s="68"/>
      <c r="G22" s="69"/>
      <c r="H22" s="70"/>
      <c r="I22" s="51"/>
      <c r="J22" s="51">
        <f t="shared" si="3"/>
        <v>5</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14" customFormat="1" ht="30" customHeight="1" thickBot="1" x14ac:dyDescent="0.3">
      <c r="A23" s="35"/>
      <c r="B23" s="35"/>
      <c r="C23" s="35"/>
      <c r="D23" s="71" t="s">
        <v>143</v>
      </c>
      <c r="E23" s="72"/>
      <c r="F23" s="73"/>
      <c r="G23" s="74"/>
      <c r="H23" s="74"/>
      <c r="I23" s="51"/>
      <c r="J23" s="51">
        <f t="shared" si="3"/>
        <v>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4" customFormat="1" ht="30" customHeight="1" thickBot="1" x14ac:dyDescent="0.3">
      <c r="A24" s="35"/>
      <c r="B24" s="35"/>
      <c r="C24" s="35"/>
      <c r="D24" s="71" t="s">
        <v>145</v>
      </c>
      <c r="E24" s="72"/>
      <c r="F24" s="73"/>
      <c r="G24" s="74"/>
      <c r="H24" s="74"/>
      <c r="I24" s="51"/>
      <c r="J24" s="51">
        <f t="shared" si="3"/>
        <v>5</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row>
    <row r="25" spans="1:66" s="14" customFormat="1" ht="30" customHeight="1" thickBot="1" x14ac:dyDescent="0.3">
      <c r="A25" s="35"/>
      <c r="B25" s="35"/>
      <c r="C25" s="35"/>
      <c r="D25" s="71" t="s">
        <v>146</v>
      </c>
      <c r="E25" s="72"/>
      <c r="F25" s="73"/>
      <c r="G25" s="74"/>
      <c r="H25" s="74"/>
      <c r="I25" s="51"/>
      <c r="J25" s="51">
        <f t="shared" si="3"/>
        <v>5</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6" s="14" customFormat="1" ht="30" customHeight="1" thickBot="1" x14ac:dyDescent="0.3">
      <c r="A26" s="35"/>
      <c r="B26" s="35"/>
      <c r="C26" s="35"/>
      <c r="D26" s="71" t="s">
        <v>147</v>
      </c>
      <c r="E26" s="72"/>
      <c r="F26" s="73"/>
      <c r="G26" s="74"/>
      <c r="H26" s="74"/>
      <c r="I26" s="51"/>
      <c r="J26" s="51" t="str">
        <f t="shared" si="3"/>
        <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14" customFormat="1" ht="30" customHeight="1" thickBot="1" x14ac:dyDescent="0.3">
      <c r="A27" s="35"/>
      <c r="B27" s="35"/>
      <c r="C27" s="35"/>
      <c r="D27" s="71" t="s">
        <v>148</v>
      </c>
      <c r="E27" s="72"/>
      <c r="F27" s="73"/>
      <c r="G27" s="74"/>
      <c r="H27" s="74"/>
      <c r="I27" s="51"/>
      <c r="J27" s="51" t="e">
        <f t="shared" si="3"/>
        <v>#VALUE!</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row>
    <row r="28" spans="1:66" s="14" customFormat="1" ht="30" customHeight="1" thickBot="1" x14ac:dyDescent="0.3">
      <c r="A28" s="35" t="s">
        <v>151</v>
      </c>
      <c r="B28" s="35"/>
      <c r="C28" s="35"/>
      <c r="D28" s="75" t="s">
        <v>153</v>
      </c>
      <c r="E28" s="76"/>
      <c r="F28" s="77"/>
      <c r="G28" s="78"/>
      <c r="H28" s="79"/>
      <c r="I28" s="51"/>
      <c r="J28" s="51" t="e">
        <f t="shared" si="3"/>
        <v>#VALUE!</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6" s="14" customFormat="1" ht="30" customHeight="1" thickBot="1" x14ac:dyDescent="0.3">
      <c r="A29" s="35"/>
      <c r="B29" s="35"/>
      <c r="C29" s="35"/>
      <c r="D29" s="80" t="s">
        <v>143</v>
      </c>
      <c r="E29" s="81"/>
      <c r="F29" s="82"/>
      <c r="G29" s="83" t="s">
        <v>154</v>
      </c>
      <c r="H29" s="83" t="s">
        <v>154</v>
      </c>
      <c r="I29" s="51"/>
      <c r="J29" s="51" t="e">
        <f t="shared" si="3"/>
        <v>#VALUE!</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6" s="14" customFormat="1" ht="30" customHeight="1" thickBot="1" x14ac:dyDescent="0.3">
      <c r="A30" s="35"/>
      <c r="B30" s="35"/>
      <c r="C30" s="35"/>
      <c r="D30" s="80" t="s">
        <v>145</v>
      </c>
      <c r="E30" s="81"/>
      <c r="F30" s="82"/>
      <c r="G30" s="83" t="s">
        <v>154</v>
      </c>
      <c r="H30" s="83" t="s">
        <v>154</v>
      </c>
      <c r="I30" s="51"/>
      <c r="J30" s="51" t="e">
        <f t="shared" si="3"/>
        <v>#VALUE!</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14" customFormat="1" ht="30" customHeight="1" thickBot="1" x14ac:dyDescent="0.3">
      <c r="A31" s="35"/>
      <c r="B31" s="35"/>
      <c r="C31" s="35"/>
      <c r="D31" s="80" t="s">
        <v>146</v>
      </c>
      <c r="E31" s="81"/>
      <c r="F31" s="82"/>
      <c r="G31" s="83" t="s">
        <v>154</v>
      </c>
      <c r="H31" s="83" t="s">
        <v>154</v>
      </c>
      <c r="I31" s="51"/>
      <c r="J31" s="51" t="e">
        <f t="shared" si="3"/>
        <v>#VALUE!</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6" s="14" customFormat="1" ht="30" customHeight="1" thickBot="1" x14ac:dyDescent="0.3">
      <c r="A32" s="35"/>
      <c r="B32" s="35"/>
      <c r="C32" s="35"/>
      <c r="D32" s="80" t="s">
        <v>147</v>
      </c>
      <c r="E32" s="81"/>
      <c r="F32" s="82"/>
      <c r="G32" s="83" t="s">
        <v>154</v>
      </c>
      <c r="H32" s="83" t="s">
        <v>154</v>
      </c>
      <c r="I32" s="51"/>
      <c r="J32" s="51" t="str">
        <f t="shared" si="3"/>
        <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66" s="14" customFormat="1" ht="30" customHeight="1" thickBot="1" x14ac:dyDescent="0.3">
      <c r="A33" s="35"/>
      <c r="B33" s="35"/>
      <c r="C33" s="35"/>
      <c r="D33" s="80" t="s">
        <v>148</v>
      </c>
      <c r="E33" s="81"/>
      <c r="F33" s="82"/>
      <c r="G33" s="83" t="s">
        <v>154</v>
      </c>
      <c r="H33" s="83" t="s">
        <v>154</v>
      </c>
      <c r="I33" s="51"/>
      <c r="J33" s="51" t="str">
        <f t="shared" si="3"/>
        <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14" customFormat="1" ht="30" customHeight="1" thickBot="1" x14ac:dyDescent="0.3">
      <c r="A34" s="35" t="s">
        <v>155</v>
      </c>
      <c r="B34" s="35"/>
      <c r="C34" s="35"/>
      <c r="D34" s="84"/>
      <c r="E34" s="85"/>
      <c r="F34" s="86"/>
      <c r="G34" s="87"/>
      <c r="H34" s="87"/>
      <c r="I34" s="51"/>
      <c r="J34" s="51" t="str">
        <f t="shared" si="3"/>
        <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row>
    <row r="35" spans="1:66" s="14" customFormat="1" ht="30" customHeight="1" thickBot="1" x14ac:dyDescent="0.3">
      <c r="A35" s="30" t="s">
        <v>156</v>
      </c>
      <c r="B35" s="30"/>
      <c r="C35" s="30"/>
      <c r="D35" s="88" t="s">
        <v>157</v>
      </c>
      <c r="E35" s="89"/>
      <c r="F35" s="90"/>
      <c r="G35" s="91"/>
      <c r="H35" s="92"/>
      <c r="I35" s="93"/>
      <c r="J35" s="93" t="str">
        <f t="shared" si="3"/>
        <v/>
      </c>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ht="30" customHeight="1" x14ac:dyDescent="0.25">
      <c r="I36" s="95"/>
    </row>
    <row r="37" spans="1:66" ht="30" customHeight="1" x14ac:dyDescent="0.25">
      <c r="E37" s="96"/>
      <c r="H37" s="97"/>
    </row>
    <row r="38" spans="1:66" ht="30" customHeight="1" x14ac:dyDescent="0.25">
      <c r="E38" s="98"/>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71379-9CB8-4E4D-91CB-2C1F2B1FFE49}">
  <sheetPr>
    <pageSetUpPr fitToPage="1"/>
  </sheetPr>
  <dimension ref="A1:T40"/>
  <sheetViews>
    <sheetView showGridLines="0" zoomScale="80" zoomScaleNormal="80" workbookViewId="0">
      <selection activeCell="E10" sqref="E10"/>
    </sheetView>
  </sheetViews>
  <sheetFormatPr defaultColWidth="0" defaultRowHeight="15.75" x14ac:dyDescent="0.25"/>
  <cols>
    <col min="1" max="1" width="2.5703125" style="102" customWidth="1"/>
    <col min="2" max="2" width="9.28515625" style="101" customWidth="1"/>
    <col min="3" max="3" width="13.28515625" style="101" customWidth="1"/>
    <col min="4" max="4" width="24.7109375" style="102" customWidth="1"/>
    <col min="5" max="11" width="14.7109375" style="102" customWidth="1"/>
    <col min="12" max="12" width="2.5703125" style="102" customWidth="1"/>
    <col min="13" max="13" width="9" style="102" hidden="1" customWidth="1"/>
    <col min="14" max="17" width="0" style="102" hidden="1" customWidth="1"/>
    <col min="18" max="18" width="2.5703125" style="102" hidden="1" customWidth="1"/>
    <col min="19" max="20" width="9" style="102" hidden="1" customWidth="1"/>
    <col min="21" max="16384" width="0" style="102" hidden="1"/>
  </cols>
  <sheetData>
    <row r="1" spans="1:11" x14ac:dyDescent="0.25">
      <c r="A1" s="100"/>
      <c r="B1" s="100"/>
    </row>
    <row r="2" spans="1:11" s="103" customFormat="1" ht="22.5" x14ac:dyDescent="0.2">
      <c r="B2" s="104" t="s">
        <v>165</v>
      </c>
      <c r="C2" s="105"/>
      <c r="D2" s="106"/>
      <c r="E2" s="106"/>
      <c r="F2" s="106"/>
      <c r="G2" s="106"/>
      <c r="H2" s="106"/>
      <c r="I2" s="107"/>
      <c r="J2" s="107" t="s">
        <v>166</v>
      </c>
      <c r="K2" s="108"/>
    </row>
    <row r="3" spans="1:11" x14ac:dyDescent="0.25">
      <c r="B3" s="109"/>
      <c r="C3" s="110"/>
      <c r="D3" s="111"/>
      <c r="E3" s="111"/>
      <c r="F3" s="111"/>
      <c r="G3" s="111"/>
      <c r="H3" s="111"/>
      <c r="I3" s="111"/>
      <c r="J3" s="111"/>
      <c r="K3" s="111"/>
    </row>
    <row r="4" spans="1:11" s="112" customFormat="1" ht="22.5" x14ac:dyDescent="0.3">
      <c r="B4" s="113"/>
      <c r="C4" s="114">
        <v>1</v>
      </c>
      <c r="D4" s="115" t="s">
        <v>167</v>
      </c>
      <c r="E4" s="116"/>
      <c r="F4" s="117" t="s">
        <v>168</v>
      </c>
      <c r="G4" s="118"/>
      <c r="H4" s="118"/>
      <c r="I4" s="118"/>
      <c r="J4" s="118"/>
      <c r="K4" s="118"/>
    </row>
    <row r="5" spans="1:11" s="112" customFormat="1" ht="22.5" x14ac:dyDescent="0.3">
      <c r="B5" s="113"/>
      <c r="C5" s="114">
        <f>C4+1</f>
        <v>2</v>
      </c>
      <c r="D5" s="115" t="s">
        <v>169</v>
      </c>
      <c r="E5" s="116"/>
      <c r="F5" s="227" t="s">
        <v>170</v>
      </c>
      <c r="G5" s="227"/>
      <c r="H5" s="227"/>
      <c r="I5" s="227"/>
      <c r="J5" s="227"/>
      <c r="K5" s="227"/>
    </row>
    <row r="6" spans="1:11" s="112" customFormat="1" ht="22.5" x14ac:dyDescent="0.3">
      <c r="B6" s="113"/>
      <c r="C6" s="114">
        <f t="shared" ref="C6:C8" si="0">C5+1</f>
        <v>3</v>
      </c>
      <c r="D6" s="115" t="s">
        <v>171</v>
      </c>
      <c r="E6" s="116"/>
      <c r="F6" s="227" t="s">
        <v>172</v>
      </c>
      <c r="G6" s="227"/>
      <c r="H6" s="227"/>
      <c r="I6" s="227"/>
      <c r="J6" s="227"/>
      <c r="K6" s="227"/>
    </row>
    <row r="7" spans="1:11" s="112" customFormat="1" ht="22.5" x14ac:dyDescent="0.3">
      <c r="B7" s="113"/>
      <c r="C7" s="114">
        <f t="shared" si="0"/>
        <v>4</v>
      </c>
      <c r="D7" s="115" t="s">
        <v>173</v>
      </c>
      <c r="E7" s="116"/>
      <c r="F7" s="227" t="s">
        <v>174</v>
      </c>
      <c r="G7" s="227"/>
      <c r="H7" s="227"/>
      <c r="I7" s="227"/>
      <c r="J7" s="227"/>
      <c r="K7" s="227"/>
    </row>
    <row r="8" spans="1:11" s="112" customFormat="1" ht="22.5" x14ac:dyDescent="0.3">
      <c r="B8" s="113"/>
      <c r="C8" s="114">
        <f t="shared" si="0"/>
        <v>5</v>
      </c>
      <c r="D8" s="115" t="s">
        <v>175</v>
      </c>
      <c r="E8" s="116"/>
      <c r="F8" s="117" t="s">
        <v>176</v>
      </c>
      <c r="G8" s="116"/>
      <c r="H8" s="118"/>
      <c r="I8" s="118"/>
      <c r="J8" s="118"/>
      <c r="K8" s="118"/>
    </row>
    <row r="9" spans="1:11" s="112" customFormat="1" ht="22.5" x14ac:dyDescent="0.3">
      <c r="B9" s="113"/>
      <c r="C9" s="114"/>
      <c r="D9" s="115"/>
      <c r="E9" s="116"/>
      <c r="F9" s="117"/>
      <c r="G9" s="116"/>
      <c r="H9" s="118"/>
      <c r="I9" s="118"/>
      <c r="J9" s="118"/>
      <c r="K9" s="118"/>
    </row>
    <row r="10" spans="1:11" x14ac:dyDescent="0.25">
      <c r="B10" s="119"/>
      <c r="C10" s="120"/>
      <c r="D10" s="121" t="s">
        <v>177</v>
      </c>
      <c r="E10" s="122" t="s">
        <v>178</v>
      </c>
      <c r="F10" s="121"/>
      <c r="G10" s="121"/>
      <c r="H10" s="121"/>
      <c r="I10" s="121"/>
      <c r="J10" s="121"/>
      <c r="K10" s="121"/>
    </row>
    <row r="11" spans="1:11" x14ac:dyDescent="0.25">
      <c r="B11" s="123"/>
      <c r="C11" s="124"/>
      <c r="D11" s="125"/>
      <c r="E11" s="125"/>
      <c r="F11" s="125"/>
      <c r="G11" s="125"/>
      <c r="H11" s="125"/>
      <c r="I11" s="125"/>
      <c r="J11" s="125"/>
      <c r="K11" s="125"/>
    </row>
    <row r="14" spans="1:11" ht="22.5" x14ac:dyDescent="0.25">
      <c r="B14" s="228" t="s">
        <v>179</v>
      </c>
      <c r="C14" s="228"/>
      <c r="D14" s="228"/>
      <c r="E14" s="228"/>
      <c r="F14" s="228"/>
      <c r="G14" s="228"/>
      <c r="H14" s="228"/>
      <c r="I14" s="228"/>
      <c r="J14" s="228"/>
      <c r="K14" s="228"/>
    </row>
    <row r="15" spans="1:11" ht="16.5" thickBot="1" x14ac:dyDescent="0.3">
      <c r="B15" s="126" t="s">
        <v>180</v>
      </c>
      <c r="C15" s="126" t="s">
        <v>181</v>
      </c>
      <c r="D15" s="126" t="s">
        <v>182</v>
      </c>
      <c r="E15" s="229" t="s">
        <v>183</v>
      </c>
      <c r="F15" s="229"/>
      <c r="G15" s="229"/>
      <c r="H15" s="229"/>
      <c r="I15" s="229"/>
      <c r="J15" s="229"/>
      <c r="K15" s="229"/>
    </row>
    <row r="16" spans="1:11" ht="16.5" thickBot="1" x14ac:dyDescent="0.3">
      <c r="B16" s="128">
        <v>1</v>
      </c>
      <c r="C16" s="129">
        <v>45216</v>
      </c>
      <c r="D16" s="130" t="s">
        <v>184</v>
      </c>
      <c r="E16" s="226"/>
      <c r="F16" s="226"/>
      <c r="G16" s="226"/>
      <c r="H16" s="226"/>
      <c r="I16" s="226"/>
      <c r="J16" s="226"/>
      <c r="K16" s="226"/>
    </row>
    <row r="17" spans="2:11" x14ac:dyDescent="0.25">
      <c r="B17" s="128">
        <v>2</v>
      </c>
      <c r="C17" s="132">
        <v>45217</v>
      </c>
      <c r="D17" s="133" t="s">
        <v>185</v>
      </c>
      <c r="E17" s="226"/>
      <c r="F17" s="226"/>
      <c r="G17" s="226"/>
      <c r="H17" s="226"/>
      <c r="I17" s="226"/>
      <c r="J17" s="226"/>
      <c r="K17" s="226"/>
    </row>
    <row r="18" spans="2:11" x14ac:dyDescent="0.25">
      <c r="B18" s="134"/>
      <c r="C18" s="134"/>
      <c r="D18" s="134"/>
      <c r="E18" s="226"/>
      <c r="F18" s="226"/>
      <c r="G18" s="226"/>
      <c r="H18" s="226"/>
      <c r="I18" s="226"/>
      <c r="J18" s="226"/>
      <c r="K18" s="226"/>
    </row>
    <row r="20" spans="2:11" s="135" customFormat="1" ht="22.5" x14ac:dyDescent="0.25">
      <c r="B20" s="228" t="s">
        <v>186</v>
      </c>
      <c r="C20" s="228"/>
      <c r="D20" s="228">
        <f ca="1">TODAY()</f>
        <v>45936</v>
      </c>
      <c r="E20" s="228"/>
      <c r="F20" s="228"/>
      <c r="G20" s="228"/>
      <c r="H20" s="228"/>
      <c r="I20" s="228"/>
      <c r="J20" s="228"/>
      <c r="K20" s="228"/>
    </row>
    <row r="21" spans="2:11" s="137" customFormat="1" ht="15" x14ac:dyDescent="0.25">
      <c r="B21" s="136" t="s">
        <v>187</v>
      </c>
      <c r="C21" s="136" t="s">
        <v>188</v>
      </c>
      <c r="D21" s="136" t="s">
        <v>189</v>
      </c>
      <c r="E21" s="232" t="s">
        <v>190</v>
      </c>
      <c r="F21" s="232"/>
      <c r="G21" s="232"/>
      <c r="H21" s="232"/>
      <c r="I21" s="232"/>
      <c r="J21" s="232"/>
      <c r="K21" s="232"/>
    </row>
    <row r="22" spans="2:11" s="135" customFormat="1" ht="15" x14ac:dyDescent="0.25">
      <c r="B22" s="138">
        <v>0</v>
      </c>
      <c r="C22" s="139" t="s">
        <v>191</v>
      </c>
      <c r="D22" s="140" t="s">
        <v>192</v>
      </c>
      <c r="E22" s="231" t="s">
        <v>193</v>
      </c>
      <c r="F22" s="231"/>
      <c r="G22" s="231"/>
      <c r="H22" s="231"/>
      <c r="I22" s="231"/>
      <c r="J22" s="231"/>
      <c r="K22" s="231"/>
    </row>
    <row r="23" spans="2:11" s="135" customFormat="1" ht="15" x14ac:dyDescent="0.25">
      <c r="B23" s="138">
        <v>1</v>
      </c>
      <c r="C23" s="139" t="s">
        <v>169</v>
      </c>
      <c r="D23" s="140" t="s">
        <v>194</v>
      </c>
      <c r="E23" s="231" t="s">
        <v>195</v>
      </c>
      <c r="F23" s="231"/>
      <c r="G23" s="231"/>
      <c r="H23" s="231"/>
      <c r="I23" s="231"/>
      <c r="J23" s="231"/>
      <c r="K23" s="231"/>
    </row>
    <row r="24" spans="2:11" s="135" customFormat="1" ht="34.5" customHeight="1" x14ac:dyDescent="0.25">
      <c r="B24" s="138">
        <f>B23+1</f>
        <v>2</v>
      </c>
      <c r="C24" s="139" t="s">
        <v>169</v>
      </c>
      <c r="D24" s="140" t="s">
        <v>194</v>
      </c>
      <c r="E24" s="230" t="s">
        <v>196</v>
      </c>
      <c r="F24" s="231"/>
      <c r="G24" s="231"/>
      <c r="H24" s="231"/>
      <c r="I24" s="231"/>
      <c r="J24" s="231"/>
      <c r="K24" s="231"/>
    </row>
    <row r="25" spans="2:11" s="135" customFormat="1" x14ac:dyDescent="0.25">
      <c r="B25" s="138">
        <f t="shared" ref="B25:B34" si="1">B24+1</f>
        <v>3</v>
      </c>
      <c r="C25" s="139" t="s">
        <v>169</v>
      </c>
      <c r="D25" s="140" t="s">
        <v>194</v>
      </c>
      <c r="E25" s="230" t="s">
        <v>197</v>
      </c>
      <c r="F25" s="231"/>
      <c r="G25" s="231"/>
      <c r="H25" s="231"/>
      <c r="I25" s="231"/>
      <c r="J25" s="231"/>
      <c r="K25" s="231"/>
    </row>
    <row r="26" spans="2:11" s="135" customFormat="1" x14ac:dyDescent="0.25">
      <c r="B26" s="138">
        <f t="shared" si="1"/>
        <v>4</v>
      </c>
      <c r="C26" s="139" t="s">
        <v>169</v>
      </c>
      <c r="D26" s="140" t="s">
        <v>194</v>
      </c>
      <c r="E26" s="230" t="s">
        <v>198</v>
      </c>
      <c r="F26" s="231"/>
      <c r="G26" s="231"/>
      <c r="H26" s="231"/>
      <c r="I26" s="231"/>
      <c r="J26" s="231"/>
      <c r="K26" s="231"/>
    </row>
    <row r="27" spans="2:11" s="135" customFormat="1" x14ac:dyDescent="0.25">
      <c r="B27" s="138">
        <f t="shared" si="1"/>
        <v>5</v>
      </c>
      <c r="C27" s="139" t="s">
        <v>169</v>
      </c>
      <c r="D27" s="140" t="s">
        <v>194</v>
      </c>
      <c r="E27" s="230" t="s">
        <v>199</v>
      </c>
      <c r="F27" s="231"/>
      <c r="G27" s="231"/>
      <c r="H27" s="231"/>
      <c r="I27" s="231"/>
      <c r="J27" s="231"/>
      <c r="K27" s="231"/>
    </row>
    <row r="28" spans="2:11" s="135" customFormat="1" x14ac:dyDescent="0.25">
      <c r="B28" s="138">
        <f t="shared" si="1"/>
        <v>6</v>
      </c>
      <c r="C28" s="139" t="s">
        <v>169</v>
      </c>
      <c r="D28" s="140" t="s">
        <v>194</v>
      </c>
      <c r="E28" s="230" t="s">
        <v>200</v>
      </c>
      <c r="F28" s="231"/>
      <c r="G28" s="231"/>
      <c r="H28" s="231"/>
      <c r="I28" s="231"/>
      <c r="J28" s="231"/>
      <c r="K28" s="231"/>
    </row>
    <row r="29" spans="2:11" s="135" customFormat="1" x14ac:dyDescent="0.25">
      <c r="B29" s="138">
        <f t="shared" si="1"/>
        <v>7</v>
      </c>
      <c r="C29" s="139" t="s">
        <v>169</v>
      </c>
      <c r="D29" s="140" t="s">
        <v>194</v>
      </c>
      <c r="E29" s="230" t="s">
        <v>201</v>
      </c>
      <c r="F29" s="231"/>
      <c r="G29" s="231"/>
      <c r="H29" s="231"/>
      <c r="I29" s="231"/>
      <c r="J29" s="231"/>
      <c r="K29" s="231"/>
    </row>
    <row r="30" spans="2:11" s="135" customFormat="1" ht="15" x14ac:dyDescent="0.25">
      <c r="B30" s="138">
        <f t="shared" si="1"/>
        <v>8</v>
      </c>
      <c r="C30" s="139" t="s">
        <v>171</v>
      </c>
      <c r="D30" s="140" t="s">
        <v>194</v>
      </c>
      <c r="E30" s="231" t="s">
        <v>202</v>
      </c>
      <c r="F30" s="231"/>
      <c r="G30" s="231"/>
      <c r="H30" s="231"/>
      <c r="I30" s="231"/>
      <c r="J30" s="231"/>
      <c r="K30" s="231"/>
    </row>
    <row r="31" spans="2:11" s="135" customFormat="1" ht="15" x14ac:dyDescent="0.25">
      <c r="B31" s="138">
        <f t="shared" si="1"/>
        <v>9</v>
      </c>
      <c r="C31" s="139"/>
      <c r="D31" s="140"/>
      <c r="E31" s="231"/>
      <c r="F31" s="231"/>
      <c r="G31" s="231"/>
      <c r="H31" s="231"/>
      <c r="I31" s="231"/>
      <c r="J31" s="231"/>
      <c r="K31" s="231"/>
    </row>
    <row r="32" spans="2:11" s="135" customFormat="1" ht="15" x14ac:dyDescent="0.25">
      <c r="B32" s="138">
        <f t="shared" si="1"/>
        <v>10</v>
      </c>
      <c r="C32" s="139"/>
      <c r="D32" s="140"/>
      <c r="E32" s="231"/>
      <c r="F32" s="231"/>
      <c r="G32" s="231"/>
      <c r="H32" s="231"/>
      <c r="I32" s="231"/>
      <c r="J32" s="231"/>
      <c r="K32" s="231"/>
    </row>
    <row r="33" spans="2:11" s="135" customFormat="1" ht="15" x14ac:dyDescent="0.25">
      <c r="B33" s="138">
        <f t="shared" si="1"/>
        <v>11</v>
      </c>
      <c r="C33" s="139"/>
      <c r="D33" s="140"/>
      <c r="E33" s="231"/>
      <c r="F33" s="231"/>
      <c r="G33" s="231"/>
      <c r="H33" s="231"/>
      <c r="I33" s="231"/>
      <c r="J33" s="231"/>
      <c r="K33" s="231"/>
    </row>
    <row r="34" spans="2:11" s="135" customFormat="1" ht="15" x14ac:dyDescent="0.25">
      <c r="B34" s="138">
        <f t="shared" si="1"/>
        <v>12</v>
      </c>
      <c r="C34" s="139"/>
      <c r="D34" s="140"/>
      <c r="E34" s="231"/>
      <c r="F34" s="231"/>
      <c r="G34" s="231"/>
      <c r="H34" s="231"/>
      <c r="I34" s="231"/>
      <c r="J34" s="231"/>
      <c r="K34" s="231"/>
    </row>
    <row r="36" spans="2:11" ht="22.5" x14ac:dyDescent="0.25">
      <c r="B36" s="228" t="s">
        <v>203</v>
      </c>
      <c r="C36" s="228"/>
      <c r="D36" s="228"/>
      <c r="E36" s="228"/>
      <c r="F36" s="228"/>
      <c r="G36" s="228"/>
      <c r="H36" s="228"/>
      <c r="I36" s="228"/>
      <c r="J36" s="228"/>
      <c r="K36" s="228"/>
    </row>
    <row r="37" spans="2:11" x14ac:dyDescent="0.25">
      <c r="B37" s="126" t="s">
        <v>187</v>
      </c>
      <c r="C37" s="126" t="s">
        <v>181</v>
      </c>
      <c r="D37" s="126" t="s">
        <v>204</v>
      </c>
      <c r="E37" s="229" t="s">
        <v>205</v>
      </c>
      <c r="F37" s="229"/>
      <c r="G37" s="229"/>
      <c r="H37" s="229"/>
      <c r="I37" s="229"/>
      <c r="J37" s="229"/>
      <c r="K37" s="229"/>
    </row>
    <row r="38" spans="2:11" x14ac:dyDescent="0.25">
      <c r="B38" s="134">
        <v>1</v>
      </c>
      <c r="C38" s="134"/>
      <c r="D38" s="131"/>
      <c r="E38" s="226"/>
      <c r="F38" s="226"/>
      <c r="G38" s="226"/>
      <c r="H38" s="226"/>
      <c r="I38" s="226"/>
      <c r="J38" s="226"/>
      <c r="K38" s="226"/>
    </row>
    <row r="39" spans="2:11" x14ac:dyDescent="0.25">
      <c r="B39" s="134">
        <v>2</v>
      </c>
      <c r="C39" s="134"/>
      <c r="D39" s="131"/>
      <c r="E39" s="226"/>
      <c r="F39" s="226"/>
      <c r="G39" s="226"/>
      <c r="H39" s="226"/>
      <c r="I39" s="226"/>
      <c r="J39" s="226"/>
      <c r="K39" s="226"/>
    </row>
    <row r="40" spans="2:11" x14ac:dyDescent="0.25">
      <c r="B40" s="134">
        <v>3</v>
      </c>
      <c r="C40" s="134"/>
      <c r="D40" s="131"/>
      <c r="E40" s="226"/>
      <c r="F40" s="226"/>
      <c r="G40" s="226"/>
      <c r="H40" s="226"/>
      <c r="I40" s="226"/>
      <c r="J40" s="226"/>
      <c r="K40" s="226"/>
    </row>
  </sheetData>
  <mergeCells count="28">
    <mergeCell ref="E37:K37"/>
    <mergeCell ref="E38:K38"/>
    <mergeCell ref="E39:K39"/>
    <mergeCell ref="E40:K40"/>
    <mergeCell ref="E30:K30"/>
    <mergeCell ref="E31:K31"/>
    <mergeCell ref="E32:K32"/>
    <mergeCell ref="E33:K33"/>
    <mergeCell ref="E34:K34"/>
    <mergeCell ref="B36:K36"/>
    <mergeCell ref="E29:K29"/>
    <mergeCell ref="E17:K17"/>
    <mergeCell ref="E18:K18"/>
    <mergeCell ref="B20:K20"/>
    <mergeCell ref="E21:K21"/>
    <mergeCell ref="E22:K22"/>
    <mergeCell ref="E23:K23"/>
    <mergeCell ref="E24:K24"/>
    <mergeCell ref="E25:K25"/>
    <mergeCell ref="E26:K26"/>
    <mergeCell ref="E27:K27"/>
    <mergeCell ref="E28:K28"/>
    <mergeCell ref="E16:K16"/>
    <mergeCell ref="F5:K5"/>
    <mergeCell ref="F6:K6"/>
    <mergeCell ref="F7:K7"/>
    <mergeCell ref="B14:K14"/>
    <mergeCell ref="E15:K15"/>
  </mergeCells>
  <dataValidations count="1">
    <dataValidation showInputMessage="1" showErrorMessage="1" sqref="D22:D34" xr:uid="{5FA5766B-1084-4331-A546-3B70ACBCE644}"/>
  </dataValidations>
  <hyperlinks>
    <hyperlink ref="D5" location="Orcado!A1" display="Orçado" xr:uid="{6CF1AC78-A7A0-48FF-A5C4-DCCEF9EEB033}"/>
    <hyperlink ref="D8" location="Param!A1" display="Paramêtros" xr:uid="{FA419EF3-356A-40A6-AFA5-7E88EAD0EF29}"/>
    <hyperlink ref="D4" location="Capa!A1" display="Instruções" xr:uid="{4138FD45-28C0-41FF-9E36-2F39502B18E8}"/>
    <hyperlink ref="D6" location="Realizado!A1" display="Realizado" xr:uid="{06C01C05-25B4-40BD-BB68-2465FA049A69}"/>
    <hyperlink ref="D7" location="Status!A1" display="Status" xr:uid="{584AF1CF-4B31-4DE6-91AA-49A3FF615EEE}"/>
    <hyperlink ref="E10" r:id="rId1" xr:uid="{6380F8F1-A18A-4AD2-AD75-1E5522FBD1D4}"/>
  </hyperlinks>
  <printOptions horizontalCentered="1" verticalCentered="1"/>
  <pageMargins left="0.51181102362204722" right="0.51181102362204722" top="0.7857142857142857" bottom="0.7857142857142857" header="0.31496062992125984" footer="0.31496062992125984"/>
  <pageSetup paperSize="9" scale="89" orientation="landscape" r:id="rId2"/>
  <headerFooter>
    <oddHeader xml:space="preserve">&amp;L
</oddHeader>
  </headerFooter>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2D84F-8E20-47C4-91E7-58B3B10FF3A6}">
  <dimension ref="B2:Q55"/>
  <sheetViews>
    <sheetView showGridLines="0" tabSelected="1" zoomScale="80" zoomScaleNormal="80" workbookViewId="0">
      <pane xSplit="2" ySplit="4" topLeftCell="C5" activePane="bottomRight" state="frozen"/>
      <selection activeCell="D16" sqref="D16:D17"/>
      <selection pane="topRight" activeCell="D16" sqref="D16:D17"/>
      <selection pane="bottomLeft" activeCell="D16" sqref="D16:D17"/>
      <selection pane="bottomRight" activeCell="C8" sqref="C8"/>
    </sheetView>
  </sheetViews>
  <sheetFormatPr defaultColWidth="9.28515625" defaultRowHeight="15" x14ac:dyDescent="0.25"/>
  <cols>
    <col min="1" max="1" width="2.7109375" style="142" customWidth="1"/>
    <col min="2" max="2" width="35.7109375" style="142" customWidth="1"/>
    <col min="3" max="3" width="29.85546875" style="142" customWidth="1"/>
    <col min="4" max="4" width="23.42578125" style="142" customWidth="1"/>
    <col min="5" max="5" width="13.7109375" style="142" customWidth="1"/>
    <col min="6" max="6" width="14.28515625" style="142" customWidth="1"/>
    <col min="7" max="7" width="13.7109375" style="142" bestFit="1" customWidth="1"/>
    <col min="8" max="16" width="12.7109375" style="142" bestFit="1" customWidth="1"/>
    <col min="17" max="17" width="12.5703125" style="142" bestFit="1" customWidth="1"/>
    <col min="18" max="16384" width="9.28515625" style="142"/>
  </cols>
  <sheetData>
    <row r="2" spans="2:17" x14ac:dyDescent="0.25">
      <c r="B2" s="233" t="s">
        <v>206</v>
      </c>
      <c r="C2" s="233"/>
      <c r="D2" s="234" t="s">
        <v>207</v>
      </c>
      <c r="E2" s="234"/>
      <c r="F2" s="234"/>
      <c r="G2" s="234"/>
      <c r="H2" s="234"/>
      <c r="I2" s="234"/>
      <c r="J2" s="234"/>
      <c r="K2" s="234"/>
      <c r="L2" s="234"/>
      <c r="M2" s="234"/>
      <c r="N2" s="234"/>
      <c r="O2" s="234"/>
      <c r="P2" s="234"/>
      <c r="Q2" s="141"/>
    </row>
    <row r="3" spans="2:17" ht="17.45" customHeight="1" x14ac:dyDescent="0.25">
      <c r="B3" s="143" t="s">
        <v>208</v>
      </c>
      <c r="C3" s="144" t="str">
        <f>Param!C17</f>
        <v>PI ADS4 - 2025</v>
      </c>
      <c r="D3" s="145"/>
      <c r="E3" s="146">
        <f>Param!C18</f>
        <v>45891</v>
      </c>
      <c r="F3" s="147">
        <f>DATE(YEAR(E3),MONTH(E3)+1,DAY(E3))</f>
        <v>45922</v>
      </c>
      <c r="G3" s="147">
        <f>DATE(YEAR(F3),MONTH(F3)+1,DAY(F3))</f>
        <v>45952</v>
      </c>
      <c r="H3" s="147">
        <f t="shared" ref="H3:P3" si="0">DATE(YEAR(G3),MONTH(G3)+1,DAY(G3))</f>
        <v>45983</v>
      </c>
      <c r="I3" s="147">
        <f t="shared" si="0"/>
        <v>46013</v>
      </c>
      <c r="J3" s="147">
        <f t="shared" si="0"/>
        <v>46044</v>
      </c>
      <c r="K3" s="147">
        <f t="shared" si="0"/>
        <v>46075</v>
      </c>
      <c r="L3" s="147">
        <f t="shared" si="0"/>
        <v>46103</v>
      </c>
      <c r="M3" s="147">
        <f t="shared" si="0"/>
        <v>46134</v>
      </c>
      <c r="N3" s="147">
        <f t="shared" si="0"/>
        <v>46164</v>
      </c>
      <c r="O3" s="147">
        <f t="shared" si="0"/>
        <v>46195</v>
      </c>
      <c r="P3" s="147">
        <f t="shared" si="0"/>
        <v>46225</v>
      </c>
      <c r="Q3" s="141" t="s">
        <v>29</v>
      </c>
    </row>
    <row r="4" spans="2:17" ht="25.15" customHeight="1" x14ac:dyDescent="0.25">
      <c r="B4" s="148" t="s">
        <v>209</v>
      </c>
      <c r="C4" s="149" t="str">
        <f>Param!C19</f>
        <v>Cannoli</v>
      </c>
      <c r="D4" s="150">
        <v>0</v>
      </c>
      <c r="E4" s="150">
        <v>1</v>
      </c>
      <c r="F4" s="150">
        <f>E4+1</f>
        <v>2</v>
      </c>
      <c r="G4" s="150">
        <f t="shared" ref="G4:P4" si="1">F4+1</f>
        <v>3</v>
      </c>
      <c r="H4" s="150">
        <f t="shared" si="1"/>
        <v>4</v>
      </c>
      <c r="I4" s="150">
        <f t="shared" si="1"/>
        <v>5</v>
      </c>
      <c r="J4" s="150">
        <f t="shared" si="1"/>
        <v>6</v>
      </c>
      <c r="K4" s="150">
        <f t="shared" si="1"/>
        <v>7</v>
      </c>
      <c r="L4" s="150">
        <f t="shared" si="1"/>
        <v>8</v>
      </c>
      <c r="M4" s="150">
        <f t="shared" si="1"/>
        <v>9</v>
      </c>
      <c r="N4" s="150">
        <f t="shared" si="1"/>
        <v>10</v>
      </c>
      <c r="O4" s="150">
        <f t="shared" si="1"/>
        <v>11</v>
      </c>
      <c r="P4" s="150">
        <f t="shared" si="1"/>
        <v>12</v>
      </c>
      <c r="Q4" s="141"/>
    </row>
    <row r="5" spans="2:17" ht="25.15" customHeight="1" x14ac:dyDescent="0.25">
      <c r="B5" s="151" t="s">
        <v>210</v>
      </c>
      <c r="C5" s="152">
        <v>110000</v>
      </c>
      <c r="D5" s="153">
        <f>SUM(D9+D11+D13+D15+D17+D19+D21+D23+D25+D27+D29)</f>
        <v>110000</v>
      </c>
      <c r="E5" s="153">
        <f>SUM(E33:E46)+E9+E11+E13+E15+E17+E19+E21+E23+E25+E27+E29</f>
        <v>10388.230000000003</v>
      </c>
      <c r="F5" s="153">
        <f t="shared" ref="F5:P5" si="2">SUM(F33:F46)+F9+F11+F13+F15+F17+F19+F21+F23+F25+F27</f>
        <v>10305.458000000001</v>
      </c>
      <c r="G5" s="153">
        <f t="shared" si="2"/>
        <v>7986.0038000000013</v>
      </c>
      <c r="H5" s="153">
        <f t="shared" si="2"/>
        <v>8234.6041800000021</v>
      </c>
      <c r="I5" s="153">
        <f t="shared" si="2"/>
        <v>9058.0645980000045</v>
      </c>
      <c r="J5" s="153">
        <f t="shared" si="2"/>
        <v>9963.8710578000027</v>
      </c>
      <c r="K5" s="153">
        <f t="shared" si="2"/>
        <v>10960.258163580005</v>
      </c>
      <c r="L5" s="153">
        <f t="shared" si="2"/>
        <v>12056.283979938009</v>
      </c>
      <c r="M5" s="153">
        <f t="shared" si="2"/>
        <v>13261.912377931811</v>
      </c>
      <c r="N5" s="153">
        <f t="shared" si="2"/>
        <v>14588.103615724989</v>
      </c>
      <c r="O5" s="153">
        <f t="shared" si="2"/>
        <v>16046.91397729749</v>
      </c>
      <c r="P5" s="153">
        <f t="shared" si="2"/>
        <v>17651.605375027244</v>
      </c>
      <c r="Q5" s="154">
        <f>SUM(D5:P5)</f>
        <v>250501.30912529954</v>
      </c>
    </row>
    <row r="6" spans="2:17" x14ac:dyDescent="0.25">
      <c r="B6" s="151" t="s">
        <v>211</v>
      </c>
      <c r="C6" s="142">
        <v>0</v>
      </c>
      <c r="D6" s="153">
        <f>D5</f>
        <v>110000</v>
      </c>
      <c r="E6" s="153">
        <f>D6+E5</f>
        <v>120388.23000000001</v>
      </c>
      <c r="F6" s="153">
        <f>E6+F5</f>
        <v>130693.68800000001</v>
      </c>
      <c r="G6" s="153">
        <f>F6+G5</f>
        <v>138679.6918</v>
      </c>
      <c r="H6" s="153">
        <f>G6+H5</f>
        <v>146914.29598</v>
      </c>
      <c r="I6" s="153">
        <f t="shared" ref="I6:O6" si="3">H6+I5</f>
        <v>155972.36057799999</v>
      </c>
      <c r="J6" s="153">
        <f t="shared" si="3"/>
        <v>165936.23163579998</v>
      </c>
      <c r="K6" s="153">
        <f t="shared" si="3"/>
        <v>176896.48979937998</v>
      </c>
      <c r="L6" s="153">
        <f t="shared" si="3"/>
        <v>188952.773779318</v>
      </c>
      <c r="M6" s="153">
        <f t="shared" si="3"/>
        <v>202214.68615724982</v>
      </c>
      <c r="N6" s="153">
        <f t="shared" si="3"/>
        <v>216802.78977297479</v>
      </c>
      <c r="O6" s="153">
        <f t="shared" si="3"/>
        <v>232849.70375027228</v>
      </c>
      <c r="P6" s="153">
        <f>O6+P5</f>
        <v>250501.30912529954</v>
      </c>
    </row>
    <row r="7" spans="2:17" x14ac:dyDescent="0.25">
      <c r="B7" s="145" t="s">
        <v>169</v>
      </c>
      <c r="C7" s="155" t="s">
        <v>212</v>
      </c>
      <c r="D7" s="155"/>
    </row>
    <row r="8" spans="2:17" x14ac:dyDescent="0.25">
      <c r="B8" s="145" t="s">
        <v>213</v>
      </c>
      <c r="C8" s="156" t="s">
        <v>214</v>
      </c>
      <c r="D8" s="157"/>
      <c r="E8" s="157"/>
      <c r="F8" s="158"/>
      <c r="G8" s="159"/>
      <c r="H8" s="159"/>
      <c r="I8" s="159"/>
      <c r="J8" s="159"/>
      <c r="K8" s="159"/>
      <c r="L8" s="159"/>
      <c r="M8" s="159"/>
      <c r="N8" s="159"/>
      <c r="O8" s="159"/>
      <c r="P8" s="159"/>
      <c r="Q8" s="160"/>
    </row>
    <row r="9" spans="2:17" ht="75" x14ac:dyDescent="0.25">
      <c r="B9" s="161" t="s">
        <v>44</v>
      </c>
      <c r="C9" s="162" t="s">
        <v>215</v>
      </c>
      <c r="D9" s="163">
        <v>10000</v>
      </c>
      <c r="E9" s="163">
        <v>3500</v>
      </c>
      <c r="F9" s="164">
        <f>E9*(1+F8)</f>
        <v>3500</v>
      </c>
      <c r="G9" s="164">
        <v>500</v>
      </c>
      <c r="H9" s="164">
        <v>0</v>
      </c>
      <c r="I9" s="164">
        <f>H9*(1+I8)</f>
        <v>0</v>
      </c>
      <c r="J9" s="164">
        <f t="shared" ref="F9:P9" si="4">I9*(1+J8)</f>
        <v>0</v>
      </c>
      <c r="K9" s="164">
        <f t="shared" si="4"/>
        <v>0</v>
      </c>
      <c r="L9" s="164">
        <f t="shared" si="4"/>
        <v>0</v>
      </c>
      <c r="M9" s="164">
        <f t="shared" si="4"/>
        <v>0</v>
      </c>
      <c r="N9" s="164">
        <f t="shared" si="4"/>
        <v>0</v>
      </c>
      <c r="O9" s="164">
        <f t="shared" si="4"/>
        <v>0</v>
      </c>
      <c r="P9" s="164">
        <f t="shared" si="4"/>
        <v>0</v>
      </c>
      <c r="Q9" s="165">
        <f>SUM(E9:P9)</f>
        <v>7500</v>
      </c>
    </row>
    <row r="10" spans="2:17" x14ac:dyDescent="0.25">
      <c r="B10" s="166" t="s">
        <v>216</v>
      </c>
      <c r="C10" s="156" t="s">
        <v>217</v>
      </c>
      <c r="D10" s="157"/>
      <c r="E10" s="157"/>
      <c r="F10" s="158">
        <v>0.1</v>
      </c>
      <c r="G10" s="159">
        <f>F10</f>
        <v>0.1</v>
      </c>
      <c r="H10" s="159">
        <f t="shared" ref="H10:P10" si="5">G10</f>
        <v>0.1</v>
      </c>
      <c r="I10" s="159">
        <f t="shared" si="5"/>
        <v>0.1</v>
      </c>
      <c r="J10" s="159">
        <f t="shared" si="5"/>
        <v>0.1</v>
      </c>
      <c r="K10" s="159">
        <f t="shared" si="5"/>
        <v>0.1</v>
      </c>
      <c r="L10" s="159">
        <f t="shared" si="5"/>
        <v>0.1</v>
      </c>
      <c r="M10" s="159">
        <f t="shared" si="5"/>
        <v>0.1</v>
      </c>
      <c r="N10" s="159">
        <f t="shared" si="5"/>
        <v>0.1</v>
      </c>
      <c r="O10" s="159">
        <f t="shared" si="5"/>
        <v>0.1</v>
      </c>
      <c r="P10" s="159">
        <f t="shared" si="5"/>
        <v>0.1</v>
      </c>
      <c r="Q10" s="160"/>
    </row>
    <row r="11" spans="2:17" ht="75" x14ac:dyDescent="0.25">
      <c r="B11" s="167" t="s">
        <v>46</v>
      </c>
      <c r="C11" s="168" t="s">
        <v>218</v>
      </c>
      <c r="D11" s="163">
        <v>12000</v>
      </c>
      <c r="E11" s="163">
        <v>794.96</v>
      </c>
      <c r="F11" s="164">
        <f t="shared" ref="F11:P11" si="6">E11*(1+F10)</f>
        <v>874.45600000000013</v>
      </c>
      <c r="G11" s="164">
        <f t="shared" si="6"/>
        <v>961.90160000000026</v>
      </c>
      <c r="H11" s="164">
        <f t="shared" si="6"/>
        <v>1058.0917600000005</v>
      </c>
      <c r="I11" s="164">
        <f>H11*(1+I10)</f>
        <v>1163.9009360000007</v>
      </c>
      <c r="J11" s="164">
        <f>I11*(1+J10)</f>
        <v>1280.2910296000009</v>
      </c>
      <c r="K11" s="164">
        <f t="shared" si="6"/>
        <v>1408.3201325600012</v>
      </c>
      <c r="L11" s="164">
        <f t="shared" si="6"/>
        <v>1549.1521458160014</v>
      </c>
      <c r="M11" s="164">
        <f t="shared" si="6"/>
        <v>1704.0673603976018</v>
      </c>
      <c r="N11" s="164">
        <f t="shared" si="6"/>
        <v>1874.474096437362</v>
      </c>
      <c r="O11" s="164">
        <f t="shared" si="6"/>
        <v>2061.9215060810984</v>
      </c>
      <c r="P11" s="164">
        <f t="shared" si="6"/>
        <v>2268.1136566892083</v>
      </c>
      <c r="Q11" s="165">
        <f>SUM(E11:P11)</f>
        <v>16999.650223581273</v>
      </c>
    </row>
    <row r="12" spans="2:17" x14ac:dyDescent="0.25">
      <c r="B12" s="166" t="s">
        <v>216</v>
      </c>
      <c r="C12" s="156" t="s">
        <v>217</v>
      </c>
      <c r="D12" s="157"/>
      <c r="E12" s="157"/>
      <c r="F12" s="158">
        <v>0.1</v>
      </c>
      <c r="G12" s="159">
        <f>F12</f>
        <v>0.1</v>
      </c>
      <c r="H12" s="159">
        <f t="shared" ref="H12:P12" si="7">G12</f>
        <v>0.1</v>
      </c>
      <c r="I12" s="159">
        <f t="shared" si="7"/>
        <v>0.1</v>
      </c>
      <c r="J12" s="159">
        <f t="shared" si="7"/>
        <v>0.1</v>
      </c>
      <c r="K12" s="159">
        <f t="shared" si="7"/>
        <v>0.1</v>
      </c>
      <c r="L12" s="159">
        <f t="shared" si="7"/>
        <v>0.1</v>
      </c>
      <c r="M12" s="159">
        <f t="shared" si="7"/>
        <v>0.1</v>
      </c>
      <c r="N12" s="159">
        <f t="shared" si="7"/>
        <v>0.1</v>
      </c>
      <c r="O12" s="159">
        <f t="shared" si="7"/>
        <v>0.1</v>
      </c>
      <c r="P12" s="159">
        <f t="shared" si="7"/>
        <v>0.1</v>
      </c>
      <c r="Q12" s="160"/>
    </row>
    <row r="13" spans="2:17" ht="75" x14ac:dyDescent="0.25">
      <c r="B13" s="167" t="s">
        <v>53</v>
      </c>
      <c r="C13" s="168" t="s">
        <v>219</v>
      </c>
      <c r="D13" s="163">
        <v>16000</v>
      </c>
      <c r="E13" s="163">
        <v>617.29</v>
      </c>
      <c r="F13" s="164">
        <f t="shared" ref="F13:P13" si="8">E13*(1+F12)</f>
        <v>679.01900000000001</v>
      </c>
      <c r="G13" s="164">
        <f t="shared" si="8"/>
        <v>746.92090000000007</v>
      </c>
      <c r="H13" s="164">
        <f t="shared" si="8"/>
        <v>821.6129900000002</v>
      </c>
      <c r="I13" s="164">
        <f t="shared" si="8"/>
        <v>903.77428900000029</v>
      </c>
      <c r="J13" s="164">
        <f t="shared" si="8"/>
        <v>994.15171790000045</v>
      </c>
      <c r="K13" s="164">
        <f t="shared" si="8"/>
        <v>1093.5668896900006</v>
      </c>
      <c r="L13" s="164">
        <f t="shared" si="8"/>
        <v>1202.9235786590007</v>
      </c>
      <c r="M13" s="164">
        <f t="shared" si="8"/>
        <v>1323.2159365249008</v>
      </c>
      <c r="N13" s="164">
        <f t="shared" si="8"/>
        <v>1455.5375301773911</v>
      </c>
      <c r="O13" s="164">
        <f t="shared" si="8"/>
        <v>1601.0912831951302</v>
      </c>
      <c r="P13" s="164">
        <f t="shared" si="8"/>
        <v>1761.2004115146435</v>
      </c>
      <c r="Q13" s="165">
        <f>SUM(E13:P13)</f>
        <v>13200.304526661066</v>
      </c>
    </row>
    <row r="14" spans="2:17" x14ac:dyDescent="0.25">
      <c r="B14" s="166" t="s">
        <v>216</v>
      </c>
      <c r="C14" s="156" t="s">
        <v>217</v>
      </c>
      <c r="D14" s="157"/>
      <c r="E14" s="157"/>
      <c r="F14" s="158">
        <v>0.1</v>
      </c>
      <c r="G14" s="159">
        <f>F14</f>
        <v>0.1</v>
      </c>
      <c r="H14" s="159">
        <f t="shared" ref="H14:P14" si="9">G14</f>
        <v>0.1</v>
      </c>
      <c r="I14" s="159">
        <f t="shared" si="9"/>
        <v>0.1</v>
      </c>
      <c r="J14" s="159">
        <f t="shared" si="9"/>
        <v>0.1</v>
      </c>
      <c r="K14" s="159">
        <f t="shared" si="9"/>
        <v>0.1</v>
      </c>
      <c r="L14" s="159">
        <f t="shared" si="9"/>
        <v>0.1</v>
      </c>
      <c r="M14" s="159">
        <f t="shared" si="9"/>
        <v>0.1</v>
      </c>
      <c r="N14" s="159">
        <f t="shared" si="9"/>
        <v>0.1</v>
      </c>
      <c r="O14" s="159">
        <f t="shared" si="9"/>
        <v>0.1</v>
      </c>
      <c r="P14" s="159">
        <f t="shared" si="9"/>
        <v>0.1</v>
      </c>
      <c r="Q14" s="160"/>
    </row>
    <row r="15" spans="2:17" ht="45" x14ac:dyDescent="0.25">
      <c r="B15" s="169" t="s">
        <v>61</v>
      </c>
      <c r="C15" s="168" t="s">
        <v>220</v>
      </c>
      <c r="D15" s="163">
        <v>40000</v>
      </c>
      <c r="E15" s="163">
        <v>1496.43</v>
      </c>
      <c r="F15" s="164">
        <f>E15*(1+F14)</f>
        <v>1646.0730000000001</v>
      </c>
      <c r="G15" s="164">
        <f>F15*(1+G14)</f>
        <v>1810.6803000000002</v>
      </c>
      <c r="H15" s="164">
        <f>G15*(1+H14)</f>
        <v>1991.7483300000004</v>
      </c>
      <c r="I15" s="164">
        <f t="shared" ref="I15:P15" si="10">H15*(1+I14)</f>
        <v>2190.9231630000004</v>
      </c>
      <c r="J15" s="164">
        <f>I15*(1+J14)</f>
        <v>2410.0154793000006</v>
      </c>
      <c r="K15" s="164">
        <f t="shared" si="10"/>
        <v>2651.0170272300011</v>
      </c>
      <c r="L15" s="164">
        <f t="shared" si="10"/>
        <v>2916.1187299530015</v>
      </c>
      <c r="M15" s="164">
        <f t="shared" si="10"/>
        <v>3207.730602948302</v>
      </c>
      <c r="N15" s="164">
        <f t="shared" si="10"/>
        <v>3528.5036632431325</v>
      </c>
      <c r="O15" s="164">
        <f t="shared" si="10"/>
        <v>3881.3540295674461</v>
      </c>
      <c r="P15" s="164">
        <f t="shared" si="10"/>
        <v>4269.4894325241912</v>
      </c>
      <c r="Q15" s="165">
        <f>SUM(E15:P15)</f>
        <v>32000.083757766079</v>
      </c>
    </row>
    <row r="16" spans="2:17" x14ac:dyDescent="0.25">
      <c r="B16" s="166" t="s">
        <v>216</v>
      </c>
      <c r="C16" s="156" t="s">
        <v>217</v>
      </c>
      <c r="D16" s="157"/>
      <c r="E16" s="157"/>
      <c r="F16" s="158">
        <v>0.1</v>
      </c>
      <c r="G16" s="159">
        <f>F16</f>
        <v>0.1</v>
      </c>
      <c r="H16" s="159">
        <f t="shared" ref="H16:P16" si="11">G16</f>
        <v>0.1</v>
      </c>
      <c r="I16" s="159">
        <f t="shared" si="11"/>
        <v>0.1</v>
      </c>
      <c r="J16" s="159">
        <f t="shared" si="11"/>
        <v>0.1</v>
      </c>
      <c r="K16" s="159">
        <f t="shared" si="11"/>
        <v>0.1</v>
      </c>
      <c r="L16" s="159">
        <f t="shared" si="11"/>
        <v>0.1</v>
      </c>
      <c r="M16" s="159">
        <f t="shared" si="11"/>
        <v>0.1</v>
      </c>
      <c r="N16" s="159">
        <f t="shared" si="11"/>
        <v>0.1</v>
      </c>
      <c r="O16" s="159">
        <f t="shared" si="11"/>
        <v>0.1</v>
      </c>
      <c r="P16" s="159">
        <f t="shared" si="11"/>
        <v>0.1</v>
      </c>
      <c r="Q16" s="160"/>
    </row>
    <row r="17" spans="2:17" ht="30" x14ac:dyDescent="0.25">
      <c r="B17" s="169" t="s">
        <v>51</v>
      </c>
      <c r="C17" s="170" t="s">
        <v>221</v>
      </c>
      <c r="D17" s="171">
        <v>6000</v>
      </c>
      <c r="E17" s="163">
        <v>233.8</v>
      </c>
      <c r="F17" s="164">
        <f t="shared" ref="F17:P17" si="12">E17*(1+F16)</f>
        <v>257.18</v>
      </c>
      <c r="G17" s="164">
        <f t="shared" si="12"/>
        <v>282.89800000000002</v>
      </c>
      <c r="H17" s="164">
        <f t="shared" si="12"/>
        <v>311.18780000000004</v>
      </c>
      <c r="I17" s="164">
        <f t="shared" si="12"/>
        <v>342.30658000000005</v>
      </c>
      <c r="J17" s="164">
        <f t="shared" si="12"/>
        <v>376.53723800000012</v>
      </c>
      <c r="K17" s="164">
        <f t="shared" si="12"/>
        <v>414.19096180000014</v>
      </c>
      <c r="L17" s="164">
        <f t="shared" si="12"/>
        <v>455.61005798000019</v>
      </c>
      <c r="M17" s="164">
        <f t="shared" si="12"/>
        <v>501.17106377800025</v>
      </c>
      <c r="N17" s="164">
        <f t="shared" si="12"/>
        <v>551.28817015580034</v>
      </c>
      <c r="O17" s="164">
        <f t="shared" si="12"/>
        <v>606.41698717138047</v>
      </c>
      <c r="P17" s="164">
        <f t="shared" si="12"/>
        <v>667.05868588851854</v>
      </c>
      <c r="Q17" s="165">
        <f>SUM(E17:P17)</f>
        <v>4999.6455447737007</v>
      </c>
    </row>
    <row r="18" spans="2:17" x14ac:dyDescent="0.25">
      <c r="B18" s="166" t="s">
        <v>216</v>
      </c>
      <c r="C18" s="156" t="s">
        <v>217</v>
      </c>
      <c r="D18" s="157"/>
      <c r="E18" s="157"/>
      <c r="F18" s="158">
        <v>0.1</v>
      </c>
      <c r="G18" s="159">
        <f>F18</f>
        <v>0.1</v>
      </c>
      <c r="H18" s="159">
        <f t="shared" ref="H18:P18" si="13">G18</f>
        <v>0.1</v>
      </c>
      <c r="I18" s="159">
        <f t="shared" si="13"/>
        <v>0.1</v>
      </c>
      <c r="J18" s="159">
        <f t="shared" si="13"/>
        <v>0.1</v>
      </c>
      <c r="K18" s="159">
        <f t="shared" si="13"/>
        <v>0.1</v>
      </c>
      <c r="L18" s="159">
        <f t="shared" si="13"/>
        <v>0.1</v>
      </c>
      <c r="M18" s="159">
        <f t="shared" si="13"/>
        <v>0.1</v>
      </c>
      <c r="N18" s="159">
        <f t="shared" si="13"/>
        <v>0.1</v>
      </c>
      <c r="O18" s="159">
        <f t="shared" si="13"/>
        <v>0.1</v>
      </c>
      <c r="P18" s="159">
        <f t="shared" si="13"/>
        <v>0.1</v>
      </c>
      <c r="Q18" s="160"/>
    </row>
    <row r="19" spans="2:17" x14ac:dyDescent="0.25">
      <c r="B19" s="169" t="s">
        <v>222</v>
      </c>
      <c r="C19" s="170" t="s">
        <v>223</v>
      </c>
      <c r="D19" s="163">
        <v>12000</v>
      </c>
      <c r="E19" s="163">
        <v>542.45000000000005</v>
      </c>
      <c r="F19" s="164">
        <f t="shared" ref="F19:P19" si="14">E19*(1+F18)</f>
        <v>596.69500000000005</v>
      </c>
      <c r="G19" s="164">
        <f t="shared" si="14"/>
        <v>656.36450000000013</v>
      </c>
      <c r="H19" s="164">
        <f t="shared" si="14"/>
        <v>722.00095000000022</v>
      </c>
      <c r="I19" s="164">
        <f t="shared" si="14"/>
        <v>794.20104500000025</v>
      </c>
      <c r="J19" s="164">
        <f t="shared" si="14"/>
        <v>873.62114950000034</v>
      </c>
      <c r="K19" s="164">
        <f t="shared" si="14"/>
        <v>960.98326445000043</v>
      </c>
      <c r="L19" s="164">
        <f t="shared" si="14"/>
        <v>1057.0815908950005</v>
      </c>
      <c r="M19" s="164">
        <f t="shared" si="14"/>
        <v>1162.7897499845008</v>
      </c>
      <c r="N19" s="164">
        <f t="shared" si="14"/>
        <v>1279.0687249829509</v>
      </c>
      <c r="O19" s="164">
        <f t="shared" si="14"/>
        <v>1406.975597481246</v>
      </c>
      <c r="P19" s="164">
        <f t="shared" si="14"/>
        <v>1547.6731572293709</v>
      </c>
      <c r="Q19" s="165">
        <f>SUM(E19:P19)</f>
        <v>11599.904729523072</v>
      </c>
    </row>
    <row r="20" spans="2:17" x14ac:dyDescent="0.25">
      <c r="B20" s="166" t="s">
        <v>216</v>
      </c>
      <c r="C20" s="156" t="s">
        <v>217</v>
      </c>
      <c r="D20" s="157"/>
      <c r="E20" s="157"/>
      <c r="F20" s="158">
        <v>0.1</v>
      </c>
      <c r="G20" s="159">
        <f>F20</f>
        <v>0.1</v>
      </c>
      <c r="H20" s="159">
        <f t="shared" ref="H20:P20" si="15">G20</f>
        <v>0.1</v>
      </c>
      <c r="I20" s="159">
        <f t="shared" si="15"/>
        <v>0.1</v>
      </c>
      <c r="J20" s="159">
        <f t="shared" si="15"/>
        <v>0.1</v>
      </c>
      <c r="K20" s="159">
        <f t="shared" si="15"/>
        <v>0.1</v>
      </c>
      <c r="L20" s="159">
        <f t="shared" si="15"/>
        <v>0.1</v>
      </c>
      <c r="M20" s="159">
        <f t="shared" si="15"/>
        <v>0.1</v>
      </c>
      <c r="N20" s="159">
        <f t="shared" si="15"/>
        <v>0.1</v>
      </c>
      <c r="O20" s="159">
        <f t="shared" si="15"/>
        <v>0.1</v>
      </c>
      <c r="P20" s="159">
        <f t="shared" si="15"/>
        <v>0.1</v>
      </c>
      <c r="Q20" s="160"/>
    </row>
    <row r="21" spans="2:17" x14ac:dyDescent="0.25">
      <c r="B21" s="169" t="s">
        <v>163</v>
      </c>
      <c r="C21" s="170" t="s">
        <v>224</v>
      </c>
      <c r="D21" s="163">
        <v>4000</v>
      </c>
      <c r="E21" s="163">
        <v>869.8</v>
      </c>
      <c r="F21" s="164">
        <f t="shared" ref="F21:P21" si="16">E21*(1+F20)</f>
        <v>956.78</v>
      </c>
      <c r="G21" s="164">
        <f t="shared" si="16"/>
        <v>1052.4580000000001</v>
      </c>
      <c r="H21" s="164">
        <f t="shared" si="16"/>
        <v>1157.7038000000002</v>
      </c>
      <c r="I21" s="164">
        <f t="shared" si="16"/>
        <v>1273.4741800000004</v>
      </c>
      <c r="J21" s="164">
        <f t="shared" si="16"/>
        <v>1400.8215980000004</v>
      </c>
      <c r="K21" s="164">
        <f t="shared" si="16"/>
        <v>1540.9037578000007</v>
      </c>
      <c r="L21" s="164">
        <f t="shared" si="16"/>
        <v>1694.9941335800008</v>
      </c>
      <c r="M21" s="164">
        <f t="shared" si="16"/>
        <v>1864.4935469380011</v>
      </c>
      <c r="N21" s="164">
        <f t="shared" si="16"/>
        <v>2050.9429016318013</v>
      </c>
      <c r="O21" s="164">
        <f t="shared" si="16"/>
        <v>2256.0371917949815</v>
      </c>
      <c r="P21" s="164">
        <f t="shared" si="16"/>
        <v>2481.64091097448</v>
      </c>
      <c r="Q21" s="165">
        <f>SUM(E21:P21)</f>
        <v>18600.050020719267</v>
      </c>
    </row>
    <row r="22" spans="2:17" x14ac:dyDescent="0.25">
      <c r="B22" s="166" t="s">
        <v>216</v>
      </c>
      <c r="C22" s="156" t="s">
        <v>217</v>
      </c>
      <c r="D22" s="157"/>
      <c r="E22" s="157"/>
      <c r="F22" s="158">
        <v>0.1</v>
      </c>
      <c r="G22" s="159">
        <f>F22</f>
        <v>0.1</v>
      </c>
      <c r="H22" s="159">
        <f t="shared" ref="H22:P22" si="17">G22</f>
        <v>0.1</v>
      </c>
      <c r="I22" s="159">
        <f t="shared" si="17"/>
        <v>0.1</v>
      </c>
      <c r="J22" s="159">
        <f t="shared" si="17"/>
        <v>0.1</v>
      </c>
      <c r="K22" s="159">
        <f t="shared" si="17"/>
        <v>0.1</v>
      </c>
      <c r="L22" s="159">
        <f t="shared" si="17"/>
        <v>0.1</v>
      </c>
      <c r="M22" s="159">
        <f t="shared" si="17"/>
        <v>0.1</v>
      </c>
      <c r="N22" s="159">
        <f t="shared" si="17"/>
        <v>0.1</v>
      </c>
      <c r="O22" s="159">
        <f t="shared" si="17"/>
        <v>0.1</v>
      </c>
      <c r="P22" s="159">
        <f t="shared" si="17"/>
        <v>0.1</v>
      </c>
      <c r="Q22" s="160"/>
    </row>
    <row r="23" spans="2:17" ht="30" x14ac:dyDescent="0.25">
      <c r="B23" s="169" t="s">
        <v>162</v>
      </c>
      <c r="C23" s="170" t="s">
        <v>225</v>
      </c>
      <c r="D23" s="163">
        <v>3000</v>
      </c>
      <c r="E23" s="163">
        <v>514.4</v>
      </c>
      <c r="F23" s="164">
        <f t="shared" ref="F23:P23" si="18">E23*(1+F22)</f>
        <v>565.84</v>
      </c>
      <c r="G23" s="164">
        <f t="shared" si="18"/>
        <v>622.42400000000009</v>
      </c>
      <c r="H23" s="164">
        <f t="shared" si="18"/>
        <v>684.66640000000018</v>
      </c>
      <c r="I23" s="164">
        <f t="shared" si="18"/>
        <v>753.13304000000028</v>
      </c>
      <c r="J23" s="164">
        <f t="shared" si="18"/>
        <v>828.44634400000041</v>
      </c>
      <c r="K23" s="164">
        <f t="shared" si="18"/>
        <v>911.29097840000054</v>
      </c>
      <c r="L23" s="164">
        <f t="shared" si="18"/>
        <v>1002.4200762400006</v>
      </c>
      <c r="M23" s="164">
        <f t="shared" si="18"/>
        <v>1102.6620838640008</v>
      </c>
      <c r="N23" s="164">
        <f t="shared" si="18"/>
        <v>1212.928292250401</v>
      </c>
      <c r="O23" s="164">
        <f t="shared" si="18"/>
        <v>1334.2211214754411</v>
      </c>
      <c r="P23" s="164">
        <f t="shared" si="18"/>
        <v>1467.6432336229855</v>
      </c>
      <c r="Q23" s="165">
        <f>SUM(E23:P23)</f>
        <v>11000.07556985283</v>
      </c>
    </row>
    <row r="24" spans="2:17" x14ac:dyDescent="0.25">
      <c r="B24" s="166" t="s">
        <v>216</v>
      </c>
      <c r="C24" s="156" t="s">
        <v>217</v>
      </c>
      <c r="D24" s="157"/>
      <c r="E24" s="157"/>
      <c r="F24" s="158">
        <v>0.1</v>
      </c>
      <c r="G24" s="159">
        <f>F24</f>
        <v>0.1</v>
      </c>
      <c r="H24" s="159">
        <f t="shared" ref="H24:P24" si="19">G24</f>
        <v>0.1</v>
      </c>
      <c r="I24" s="159">
        <f t="shared" si="19"/>
        <v>0.1</v>
      </c>
      <c r="J24" s="159">
        <f t="shared" si="19"/>
        <v>0.1</v>
      </c>
      <c r="K24" s="159">
        <f t="shared" si="19"/>
        <v>0.1</v>
      </c>
      <c r="L24" s="159">
        <f t="shared" si="19"/>
        <v>0.1</v>
      </c>
      <c r="M24" s="159">
        <f t="shared" si="19"/>
        <v>0.1</v>
      </c>
      <c r="N24" s="159">
        <f t="shared" si="19"/>
        <v>0.1</v>
      </c>
      <c r="O24" s="159">
        <f t="shared" si="19"/>
        <v>0.1</v>
      </c>
      <c r="P24" s="159">
        <f t="shared" si="19"/>
        <v>0.1</v>
      </c>
      <c r="Q24" s="160"/>
    </row>
    <row r="25" spans="2:17" ht="30" x14ac:dyDescent="0.25">
      <c r="B25" s="169" t="s">
        <v>164</v>
      </c>
      <c r="C25" s="170" t="s">
        <v>226</v>
      </c>
      <c r="D25" s="163">
        <v>2000</v>
      </c>
      <c r="E25" s="163">
        <v>701.45</v>
      </c>
      <c r="F25" s="164">
        <f t="shared" ref="F25:P25" si="20">E25*(1+F24)</f>
        <v>771.59500000000014</v>
      </c>
      <c r="G25" s="164">
        <f t="shared" si="20"/>
        <v>848.75450000000023</v>
      </c>
      <c r="H25" s="164">
        <f t="shared" si="20"/>
        <v>933.62995000000035</v>
      </c>
      <c r="I25" s="164">
        <f t="shared" si="20"/>
        <v>1026.9929450000004</v>
      </c>
      <c r="J25" s="164">
        <f t="shared" si="20"/>
        <v>1129.6922395000006</v>
      </c>
      <c r="K25" s="164">
        <f t="shared" si="20"/>
        <v>1242.6614634500008</v>
      </c>
      <c r="L25" s="164">
        <f t="shared" si="20"/>
        <v>1366.927609795001</v>
      </c>
      <c r="M25" s="164">
        <f t="shared" si="20"/>
        <v>1503.6203707745012</v>
      </c>
      <c r="N25" s="164">
        <f t="shared" si="20"/>
        <v>1653.9824078519514</v>
      </c>
      <c r="O25" s="164">
        <f t="shared" si="20"/>
        <v>1819.3806486371466</v>
      </c>
      <c r="P25" s="164">
        <f t="shared" si="20"/>
        <v>2001.3187135008613</v>
      </c>
      <c r="Q25" s="165">
        <f>SUM(E25:P25)</f>
        <v>15000.005848509465</v>
      </c>
    </row>
    <row r="26" spans="2:17" x14ac:dyDescent="0.25">
      <c r="B26" s="166" t="s">
        <v>216</v>
      </c>
      <c r="C26" s="156" t="s">
        <v>217</v>
      </c>
      <c r="D26" s="157"/>
      <c r="E26" s="157"/>
      <c r="F26" s="158">
        <v>0.1</v>
      </c>
      <c r="G26" s="159">
        <f>F26</f>
        <v>0.1</v>
      </c>
      <c r="H26" s="159">
        <f t="shared" ref="H26:P26" si="21">G26</f>
        <v>0.1</v>
      </c>
      <c r="I26" s="159">
        <f t="shared" si="21"/>
        <v>0.1</v>
      </c>
      <c r="J26" s="159">
        <f t="shared" si="21"/>
        <v>0.1</v>
      </c>
      <c r="K26" s="159">
        <f t="shared" si="21"/>
        <v>0.1</v>
      </c>
      <c r="L26" s="159">
        <f t="shared" si="21"/>
        <v>0.1</v>
      </c>
      <c r="M26" s="159">
        <f t="shared" si="21"/>
        <v>0.1</v>
      </c>
      <c r="N26" s="159">
        <f t="shared" si="21"/>
        <v>0.1</v>
      </c>
      <c r="O26" s="159">
        <f t="shared" si="21"/>
        <v>0.1</v>
      </c>
      <c r="P26" s="159">
        <f t="shared" si="21"/>
        <v>0.1</v>
      </c>
      <c r="Q26" s="160"/>
    </row>
    <row r="27" spans="2:17" x14ac:dyDescent="0.25">
      <c r="B27" s="169" t="s">
        <v>103</v>
      </c>
      <c r="C27" s="170" t="s">
        <v>227</v>
      </c>
      <c r="D27" s="163">
        <v>3000</v>
      </c>
      <c r="E27" s="163">
        <v>416.2</v>
      </c>
      <c r="F27" s="164">
        <f t="shared" ref="F27:P27" si="22">E27*(1+F26)</f>
        <v>457.82000000000005</v>
      </c>
      <c r="G27" s="164">
        <f t="shared" si="22"/>
        <v>503.60200000000009</v>
      </c>
      <c r="H27" s="164">
        <f t="shared" si="22"/>
        <v>553.96220000000017</v>
      </c>
      <c r="I27" s="164">
        <f t="shared" si="22"/>
        <v>609.35842000000025</v>
      </c>
      <c r="J27" s="164">
        <f t="shared" si="22"/>
        <v>670.29426200000034</v>
      </c>
      <c r="K27" s="164">
        <f t="shared" si="22"/>
        <v>737.32368820000045</v>
      </c>
      <c r="L27" s="164">
        <f t="shared" si="22"/>
        <v>811.05605702000059</v>
      </c>
      <c r="M27" s="164">
        <f t="shared" si="22"/>
        <v>892.16166272200076</v>
      </c>
      <c r="N27" s="164">
        <f t="shared" si="22"/>
        <v>981.37782899420085</v>
      </c>
      <c r="O27" s="164">
        <f t="shared" si="22"/>
        <v>1079.5156118936211</v>
      </c>
      <c r="P27" s="164">
        <f t="shared" si="22"/>
        <v>1187.4671730829832</v>
      </c>
      <c r="Q27" s="165">
        <f>SUM(E27:P27)</f>
        <v>8900.138903912808</v>
      </c>
    </row>
    <row r="28" spans="2:17" x14ac:dyDescent="0.25">
      <c r="B28" s="166" t="s">
        <v>216</v>
      </c>
      <c r="C28" s="156" t="s">
        <v>217</v>
      </c>
      <c r="D28" s="157"/>
      <c r="E28" s="157"/>
      <c r="F28" s="158">
        <v>0.1</v>
      </c>
      <c r="G28" s="159">
        <f>F28</f>
        <v>0.1</v>
      </c>
      <c r="H28" s="159">
        <f t="shared" ref="H28:P28" si="23">G28</f>
        <v>0.1</v>
      </c>
      <c r="I28" s="159">
        <f t="shared" si="23"/>
        <v>0.1</v>
      </c>
      <c r="J28" s="159">
        <f t="shared" si="23"/>
        <v>0.1</v>
      </c>
      <c r="K28" s="159">
        <f t="shared" si="23"/>
        <v>0.1</v>
      </c>
      <c r="L28" s="159">
        <f t="shared" si="23"/>
        <v>0.1</v>
      </c>
      <c r="M28" s="159">
        <f t="shared" si="23"/>
        <v>0.1</v>
      </c>
      <c r="N28" s="159">
        <f t="shared" si="23"/>
        <v>0.1</v>
      </c>
      <c r="O28" s="159">
        <f t="shared" si="23"/>
        <v>0.1</v>
      </c>
      <c r="P28" s="159">
        <f t="shared" si="23"/>
        <v>0.1</v>
      </c>
      <c r="Q28" s="160"/>
    </row>
    <row r="29" spans="2:17" x14ac:dyDescent="0.25">
      <c r="B29" s="169" t="s">
        <v>159</v>
      </c>
      <c r="C29" s="170" t="s">
        <v>227</v>
      </c>
      <c r="D29" s="163">
        <v>2000</v>
      </c>
      <c r="E29" s="163">
        <v>701.45</v>
      </c>
      <c r="F29" s="164">
        <f t="shared" ref="F29:P29" si="24">E29*(1+F28)</f>
        <v>771.59500000000014</v>
      </c>
      <c r="G29" s="164">
        <f t="shared" si="24"/>
        <v>848.75450000000023</v>
      </c>
      <c r="H29" s="164">
        <f t="shared" si="24"/>
        <v>933.62995000000035</v>
      </c>
      <c r="I29" s="164">
        <f t="shared" si="24"/>
        <v>1026.9929450000004</v>
      </c>
      <c r="J29" s="164">
        <f t="shared" si="24"/>
        <v>1129.6922395000006</v>
      </c>
      <c r="K29" s="164">
        <f t="shared" si="24"/>
        <v>1242.6614634500008</v>
      </c>
      <c r="L29" s="164">
        <f t="shared" si="24"/>
        <v>1366.927609795001</v>
      </c>
      <c r="M29" s="164">
        <f t="shared" si="24"/>
        <v>1503.6203707745012</v>
      </c>
      <c r="N29" s="164">
        <f t="shared" si="24"/>
        <v>1653.9824078519514</v>
      </c>
      <c r="O29" s="164">
        <f t="shared" si="24"/>
        <v>1819.3806486371466</v>
      </c>
      <c r="P29" s="164">
        <f t="shared" si="24"/>
        <v>2001.3187135008613</v>
      </c>
      <c r="Q29" s="165">
        <f>SUM(E29:P29)</f>
        <v>15000.005848509465</v>
      </c>
    </row>
    <row r="30" spans="2:17" x14ac:dyDescent="0.25">
      <c r="B30" s="172"/>
      <c r="D30" s="173"/>
      <c r="E30" s="173"/>
      <c r="F30" s="174"/>
      <c r="G30" s="174"/>
      <c r="H30" s="174"/>
      <c r="I30" s="174"/>
      <c r="J30" s="174"/>
      <c r="K30" s="174"/>
      <c r="L30" s="174"/>
      <c r="M30" s="174"/>
      <c r="N30" s="174"/>
      <c r="O30" s="174"/>
      <c r="P30" s="174"/>
      <c r="Q30" s="175"/>
    </row>
    <row r="31" spans="2:17" x14ac:dyDescent="0.25">
      <c r="B31" s="172"/>
      <c r="D31" s="173"/>
      <c r="E31" s="173"/>
      <c r="F31" s="174"/>
      <c r="G31" s="174"/>
      <c r="H31" s="174"/>
      <c r="I31" s="174"/>
      <c r="J31" s="174"/>
      <c r="K31" s="174"/>
      <c r="L31" s="174"/>
      <c r="M31" s="174"/>
      <c r="N31" s="174"/>
      <c r="O31" s="174"/>
      <c r="P31" s="174"/>
      <c r="Q31" s="175"/>
    </row>
    <row r="32" spans="2:17" x14ac:dyDescent="0.25">
      <c r="B32" s="145" t="s">
        <v>228</v>
      </c>
    </row>
    <row r="33" spans="2:17" x14ac:dyDescent="0.25">
      <c r="B33" s="142" t="s">
        <v>229</v>
      </c>
      <c r="D33" s="173">
        <v>0</v>
      </c>
      <c r="E33" s="173">
        <v>0</v>
      </c>
      <c r="F33" s="176">
        <f>E33</f>
        <v>0</v>
      </c>
      <c r="G33" s="176">
        <f t="shared" ref="G33:P33" si="25">F33</f>
        <v>0</v>
      </c>
      <c r="H33" s="176">
        <f t="shared" si="25"/>
        <v>0</v>
      </c>
      <c r="I33" s="176">
        <f t="shared" si="25"/>
        <v>0</v>
      </c>
      <c r="J33" s="176">
        <f t="shared" si="25"/>
        <v>0</v>
      </c>
      <c r="K33" s="176">
        <f t="shared" si="25"/>
        <v>0</v>
      </c>
      <c r="L33" s="176">
        <f t="shared" si="25"/>
        <v>0</v>
      </c>
      <c r="M33" s="176">
        <f t="shared" si="25"/>
        <v>0</v>
      </c>
      <c r="N33" s="176">
        <f t="shared" si="25"/>
        <v>0</v>
      </c>
      <c r="O33" s="176">
        <f t="shared" si="25"/>
        <v>0</v>
      </c>
      <c r="P33" s="176">
        <f t="shared" si="25"/>
        <v>0</v>
      </c>
      <c r="Q33" s="177">
        <f t="shared" ref="Q33:Q46" si="26">SUM(D33:P33)</f>
        <v>0</v>
      </c>
    </row>
    <row r="34" spans="2:17" x14ac:dyDescent="0.25">
      <c r="B34" s="142" t="s">
        <v>230</v>
      </c>
      <c r="D34" s="173"/>
      <c r="E34" s="173"/>
      <c r="F34" s="176">
        <f t="shared" ref="F34:P46" si="27">E34</f>
        <v>0</v>
      </c>
      <c r="G34" s="176">
        <f t="shared" si="27"/>
        <v>0</v>
      </c>
      <c r="H34" s="176">
        <f t="shared" si="27"/>
        <v>0</v>
      </c>
      <c r="I34" s="176">
        <f t="shared" si="27"/>
        <v>0</v>
      </c>
      <c r="J34" s="176">
        <f t="shared" si="27"/>
        <v>0</v>
      </c>
      <c r="K34" s="176">
        <f t="shared" si="27"/>
        <v>0</v>
      </c>
      <c r="L34" s="176">
        <f t="shared" si="27"/>
        <v>0</v>
      </c>
      <c r="M34" s="176">
        <f t="shared" si="27"/>
        <v>0</v>
      </c>
      <c r="N34" s="176">
        <f t="shared" si="27"/>
        <v>0</v>
      </c>
      <c r="O34" s="176">
        <f t="shared" si="27"/>
        <v>0</v>
      </c>
      <c r="P34" s="176">
        <f t="shared" si="27"/>
        <v>0</v>
      </c>
      <c r="Q34" s="177">
        <f t="shared" si="26"/>
        <v>0</v>
      </c>
    </row>
    <row r="35" spans="2:17" x14ac:dyDescent="0.25">
      <c r="B35" s="142" t="s">
        <v>231</v>
      </c>
      <c r="D35" s="173"/>
      <c r="E35" s="173"/>
      <c r="F35" s="176">
        <f t="shared" si="27"/>
        <v>0</v>
      </c>
      <c r="G35" s="176">
        <f t="shared" si="27"/>
        <v>0</v>
      </c>
      <c r="H35" s="176">
        <f t="shared" si="27"/>
        <v>0</v>
      </c>
      <c r="I35" s="176">
        <f t="shared" si="27"/>
        <v>0</v>
      </c>
      <c r="J35" s="176">
        <f t="shared" si="27"/>
        <v>0</v>
      </c>
      <c r="K35" s="176">
        <f t="shared" si="27"/>
        <v>0</v>
      </c>
      <c r="L35" s="176">
        <f t="shared" si="27"/>
        <v>0</v>
      </c>
      <c r="M35" s="176">
        <f t="shared" si="27"/>
        <v>0</v>
      </c>
      <c r="N35" s="176">
        <f t="shared" si="27"/>
        <v>0</v>
      </c>
      <c r="O35" s="176">
        <f t="shared" si="27"/>
        <v>0</v>
      </c>
      <c r="P35" s="176">
        <f t="shared" si="27"/>
        <v>0</v>
      </c>
      <c r="Q35" s="177">
        <f t="shared" si="26"/>
        <v>0</v>
      </c>
    </row>
    <row r="36" spans="2:17" x14ac:dyDescent="0.25">
      <c r="B36" s="155" t="s">
        <v>232</v>
      </c>
      <c r="D36" s="173"/>
      <c r="E36" s="173"/>
      <c r="F36" s="176">
        <f t="shared" si="27"/>
        <v>0</v>
      </c>
      <c r="G36" s="176">
        <f t="shared" si="27"/>
        <v>0</v>
      </c>
      <c r="H36" s="176">
        <f t="shared" si="27"/>
        <v>0</v>
      </c>
      <c r="I36" s="176">
        <f t="shared" si="27"/>
        <v>0</v>
      </c>
      <c r="J36" s="176">
        <f t="shared" si="27"/>
        <v>0</v>
      </c>
      <c r="K36" s="176">
        <f t="shared" si="27"/>
        <v>0</v>
      </c>
      <c r="L36" s="176">
        <f t="shared" si="27"/>
        <v>0</v>
      </c>
      <c r="M36" s="176">
        <f t="shared" si="27"/>
        <v>0</v>
      </c>
      <c r="N36" s="176">
        <f t="shared" si="27"/>
        <v>0</v>
      </c>
      <c r="O36" s="176">
        <f t="shared" si="27"/>
        <v>0</v>
      </c>
      <c r="P36" s="176">
        <f t="shared" si="27"/>
        <v>0</v>
      </c>
      <c r="Q36" s="177">
        <f t="shared" si="26"/>
        <v>0</v>
      </c>
    </row>
    <row r="37" spans="2:17" x14ac:dyDescent="0.25">
      <c r="B37" s="155" t="s">
        <v>232</v>
      </c>
      <c r="D37" s="173"/>
      <c r="E37" s="173"/>
      <c r="F37" s="176">
        <f t="shared" si="27"/>
        <v>0</v>
      </c>
      <c r="G37" s="176">
        <f t="shared" si="27"/>
        <v>0</v>
      </c>
      <c r="H37" s="176">
        <f t="shared" si="27"/>
        <v>0</v>
      </c>
      <c r="I37" s="176">
        <f t="shared" si="27"/>
        <v>0</v>
      </c>
      <c r="J37" s="176">
        <f t="shared" si="27"/>
        <v>0</v>
      </c>
      <c r="K37" s="176">
        <f t="shared" si="27"/>
        <v>0</v>
      </c>
      <c r="L37" s="176">
        <f t="shared" si="27"/>
        <v>0</v>
      </c>
      <c r="M37" s="176">
        <f t="shared" si="27"/>
        <v>0</v>
      </c>
      <c r="N37" s="176">
        <f t="shared" si="27"/>
        <v>0</v>
      </c>
      <c r="O37" s="176">
        <f t="shared" si="27"/>
        <v>0</v>
      </c>
      <c r="P37" s="176">
        <f t="shared" si="27"/>
        <v>0</v>
      </c>
      <c r="Q37" s="177">
        <f t="shared" si="26"/>
        <v>0</v>
      </c>
    </row>
    <row r="38" spans="2:17" x14ac:dyDescent="0.25">
      <c r="B38" s="155" t="s">
        <v>232</v>
      </c>
      <c r="D38" s="173"/>
      <c r="E38" s="173"/>
      <c r="F38" s="176">
        <f t="shared" si="27"/>
        <v>0</v>
      </c>
      <c r="G38" s="176">
        <f t="shared" si="27"/>
        <v>0</v>
      </c>
      <c r="H38" s="176">
        <f t="shared" si="27"/>
        <v>0</v>
      </c>
      <c r="I38" s="176">
        <f t="shared" si="27"/>
        <v>0</v>
      </c>
      <c r="J38" s="176">
        <f t="shared" si="27"/>
        <v>0</v>
      </c>
      <c r="K38" s="176">
        <f t="shared" si="27"/>
        <v>0</v>
      </c>
      <c r="L38" s="176">
        <f t="shared" si="27"/>
        <v>0</v>
      </c>
      <c r="M38" s="176">
        <f t="shared" si="27"/>
        <v>0</v>
      </c>
      <c r="N38" s="176">
        <f t="shared" si="27"/>
        <v>0</v>
      </c>
      <c r="O38" s="176">
        <f t="shared" si="27"/>
        <v>0</v>
      </c>
      <c r="P38" s="176">
        <f t="shared" si="27"/>
        <v>0</v>
      </c>
      <c r="Q38" s="177">
        <f t="shared" si="26"/>
        <v>0</v>
      </c>
    </row>
    <row r="39" spans="2:17" x14ac:dyDescent="0.25">
      <c r="B39" s="155" t="s">
        <v>232</v>
      </c>
      <c r="D39" s="173"/>
      <c r="E39" s="173"/>
      <c r="F39" s="176">
        <f t="shared" si="27"/>
        <v>0</v>
      </c>
      <c r="G39" s="176">
        <f t="shared" si="27"/>
        <v>0</v>
      </c>
      <c r="H39" s="176">
        <f t="shared" si="27"/>
        <v>0</v>
      </c>
      <c r="I39" s="176">
        <f t="shared" si="27"/>
        <v>0</v>
      </c>
      <c r="J39" s="176">
        <f t="shared" si="27"/>
        <v>0</v>
      </c>
      <c r="K39" s="176">
        <f t="shared" si="27"/>
        <v>0</v>
      </c>
      <c r="L39" s="176">
        <f t="shared" si="27"/>
        <v>0</v>
      </c>
      <c r="M39" s="176">
        <f t="shared" si="27"/>
        <v>0</v>
      </c>
      <c r="N39" s="176">
        <f t="shared" si="27"/>
        <v>0</v>
      </c>
      <c r="O39" s="176">
        <f t="shared" si="27"/>
        <v>0</v>
      </c>
      <c r="P39" s="176">
        <f t="shared" si="27"/>
        <v>0</v>
      </c>
      <c r="Q39" s="177">
        <f t="shared" si="26"/>
        <v>0</v>
      </c>
    </row>
    <row r="40" spans="2:17" x14ac:dyDescent="0.25">
      <c r="B40" s="155" t="s">
        <v>232</v>
      </c>
      <c r="D40" s="173"/>
      <c r="E40" s="173"/>
      <c r="F40" s="176">
        <f t="shared" si="27"/>
        <v>0</v>
      </c>
      <c r="G40" s="176">
        <f t="shared" si="27"/>
        <v>0</v>
      </c>
      <c r="H40" s="176">
        <f t="shared" si="27"/>
        <v>0</v>
      </c>
      <c r="I40" s="176">
        <f t="shared" si="27"/>
        <v>0</v>
      </c>
      <c r="J40" s="176">
        <f t="shared" si="27"/>
        <v>0</v>
      </c>
      <c r="K40" s="176">
        <f t="shared" si="27"/>
        <v>0</v>
      </c>
      <c r="L40" s="176">
        <f t="shared" si="27"/>
        <v>0</v>
      </c>
      <c r="M40" s="176">
        <f t="shared" si="27"/>
        <v>0</v>
      </c>
      <c r="N40" s="176">
        <f t="shared" si="27"/>
        <v>0</v>
      </c>
      <c r="O40" s="176">
        <f t="shared" si="27"/>
        <v>0</v>
      </c>
      <c r="P40" s="176">
        <f t="shared" si="27"/>
        <v>0</v>
      </c>
      <c r="Q40" s="177">
        <f t="shared" si="26"/>
        <v>0</v>
      </c>
    </row>
    <row r="41" spans="2:17" x14ac:dyDescent="0.25">
      <c r="B41" s="155" t="s">
        <v>232</v>
      </c>
      <c r="D41" s="173"/>
      <c r="E41" s="173"/>
      <c r="F41" s="176">
        <f t="shared" si="27"/>
        <v>0</v>
      </c>
      <c r="G41" s="176">
        <f t="shared" si="27"/>
        <v>0</v>
      </c>
      <c r="H41" s="176">
        <f t="shared" si="27"/>
        <v>0</v>
      </c>
      <c r="I41" s="176">
        <f t="shared" si="27"/>
        <v>0</v>
      </c>
      <c r="J41" s="176">
        <f t="shared" si="27"/>
        <v>0</v>
      </c>
      <c r="K41" s="176">
        <f t="shared" si="27"/>
        <v>0</v>
      </c>
      <c r="L41" s="176">
        <f t="shared" si="27"/>
        <v>0</v>
      </c>
      <c r="M41" s="176">
        <f t="shared" si="27"/>
        <v>0</v>
      </c>
      <c r="N41" s="176">
        <f t="shared" si="27"/>
        <v>0</v>
      </c>
      <c r="O41" s="176">
        <f t="shared" si="27"/>
        <v>0</v>
      </c>
      <c r="P41" s="176">
        <f t="shared" si="27"/>
        <v>0</v>
      </c>
      <c r="Q41" s="177">
        <f t="shared" si="26"/>
        <v>0</v>
      </c>
    </row>
    <row r="42" spans="2:17" x14ac:dyDescent="0.25">
      <c r="B42" s="155" t="s">
        <v>232</v>
      </c>
      <c r="D42" s="173"/>
      <c r="E42" s="173"/>
      <c r="F42" s="176">
        <f t="shared" si="27"/>
        <v>0</v>
      </c>
      <c r="G42" s="176">
        <f t="shared" si="27"/>
        <v>0</v>
      </c>
      <c r="H42" s="176">
        <f t="shared" si="27"/>
        <v>0</v>
      </c>
      <c r="I42" s="176">
        <f t="shared" si="27"/>
        <v>0</v>
      </c>
      <c r="J42" s="176">
        <f t="shared" si="27"/>
        <v>0</v>
      </c>
      <c r="K42" s="176">
        <f t="shared" si="27"/>
        <v>0</v>
      </c>
      <c r="L42" s="176">
        <f t="shared" si="27"/>
        <v>0</v>
      </c>
      <c r="M42" s="176">
        <f t="shared" si="27"/>
        <v>0</v>
      </c>
      <c r="N42" s="176">
        <f t="shared" si="27"/>
        <v>0</v>
      </c>
      <c r="O42" s="176">
        <f t="shared" si="27"/>
        <v>0</v>
      </c>
      <c r="P42" s="176">
        <f t="shared" si="27"/>
        <v>0</v>
      </c>
      <c r="Q42" s="177">
        <f t="shared" si="26"/>
        <v>0</v>
      </c>
    </row>
    <row r="43" spans="2:17" x14ac:dyDescent="0.25">
      <c r="B43" s="155" t="s">
        <v>232</v>
      </c>
      <c r="D43" s="173"/>
      <c r="E43" s="173"/>
      <c r="F43" s="176">
        <f t="shared" si="27"/>
        <v>0</v>
      </c>
      <c r="G43" s="176">
        <f t="shared" si="27"/>
        <v>0</v>
      </c>
      <c r="H43" s="176">
        <f t="shared" si="27"/>
        <v>0</v>
      </c>
      <c r="I43" s="176">
        <f t="shared" si="27"/>
        <v>0</v>
      </c>
      <c r="J43" s="176">
        <f t="shared" si="27"/>
        <v>0</v>
      </c>
      <c r="K43" s="176">
        <f t="shared" si="27"/>
        <v>0</v>
      </c>
      <c r="L43" s="176">
        <f t="shared" si="27"/>
        <v>0</v>
      </c>
      <c r="M43" s="176">
        <f t="shared" si="27"/>
        <v>0</v>
      </c>
      <c r="N43" s="176">
        <f t="shared" si="27"/>
        <v>0</v>
      </c>
      <c r="O43" s="176">
        <f t="shared" si="27"/>
        <v>0</v>
      </c>
      <c r="P43" s="176">
        <f t="shared" si="27"/>
        <v>0</v>
      </c>
      <c r="Q43" s="177">
        <f t="shared" si="26"/>
        <v>0</v>
      </c>
    </row>
    <row r="44" spans="2:17" x14ac:dyDescent="0.25">
      <c r="B44" s="155" t="s">
        <v>232</v>
      </c>
      <c r="D44" s="173"/>
      <c r="E44" s="173"/>
      <c r="F44" s="176">
        <f t="shared" si="27"/>
        <v>0</v>
      </c>
      <c r="G44" s="176">
        <f t="shared" si="27"/>
        <v>0</v>
      </c>
      <c r="H44" s="176">
        <f t="shared" si="27"/>
        <v>0</v>
      </c>
      <c r="I44" s="176">
        <f t="shared" si="27"/>
        <v>0</v>
      </c>
      <c r="J44" s="176">
        <f t="shared" si="27"/>
        <v>0</v>
      </c>
      <c r="K44" s="176">
        <f t="shared" si="27"/>
        <v>0</v>
      </c>
      <c r="L44" s="176">
        <f t="shared" si="27"/>
        <v>0</v>
      </c>
      <c r="M44" s="176">
        <f t="shared" si="27"/>
        <v>0</v>
      </c>
      <c r="N44" s="176">
        <f t="shared" si="27"/>
        <v>0</v>
      </c>
      <c r="O44" s="176">
        <f t="shared" si="27"/>
        <v>0</v>
      </c>
      <c r="P44" s="176">
        <f t="shared" si="27"/>
        <v>0</v>
      </c>
      <c r="Q44" s="177">
        <f t="shared" si="26"/>
        <v>0</v>
      </c>
    </row>
    <row r="45" spans="2:17" x14ac:dyDescent="0.25">
      <c r="B45" s="155" t="s">
        <v>232</v>
      </c>
      <c r="D45" s="173"/>
      <c r="E45" s="173"/>
      <c r="F45" s="176">
        <f t="shared" si="27"/>
        <v>0</v>
      </c>
      <c r="G45" s="176">
        <f t="shared" si="27"/>
        <v>0</v>
      </c>
      <c r="H45" s="176">
        <f t="shared" si="27"/>
        <v>0</v>
      </c>
      <c r="I45" s="176">
        <f t="shared" si="27"/>
        <v>0</v>
      </c>
      <c r="J45" s="176">
        <f t="shared" si="27"/>
        <v>0</v>
      </c>
      <c r="K45" s="176">
        <f t="shared" si="27"/>
        <v>0</v>
      </c>
      <c r="L45" s="176">
        <f t="shared" si="27"/>
        <v>0</v>
      </c>
      <c r="M45" s="176">
        <f t="shared" si="27"/>
        <v>0</v>
      </c>
      <c r="N45" s="176">
        <f t="shared" si="27"/>
        <v>0</v>
      </c>
      <c r="O45" s="176">
        <f t="shared" si="27"/>
        <v>0</v>
      </c>
      <c r="P45" s="176">
        <f t="shared" si="27"/>
        <v>0</v>
      </c>
      <c r="Q45" s="177">
        <f t="shared" si="26"/>
        <v>0</v>
      </c>
    </row>
    <row r="46" spans="2:17" x14ac:dyDescent="0.25">
      <c r="B46" s="142" t="s">
        <v>233</v>
      </c>
      <c r="D46" s="173"/>
      <c r="E46" s="173"/>
      <c r="F46" s="176">
        <f t="shared" si="27"/>
        <v>0</v>
      </c>
      <c r="G46" s="176">
        <f t="shared" si="27"/>
        <v>0</v>
      </c>
      <c r="H46" s="176">
        <f t="shared" si="27"/>
        <v>0</v>
      </c>
      <c r="I46" s="176">
        <f t="shared" si="27"/>
        <v>0</v>
      </c>
      <c r="J46" s="176">
        <f t="shared" si="27"/>
        <v>0</v>
      </c>
      <c r="K46" s="176">
        <f t="shared" si="27"/>
        <v>0</v>
      </c>
      <c r="L46" s="176">
        <f t="shared" si="27"/>
        <v>0</v>
      </c>
      <c r="M46" s="176">
        <f t="shared" si="27"/>
        <v>0</v>
      </c>
      <c r="N46" s="176">
        <f t="shared" si="27"/>
        <v>0</v>
      </c>
      <c r="O46" s="176">
        <f t="shared" si="27"/>
        <v>0</v>
      </c>
      <c r="P46" s="176">
        <f t="shared" si="27"/>
        <v>0</v>
      </c>
      <c r="Q46" s="177">
        <f t="shared" si="26"/>
        <v>0</v>
      </c>
    </row>
    <row r="50" spans="2:9" x14ac:dyDescent="0.25">
      <c r="E50" s="178"/>
      <c r="F50" s="178"/>
      <c r="G50" s="178"/>
      <c r="H50" s="178"/>
      <c r="I50" s="178"/>
    </row>
    <row r="51" spans="2:9" x14ac:dyDescent="0.25">
      <c r="B51" s="179" t="s">
        <v>234</v>
      </c>
    </row>
    <row r="52" spans="2:9" x14ac:dyDescent="0.25">
      <c r="B52" s="180"/>
      <c r="C52" s="181"/>
      <c r="D52" s="181"/>
    </row>
    <row r="53" spans="2:9" x14ac:dyDescent="0.25">
      <c r="B53" s="180" t="s">
        <v>235</v>
      </c>
      <c r="C53" s="182"/>
      <c r="D53" s="182">
        <f>NPV(Param!D4,E5:P5)+D5</f>
        <v>204067.37421387804</v>
      </c>
    </row>
    <row r="54" spans="2:9" x14ac:dyDescent="0.25">
      <c r="B54" s="180" t="s">
        <v>236</v>
      </c>
      <c r="D54" s="173">
        <f>COUNTIF(D6:P6,"&lt;=0")</f>
        <v>0</v>
      </c>
    </row>
    <row r="55" spans="2:9" x14ac:dyDescent="0.25">
      <c r="B55" s="180" t="s">
        <v>237</v>
      </c>
      <c r="C55" s="181"/>
      <c r="D55" s="183">
        <f>SUM(E5:P5)/-D5</f>
        <v>-1.2772846284118142</v>
      </c>
    </row>
  </sheetData>
  <mergeCells count="2">
    <mergeCell ref="B2:C2"/>
    <mergeCell ref="D2:P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ABD6-E0A7-4720-A03C-8227CB7F18AA}">
  <dimension ref="B2:Q61"/>
  <sheetViews>
    <sheetView showGridLines="0" zoomScale="80" zoomScaleNormal="80" workbookViewId="0">
      <pane xSplit="2" ySplit="4" topLeftCell="C5" activePane="bottomRight" state="frozen"/>
      <selection activeCell="D16" sqref="D16:D17"/>
      <selection pane="topRight" activeCell="D16" sqref="D16:D17"/>
      <selection pane="bottomLeft" activeCell="D16" sqref="D16:D17"/>
      <selection pane="bottomRight" activeCell="A22" sqref="A22"/>
    </sheetView>
  </sheetViews>
  <sheetFormatPr defaultColWidth="9.28515625" defaultRowHeight="15" x14ac:dyDescent="0.25"/>
  <cols>
    <col min="1" max="1" width="2.7109375" style="142" customWidth="1"/>
    <col min="2" max="2" width="41.42578125" style="142" customWidth="1"/>
    <col min="3" max="3" width="39.28515625" style="142" customWidth="1"/>
    <col min="4" max="4" width="12.7109375" style="142" customWidth="1"/>
    <col min="5" max="5" width="13.5703125" style="142" customWidth="1"/>
    <col min="6" max="6" width="13" style="142" customWidth="1"/>
    <col min="7" max="16" width="12.7109375" style="142" bestFit="1" customWidth="1"/>
    <col min="17" max="17" width="12.5703125" style="190" bestFit="1" customWidth="1"/>
    <col min="18" max="16384" width="9.28515625" style="142"/>
  </cols>
  <sheetData>
    <row r="2" spans="2:17" x14ac:dyDescent="0.25">
      <c r="B2" s="233" t="str">
        <f>Orcado!B2</f>
        <v>Identificação do Projeto</v>
      </c>
      <c r="C2" s="233"/>
      <c r="D2" s="184"/>
      <c r="E2" s="235" t="s">
        <v>207</v>
      </c>
      <c r="F2" s="235"/>
      <c r="G2" s="235"/>
      <c r="H2" s="235"/>
      <c r="I2" s="235"/>
      <c r="J2" s="235"/>
      <c r="K2" s="235"/>
      <c r="L2" s="235"/>
      <c r="M2" s="235"/>
      <c r="N2" s="235"/>
      <c r="O2" s="235"/>
      <c r="P2" s="235"/>
      <c r="Q2" s="185"/>
    </row>
    <row r="3" spans="2:17" x14ac:dyDescent="0.25">
      <c r="B3" s="145" t="s">
        <v>208</v>
      </c>
      <c r="C3" s="186" t="str">
        <f>Param!C17</f>
        <v>PI ADS4 - 2025</v>
      </c>
      <c r="D3" s="184"/>
      <c r="E3" s="146">
        <f>Orcado!E3</f>
        <v>45891</v>
      </c>
      <c r="F3" s="146">
        <f>Orcado!F3</f>
        <v>45922</v>
      </c>
      <c r="G3" s="146">
        <f>Orcado!G3</f>
        <v>45952</v>
      </c>
      <c r="H3" s="146">
        <f>Orcado!H3</f>
        <v>45983</v>
      </c>
      <c r="I3" s="146">
        <f>Orcado!I3</f>
        <v>46013</v>
      </c>
      <c r="J3" s="146">
        <f>Orcado!J3</f>
        <v>46044</v>
      </c>
      <c r="K3" s="146">
        <f>Orcado!K3</f>
        <v>46075</v>
      </c>
      <c r="L3" s="146">
        <f>Orcado!L3</f>
        <v>46103</v>
      </c>
      <c r="M3" s="146">
        <f>Orcado!M3</f>
        <v>46134</v>
      </c>
      <c r="N3" s="146">
        <f>Orcado!N3</f>
        <v>46164</v>
      </c>
      <c r="O3" s="146">
        <f>Orcado!O3</f>
        <v>46195</v>
      </c>
      <c r="P3" s="146">
        <f>Orcado!P3</f>
        <v>46225</v>
      </c>
      <c r="Q3" s="187" t="s">
        <v>29</v>
      </c>
    </row>
    <row r="4" spans="2:17" x14ac:dyDescent="0.25">
      <c r="B4" s="145" t="s">
        <v>209</v>
      </c>
      <c r="C4" s="188" t="str">
        <f>Param!C19</f>
        <v>Cannoli</v>
      </c>
      <c r="D4" s="150">
        <v>0</v>
      </c>
      <c r="E4" s="150">
        <v>1</v>
      </c>
      <c r="F4" s="150">
        <f>E4+1</f>
        <v>2</v>
      </c>
      <c r="G4" s="150">
        <f t="shared" ref="G4:P4" si="0">F4+1</f>
        <v>3</v>
      </c>
      <c r="H4" s="150">
        <f t="shared" si="0"/>
        <v>4</v>
      </c>
      <c r="I4" s="150">
        <f t="shared" si="0"/>
        <v>5</v>
      </c>
      <c r="J4" s="150">
        <f t="shared" si="0"/>
        <v>6</v>
      </c>
      <c r="K4" s="150">
        <f t="shared" si="0"/>
        <v>7</v>
      </c>
      <c r="L4" s="150">
        <f t="shared" si="0"/>
        <v>8</v>
      </c>
      <c r="M4" s="150">
        <f t="shared" si="0"/>
        <v>9</v>
      </c>
      <c r="N4" s="150">
        <f t="shared" si="0"/>
        <v>10</v>
      </c>
      <c r="O4" s="150">
        <f t="shared" si="0"/>
        <v>11</v>
      </c>
      <c r="P4" s="150">
        <f t="shared" si="0"/>
        <v>12</v>
      </c>
      <c r="Q4" s="185"/>
    </row>
    <row r="5" spans="2:17" x14ac:dyDescent="0.25">
      <c r="B5" s="155" t="s">
        <v>238</v>
      </c>
      <c r="D5" s="153">
        <f>SUM(D9+D11+D13+D15+D17+D19+D21+D23+D25+D27+D29)</f>
        <v>158109</v>
      </c>
      <c r="E5" s="153">
        <f>SUM(E39:E52)+E9+E11+E13+E15+E17+E19+E21+E23+E25+E27+E29</f>
        <v>7987.4</v>
      </c>
      <c r="F5" s="153">
        <f>SUM(F9+F11+F13+F15+F17+F19+F21+F23+F25+F27+F29)</f>
        <v>8708.1400000000012</v>
      </c>
      <c r="G5" s="153">
        <f>SUM(G9+G11+G13+G15+G17+G19+G21+G23+G25+G27+G29)</f>
        <v>9500.9540000000015</v>
      </c>
      <c r="H5" s="153">
        <f>SUM(H9+H11+H13+H15+H17+H19+H21+H23+H25+H27+H29)</f>
        <v>10373.049400000004</v>
      </c>
      <c r="I5" s="153">
        <f>SUM(I9+I11+I13+I15+I17+I19+I21+I23+I25+I27+I29)</f>
        <v>11332.354340000004</v>
      </c>
      <c r="J5" s="153">
        <f t="shared" ref="J5:L5" si="1">SUM(J9+J11+J13+J15+J17+J19+J21+J23+J25+J27+J29)</f>
        <v>12387.589774000005</v>
      </c>
      <c r="K5" s="153">
        <f t="shared" si="1"/>
        <v>13548.348751400006</v>
      </c>
      <c r="L5" s="153">
        <f t="shared" si="1"/>
        <v>14825.183626540009</v>
      </c>
      <c r="M5" s="153">
        <f>SUM(M9+M11+M13+M15+M17+M19+M21+M23+M25+M27+M29)</f>
        <v>16229.701989194014</v>
      </c>
      <c r="N5" s="153">
        <f>SUM(N9+N11+N13+N15+N17+N19+N21+N23+N25+N27+N29)</f>
        <v>17774.672188113411</v>
      </c>
      <c r="O5" s="153">
        <f>SUM(O9+O11+O13+O15+O17+O19+O21+O23+O25+O27+O29)</f>
        <v>19474.139406924758</v>
      </c>
      <c r="P5" s="153">
        <f>SUM(P9+P11+P13+P15+P17+P19+P21+P23+P25+P27+P29)</f>
        <v>21343.553347617235</v>
      </c>
      <c r="Q5" s="189">
        <f>SUM(E5:P5)</f>
        <v>163485.08682378946</v>
      </c>
    </row>
    <row r="6" spans="2:17" x14ac:dyDescent="0.25">
      <c r="B6" s="155" t="s">
        <v>211</v>
      </c>
      <c r="D6" s="153">
        <f>D5</f>
        <v>158109</v>
      </c>
      <c r="E6" s="153">
        <f>D6+E5</f>
        <v>166096.4</v>
      </c>
      <c r="F6" s="153">
        <f>E6+F5</f>
        <v>174804.54</v>
      </c>
      <c r="G6" s="153">
        <f t="shared" ref="G6:P6" si="2">F6+G5</f>
        <v>184305.49400000001</v>
      </c>
      <c r="H6" s="153">
        <f t="shared" si="2"/>
        <v>194678.54340000002</v>
      </c>
      <c r="I6" s="153">
        <f t="shared" si="2"/>
        <v>206010.89774000001</v>
      </c>
      <c r="J6" s="153">
        <f t="shared" si="2"/>
        <v>218398.48751400001</v>
      </c>
      <c r="K6" s="153">
        <f t="shared" si="2"/>
        <v>231946.83626540002</v>
      </c>
      <c r="L6" s="153">
        <f t="shared" si="2"/>
        <v>246772.01989194003</v>
      </c>
      <c r="M6" s="153">
        <f t="shared" si="2"/>
        <v>263001.72188113403</v>
      </c>
      <c r="N6" s="153">
        <f t="shared" si="2"/>
        <v>280776.39406924741</v>
      </c>
      <c r="O6" s="153">
        <f t="shared" si="2"/>
        <v>300250.53347617219</v>
      </c>
      <c r="P6" s="153">
        <f t="shared" si="2"/>
        <v>321594.0868237894</v>
      </c>
    </row>
    <row r="7" spans="2:17" x14ac:dyDescent="0.25">
      <c r="B7" s="145" t="s">
        <v>171</v>
      </c>
      <c r="C7" s="155" t="s">
        <v>212</v>
      </c>
      <c r="D7" s="155"/>
    </row>
    <row r="8" spans="2:17" x14ac:dyDescent="0.25">
      <c r="B8" s="145" t="s">
        <v>213</v>
      </c>
      <c r="C8" s="156"/>
      <c r="D8" s="157"/>
      <c r="E8" s="157"/>
      <c r="F8" s="157"/>
      <c r="G8" s="157"/>
      <c r="H8" s="157"/>
      <c r="I8" s="157"/>
      <c r="J8" s="157"/>
      <c r="K8" s="157"/>
      <c r="L8" s="157"/>
      <c r="M8" s="157"/>
      <c r="N8" s="156"/>
      <c r="O8" s="156"/>
      <c r="P8" s="156"/>
      <c r="Q8" s="191"/>
    </row>
    <row r="9" spans="2:17" ht="45" x14ac:dyDescent="0.25">
      <c r="B9" s="192" t="str">
        <f>Orcado!B9</f>
        <v>Iniciação</v>
      </c>
      <c r="C9" s="162" t="s">
        <v>215</v>
      </c>
      <c r="D9" s="163">
        <v>9360</v>
      </c>
      <c r="E9" s="163">
        <v>780</v>
      </c>
      <c r="F9" s="164">
        <f t="shared" ref="F9:P9" si="3">E9*(1+F8)</f>
        <v>780</v>
      </c>
      <c r="G9" s="164">
        <f t="shared" si="3"/>
        <v>780</v>
      </c>
      <c r="H9" s="164">
        <f t="shared" si="3"/>
        <v>780</v>
      </c>
      <c r="I9" s="164">
        <f>H9*(1+I8)</f>
        <v>780</v>
      </c>
      <c r="J9" s="164">
        <f>I9*(1+J8)</f>
        <v>780</v>
      </c>
      <c r="K9" s="164">
        <f t="shared" si="3"/>
        <v>780</v>
      </c>
      <c r="L9" s="164">
        <f t="shared" si="3"/>
        <v>780</v>
      </c>
      <c r="M9" s="164">
        <f t="shared" si="3"/>
        <v>780</v>
      </c>
      <c r="N9" s="164">
        <f t="shared" si="3"/>
        <v>780</v>
      </c>
      <c r="O9" s="164">
        <f t="shared" si="3"/>
        <v>780</v>
      </c>
      <c r="P9" s="164">
        <f t="shared" si="3"/>
        <v>780</v>
      </c>
      <c r="Q9" s="193">
        <f>SUM(E9:P9)</f>
        <v>9360</v>
      </c>
    </row>
    <row r="10" spans="2:17" x14ac:dyDescent="0.25">
      <c r="B10" s="194"/>
      <c r="C10" s="156"/>
      <c r="D10" s="157"/>
      <c r="E10" s="157"/>
      <c r="F10" s="158">
        <v>0.1</v>
      </c>
      <c r="G10" s="158">
        <v>0.1</v>
      </c>
      <c r="H10" s="158">
        <v>0.1</v>
      </c>
      <c r="I10" s="158">
        <v>0.1</v>
      </c>
      <c r="J10" s="158">
        <v>0.1</v>
      </c>
      <c r="K10" s="158">
        <v>0.1</v>
      </c>
      <c r="L10" s="158">
        <v>0.1</v>
      </c>
      <c r="M10" s="158">
        <v>0.1</v>
      </c>
      <c r="N10" s="158">
        <v>0.1</v>
      </c>
      <c r="O10" s="158">
        <v>0.1</v>
      </c>
      <c r="P10" s="158">
        <v>0.1</v>
      </c>
      <c r="Q10" s="191"/>
    </row>
    <row r="11" spans="2:17" ht="60" x14ac:dyDescent="0.25">
      <c r="B11" s="195" t="str">
        <f>Orcado!B11</f>
        <v>Planejamento</v>
      </c>
      <c r="C11" s="168" t="s">
        <v>218</v>
      </c>
      <c r="D11" s="163">
        <v>16680</v>
      </c>
      <c r="E11" s="163">
        <v>780</v>
      </c>
      <c r="F11" s="164">
        <f>E11*(1+F10)</f>
        <v>858.00000000000011</v>
      </c>
      <c r="G11" s="164">
        <f t="shared" ref="G11:H11" si="4">F11*(1+G10)</f>
        <v>943.80000000000018</v>
      </c>
      <c r="H11" s="164">
        <f t="shared" si="4"/>
        <v>1038.1800000000003</v>
      </c>
      <c r="I11" s="164">
        <f>H11*(1+I10)</f>
        <v>1141.9980000000005</v>
      </c>
      <c r="J11" s="164">
        <f>I11*(1+J10)</f>
        <v>1256.1978000000006</v>
      </c>
      <c r="K11" s="164">
        <f>J11*(1+K10)</f>
        <v>1381.8175800000008</v>
      </c>
      <c r="L11" s="164">
        <f t="shared" ref="L11:P11" si="5">K11*(1+L10)</f>
        <v>1519.999338000001</v>
      </c>
      <c r="M11" s="164">
        <f t="shared" si="5"/>
        <v>1671.9992718000012</v>
      </c>
      <c r="N11" s="164">
        <f t="shared" si="5"/>
        <v>1839.1991989800015</v>
      </c>
      <c r="O11" s="164">
        <f t="shared" si="5"/>
        <v>2023.1191188780017</v>
      </c>
      <c r="P11" s="164">
        <f t="shared" si="5"/>
        <v>2225.431030765802</v>
      </c>
      <c r="Q11" s="193">
        <f>SUM(E11:P11)</f>
        <v>16679.74133842381</v>
      </c>
    </row>
    <row r="12" spans="2:17" x14ac:dyDescent="0.25">
      <c r="B12" s="194"/>
      <c r="C12" s="156"/>
      <c r="D12" s="157"/>
      <c r="E12" s="157"/>
      <c r="F12" s="158">
        <v>0.1</v>
      </c>
      <c r="G12" s="159">
        <f>F12</f>
        <v>0.1</v>
      </c>
      <c r="H12" s="159">
        <f t="shared" ref="H12:P12" si="6">G12</f>
        <v>0.1</v>
      </c>
      <c r="I12" s="159">
        <f t="shared" si="6"/>
        <v>0.1</v>
      </c>
      <c r="J12" s="159">
        <f t="shared" si="6"/>
        <v>0.1</v>
      </c>
      <c r="K12" s="159">
        <f t="shared" si="6"/>
        <v>0.1</v>
      </c>
      <c r="L12" s="159">
        <f t="shared" si="6"/>
        <v>0.1</v>
      </c>
      <c r="M12" s="159">
        <f t="shared" si="6"/>
        <v>0.1</v>
      </c>
      <c r="N12" s="159">
        <f t="shared" si="6"/>
        <v>0.1</v>
      </c>
      <c r="O12" s="159">
        <f t="shared" si="6"/>
        <v>0.1</v>
      </c>
      <c r="P12" s="159">
        <f t="shared" si="6"/>
        <v>0.1</v>
      </c>
      <c r="Q12" s="191"/>
    </row>
    <row r="13" spans="2:17" ht="60" x14ac:dyDescent="0.25">
      <c r="B13" s="195" t="str">
        <f>Orcado!B13</f>
        <v>Design e Prototipagem</v>
      </c>
      <c r="C13" s="168" t="s">
        <v>219</v>
      </c>
      <c r="D13" s="163">
        <v>14969</v>
      </c>
      <c r="E13" s="163">
        <v>700</v>
      </c>
      <c r="F13" s="164">
        <f t="shared" ref="F13:P13" si="7">E13*(1+F12)</f>
        <v>770.00000000000011</v>
      </c>
      <c r="G13" s="164">
        <f t="shared" si="7"/>
        <v>847.00000000000023</v>
      </c>
      <c r="H13" s="164">
        <f t="shared" si="7"/>
        <v>931.70000000000027</v>
      </c>
      <c r="I13" s="164">
        <f t="shared" si="7"/>
        <v>1024.8700000000003</v>
      </c>
      <c r="J13" s="164">
        <f t="shared" si="7"/>
        <v>1127.3570000000004</v>
      </c>
      <c r="K13" s="164">
        <f>J13*(1+K12)</f>
        <v>1240.0927000000006</v>
      </c>
      <c r="L13" s="164">
        <f t="shared" si="7"/>
        <v>1364.1019700000008</v>
      </c>
      <c r="M13" s="164">
        <f t="shared" si="7"/>
        <v>1500.512167000001</v>
      </c>
      <c r="N13" s="164">
        <f t="shared" si="7"/>
        <v>1650.5633837000012</v>
      </c>
      <c r="O13" s="164">
        <f t="shared" si="7"/>
        <v>1815.6197220700014</v>
      </c>
      <c r="P13" s="164">
        <f t="shared" si="7"/>
        <v>1997.1816942770017</v>
      </c>
      <c r="Q13" s="193">
        <f>SUM(E13:P13)</f>
        <v>14968.998637047009</v>
      </c>
    </row>
    <row r="14" spans="2:17" x14ac:dyDescent="0.25">
      <c r="B14" s="194"/>
      <c r="C14" s="156"/>
      <c r="D14" s="157"/>
      <c r="E14" s="157"/>
      <c r="F14" s="158">
        <v>0.1</v>
      </c>
      <c r="G14" s="159">
        <f>F14</f>
        <v>0.1</v>
      </c>
      <c r="H14" s="159">
        <f t="shared" ref="H14:P14" si="8">G14</f>
        <v>0.1</v>
      </c>
      <c r="I14" s="159">
        <f t="shared" si="8"/>
        <v>0.1</v>
      </c>
      <c r="J14" s="159">
        <f t="shared" si="8"/>
        <v>0.1</v>
      </c>
      <c r="K14" s="159">
        <f t="shared" si="8"/>
        <v>0.1</v>
      </c>
      <c r="L14" s="159">
        <f t="shared" si="8"/>
        <v>0.1</v>
      </c>
      <c r="M14" s="159">
        <f t="shared" si="8"/>
        <v>0.1</v>
      </c>
      <c r="N14" s="159">
        <f t="shared" si="8"/>
        <v>0.1</v>
      </c>
      <c r="O14" s="159">
        <f t="shared" si="8"/>
        <v>0.1</v>
      </c>
      <c r="P14" s="159">
        <f t="shared" si="8"/>
        <v>0.1</v>
      </c>
      <c r="Q14" s="191"/>
    </row>
    <row r="15" spans="2:17" ht="30" x14ac:dyDescent="0.25">
      <c r="B15" s="195" t="str">
        <f>Orcado!B15</f>
        <v>Desenvolvimento</v>
      </c>
      <c r="C15" s="168" t="s">
        <v>220</v>
      </c>
      <c r="D15" s="163">
        <v>32000</v>
      </c>
      <c r="E15" s="163">
        <v>1700</v>
      </c>
      <c r="F15" s="164">
        <f t="shared" ref="F15:P15" si="9">E15*(1+F14)</f>
        <v>1870.0000000000002</v>
      </c>
      <c r="G15" s="164">
        <f t="shared" si="9"/>
        <v>2057.0000000000005</v>
      </c>
      <c r="H15" s="164">
        <f t="shared" si="9"/>
        <v>2262.7000000000007</v>
      </c>
      <c r="I15" s="164">
        <f>H15*(1+I14)</f>
        <v>2488.9700000000012</v>
      </c>
      <c r="J15" s="164">
        <f t="shared" si="9"/>
        <v>2737.8670000000016</v>
      </c>
      <c r="K15" s="164">
        <f>J15*(1+K14)</f>
        <v>3011.6537000000021</v>
      </c>
      <c r="L15" s="164">
        <f t="shared" si="9"/>
        <v>3312.8190700000027</v>
      </c>
      <c r="M15" s="164">
        <f t="shared" si="9"/>
        <v>3644.1009770000032</v>
      </c>
      <c r="N15" s="164">
        <f t="shared" si="9"/>
        <v>4008.511074700004</v>
      </c>
      <c r="O15" s="164">
        <f t="shared" si="9"/>
        <v>4409.3621821700044</v>
      </c>
      <c r="P15" s="164">
        <f t="shared" si="9"/>
        <v>4850.2984003870051</v>
      </c>
      <c r="Q15" s="193">
        <f>SUM(E15:P15)</f>
        <v>36353.282404257021</v>
      </c>
    </row>
    <row r="16" spans="2:17" x14ac:dyDescent="0.25">
      <c r="B16" s="194"/>
      <c r="C16" s="156"/>
      <c r="D16" s="157"/>
      <c r="E16" s="157"/>
      <c r="F16" s="158">
        <v>0.1</v>
      </c>
      <c r="G16" s="159">
        <f>F16</f>
        <v>0.1</v>
      </c>
      <c r="H16" s="159">
        <f t="shared" ref="H16:P16" si="10">G16</f>
        <v>0.1</v>
      </c>
      <c r="I16" s="159">
        <f t="shared" si="10"/>
        <v>0.1</v>
      </c>
      <c r="J16" s="159">
        <f t="shared" si="10"/>
        <v>0.1</v>
      </c>
      <c r="K16" s="159">
        <f t="shared" si="10"/>
        <v>0.1</v>
      </c>
      <c r="L16" s="159">
        <f t="shared" si="10"/>
        <v>0.1</v>
      </c>
      <c r="M16" s="159">
        <f t="shared" si="10"/>
        <v>0.1</v>
      </c>
      <c r="N16" s="159">
        <f t="shared" si="10"/>
        <v>0.1</v>
      </c>
      <c r="O16" s="159">
        <f t="shared" si="10"/>
        <v>0.1</v>
      </c>
      <c r="P16" s="159">
        <f t="shared" si="10"/>
        <v>0.1</v>
      </c>
      <c r="Q16" s="191"/>
    </row>
    <row r="17" spans="2:17" x14ac:dyDescent="0.25">
      <c r="B17" s="195" t="str">
        <f>Orcado!B17</f>
        <v>Integração com sistemas de monitoramento de saúde</v>
      </c>
      <c r="C17" s="170" t="s">
        <v>221</v>
      </c>
      <c r="D17" s="163">
        <v>5000</v>
      </c>
      <c r="E17" s="163">
        <v>203</v>
      </c>
      <c r="F17" s="163">
        <f>E17*(1+F16)</f>
        <v>223.3</v>
      </c>
      <c r="G17" s="163">
        <f>F17*(1+G16)</f>
        <v>245.63000000000002</v>
      </c>
      <c r="H17" s="163">
        <f t="shared" ref="H17:P17" si="11">G17*(1+H16)</f>
        <v>270.19300000000004</v>
      </c>
      <c r="I17" s="163">
        <f t="shared" si="11"/>
        <v>297.21230000000008</v>
      </c>
      <c r="J17" s="163">
        <f t="shared" si="11"/>
        <v>326.93353000000013</v>
      </c>
      <c r="K17" s="163">
        <f t="shared" si="11"/>
        <v>359.62688300000019</v>
      </c>
      <c r="L17" s="163">
        <f t="shared" si="11"/>
        <v>395.58957130000022</v>
      </c>
      <c r="M17" s="163">
        <f t="shared" si="11"/>
        <v>435.14852843000028</v>
      </c>
      <c r="N17" s="163">
        <f t="shared" si="11"/>
        <v>478.66338127300037</v>
      </c>
      <c r="O17" s="163">
        <f t="shared" si="11"/>
        <v>526.52971940030045</v>
      </c>
      <c r="P17" s="163">
        <f t="shared" si="11"/>
        <v>579.18269134033051</v>
      </c>
      <c r="Q17" s="193">
        <f>SUM(E17:P17)</f>
        <v>4341.0096047436318</v>
      </c>
    </row>
    <row r="18" spans="2:17" x14ac:dyDescent="0.25">
      <c r="B18" s="194"/>
      <c r="C18" s="156"/>
      <c r="D18" s="157"/>
      <c r="E18" s="157"/>
      <c r="F18" s="158">
        <v>0.1</v>
      </c>
      <c r="G18" s="159">
        <f>F18</f>
        <v>0.1</v>
      </c>
      <c r="H18" s="159">
        <f t="shared" ref="H18:P18" si="12">G18</f>
        <v>0.1</v>
      </c>
      <c r="I18" s="159">
        <f t="shared" si="12"/>
        <v>0.1</v>
      </c>
      <c r="J18" s="159">
        <f t="shared" si="12"/>
        <v>0.1</v>
      </c>
      <c r="K18" s="159">
        <f t="shared" si="12"/>
        <v>0.1</v>
      </c>
      <c r="L18" s="159">
        <f t="shared" si="12"/>
        <v>0.1</v>
      </c>
      <c r="M18" s="159">
        <f t="shared" si="12"/>
        <v>0.1</v>
      </c>
      <c r="N18" s="159">
        <f t="shared" si="12"/>
        <v>0.1</v>
      </c>
      <c r="O18" s="159">
        <f t="shared" si="12"/>
        <v>0.1</v>
      </c>
      <c r="P18" s="159">
        <f t="shared" si="12"/>
        <v>0.1</v>
      </c>
      <c r="Q18" s="191"/>
    </row>
    <row r="19" spans="2:17" x14ac:dyDescent="0.25">
      <c r="B19" s="195" t="str">
        <f>Orcado!B19</f>
        <v>Teste</v>
      </c>
      <c r="C19" s="170" t="s">
        <v>223</v>
      </c>
      <c r="D19" s="163">
        <v>11600</v>
      </c>
      <c r="E19" s="163">
        <v>520</v>
      </c>
      <c r="F19" s="163">
        <f>E19*(1+F18)</f>
        <v>572</v>
      </c>
      <c r="G19" s="163">
        <f>F19*(1+G18)</f>
        <v>629.20000000000005</v>
      </c>
      <c r="H19" s="163">
        <f t="shared" ref="H19:P19" si="13">G19*(1+H18)</f>
        <v>692.12000000000012</v>
      </c>
      <c r="I19" s="163">
        <f t="shared" si="13"/>
        <v>761.33200000000022</v>
      </c>
      <c r="J19" s="163">
        <f t="shared" si="13"/>
        <v>837.46520000000032</v>
      </c>
      <c r="K19" s="163">
        <f t="shared" si="13"/>
        <v>921.21172000000047</v>
      </c>
      <c r="L19" s="163">
        <f t="shared" si="13"/>
        <v>1013.3328920000006</v>
      </c>
      <c r="M19" s="163">
        <f t="shared" si="13"/>
        <v>1114.6661812000007</v>
      </c>
      <c r="N19" s="163">
        <f t="shared" si="13"/>
        <v>1226.1327993200009</v>
      </c>
      <c r="O19" s="163">
        <f t="shared" si="13"/>
        <v>1348.7460792520012</v>
      </c>
      <c r="P19" s="163">
        <f t="shared" si="13"/>
        <v>1483.6206871772015</v>
      </c>
      <c r="Q19" s="193">
        <f>SUM(E19:P19)</f>
        <v>11119.827558949206</v>
      </c>
    </row>
    <row r="20" spans="2:17" x14ac:dyDescent="0.25">
      <c r="B20" s="194"/>
      <c r="C20" s="156"/>
      <c r="D20" s="157"/>
      <c r="E20" s="157"/>
      <c r="F20" s="158">
        <v>0.1</v>
      </c>
      <c r="G20" s="159">
        <f>F20</f>
        <v>0.1</v>
      </c>
      <c r="H20" s="159">
        <f t="shared" ref="H20:P20" si="14">G20</f>
        <v>0.1</v>
      </c>
      <c r="I20" s="159">
        <f t="shared" si="14"/>
        <v>0.1</v>
      </c>
      <c r="J20" s="159">
        <f t="shared" si="14"/>
        <v>0.1</v>
      </c>
      <c r="K20" s="159">
        <f t="shared" si="14"/>
        <v>0.1</v>
      </c>
      <c r="L20" s="159">
        <f t="shared" si="14"/>
        <v>0.1</v>
      </c>
      <c r="M20" s="159">
        <f t="shared" si="14"/>
        <v>0.1</v>
      </c>
      <c r="N20" s="159">
        <f t="shared" si="14"/>
        <v>0.1</v>
      </c>
      <c r="O20" s="159">
        <f t="shared" si="14"/>
        <v>0.1</v>
      </c>
      <c r="P20" s="159">
        <f t="shared" si="14"/>
        <v>0.1</v>
      </c>
      <c r="Q20" s="191"/>
    </row>
    <row r="21" spans="2:17" x14ac:dyDescent="0.25">
      <c r="B21" s="195" t="str">
        <f>Orcado!B21</f>
        <v>Lançamento (Stakeholders internos)</v>
      </c>
      <c r="C21" s="170" t="s">
        <v>224</v>
      </c>
      <c r="D21" s="163">
        <v>18600</v>
      </c>
      <c r="E21" s="163">
        <v>950</v>
      </c>
      <c r="F21" s="163">
        <f>E21*(1+F20)</f>
        <v>1045</v>
      </c>
      <c r="G21" s="163">
        <f>F21*(1+G20)</f>
        <v>1149.5</v>
      </c>
      <c r="H21" s="163">
        <f t="shared" ref="H21:P21" si="15">G21*(1+H20)</f>
        <v>1264.45</v>
      </c>
      <c r="I21" s="163">
        <f t="shared" si="15"/>
        <v>1390.8950000000002</v>
      </c>
      <c r="J21" s="163">
        <f t="shared" si="15"/>
        <v>1529.9845000000003</v>
      </c>
      <c r="K21" s="163">
        <f t="shared" si="15"/>
        <v>1682.9829500000003</v>
      </c>
      <c r="L21" s="163">
        <f t="shared" si="15"/>
        <v>1851.2812450000006</v>
      </c>
      <c r="M21" s="163">
        <f t="shared" si="15"/>
        <v>2036.4093695000008</v>
      </c>
      <c r="N21" s="163">
        <f t="shared" si="15"/>
        <v>2240.0503064500012</v>
      </c>
      <c r="O21" s="163">
        <f t="shared" si="15"/>
        <v>2464.0553370950015</v>
      </c>
      <c r="P21" s="163">
        <f t="shared" si="15"/>
        <v>2710.4608708045021</v>
      </c>
      <c r="Q21" s="193">
        <f>SUM(E21:P21)</f>
        <v>20315.069578849507</v>
      </c>
    </row>
    <row r="22" spans="2:17" x14ac:dyDescent="0.25">
      <c r="B22" s="194"/>
      <c r="C22" s="156"/>
      <c r="D22" s="157"/>
      <c r="E22" s="157"/>
      <c r="F22" s="158">
        <v>0.1</v>
      </c>
      <c r="G22" s="159">
        <f>F22</f>
        <v>0.1</v>
      </c>
      <c r="H22" s="159">
        <f t="shared" ref="H22:P22" si="16">G22</f>
        <v>0.1</v>
      </c>
      <c r="I22" s="159">
        <f t="shared" si="16"/>
        <v>0.1</v>
      </c>
      <c r="J22" s="159">
        <f t="shared" si="16"/>
        <v>0.1</v>
      </c>
      <c r="K22" s="159">
        <f t="shared" si="16"/>
        <v>0.1</v>
      </c>
      <c r="L22" s="159">
        <f t="shared" si="16"/>
        <v>0.1</v>
      </c>
      <c r="M22" s="159">
        <f t="shared" si="16"/>
        <v>0.1</v>
      </c>
      <c r="N22" s="159">
        <f t="shared" si="16"/>
        <v>0.1</v>
      </c>
      <c r="O22" s="159">
        <f t="shared" si="16"/>
        <v>0.1</v>
      </c>
      <c r="P22" s="159">
        <f t="shared" si="16"/>
        <v>0.1</v>
      </c>
      <c r="Q22" s="191"/>
    </row>
    <row r="23" spans="2:17" x14ac:dyDescent="0.25">
      <c r="B23" s="195" t="str">
        <f>Orcado!B23</f>
        <v>Pós-lançamento (Stakeholders internos)</v>
      </c>
      <c r="C23" s="170" t="s">
        <v>225</v>
      </c>
      <c r="D23" s="163">
        <v>11000</v>
      </c>
      <c r="E23" s="163">
        <v>514.4</v>
      </c>
      <c r="F23" s="163">
        <f>E23*(1+F22)</f>
        <v>565.84</v>
      </c>
      <c r="G23" s="163">
        <f>F23*(1+G22)</f>
        <v>622.42400000000009</v>
      </c>
      <c r="H23" s="163">
        <f t="shared" ref="H23:P23" si="17">G23*(1+H22)</f>
        <v>684.66640000000018</v>
      </c>
      <c r="I23" s="163">
        <f t="shared" si="17"/>
        <v>753.13304000000028</v>
      </c>
      <c r="J23" s="163">
        <f t="shared" si="17"/>
        <v>828.44634400000041</v>
      </c>
      <c r="K23" s="163">
        <f t="shared" si="17"/>
        <v>911.29097840000054</v>
      </c>
      <c r="L23" s="163">
        <f t="shared" si="17"/>
        <v>1002.4200762400006</v>
      </c>
      <c r="M23" s="163">
        <f t="shared" si="17"/>
        <v>1102.6620838640008</v>
      </c>
      <c r="N23" s="163">
        <f t="shared" si="17"/>
        <v>1212.928292250401</v>
      </c>
      <c r="O23" s="163">
        <f t="shared" si="17"/>
        <v>1334.2211214754411</v>
      </c>
      <c r="P23" s="163">
        <f t="shared" si="17"/>
        <v>1467.6432336229855</v>
      </c>
      <c r="Q23" s="193">
        <f>SUM(E23:P23)</f>
        <v>11000.07556985283</v>
      </c>
    </row>
    <row r="24" spans="2:17" x14ac:dyDescent="0.25">
      <c r="B24" s="194"/>
      <c r="C24" s="156"/>
      <c r="D24" s="157"/>
      <c r="E24" s="157"/>
      <c r="F24" s="158">
        <v>0.1</v>
      </c>
      <c r="G24" s="159">
        <f>F24</f>
        <v>0.1</v>
      </c>
      <c r="H24" s="159">
        <f t="shared" ref="H24:P24" si="18">G24</f>
        <v>0.1</v>
      </c>
      <c r="I24" s="159">
        <f t="shared" si="18"/>
        <v>0.1</v>
      </c>
      <c r="J24" s="159">
        <f t="shared" si="18"/>
        <v>0.1</v>
      </c>
      <c r="K24" s="159">
        <f t="shared" si="18"/>
        <v>0.1</v>
      </c>
      <c r="L24" s="159">
        <f t="shared" si="18"/>
        <v>0.1</v>
      </c>
      <c r="M24" s="159">
        <f t="shared" si="18"/>
        <v>0.1</v>
      </c>
      <c r="N24" s="159">
        <f t="shared" si="18"/>
        <v>0.1</v>
      </c>
      <c r="O24" s="159">
        <f t="shared" si="18"/>
        <v>0.1</v>
      </c>
      <c r="P24" s="159">
        <f t="shared" si="18"/>
        <v>0.1</v>
      </c>
      <c r="Q24" s="191"/>
    </row>
    <row r="25" spans="2:17" x14ac:dyDescent="0.25">
      <c r="B25" s="195" t="str">
        <f>Orcado!B25</f>
        <v xml:space="preserve">Marketing e Divulgação - para o Mercado </v>
      </c>
      <c r="C25" s="170" t="s">
        <v>226</v>
      </c>
      <c r="D25" s="163">
        <v>15000</v>
      </c>
      <c r="E25" s="163">
        <v>720</v>
      </c>
      <c r="F25" s="163">
        <f>E25*(1+F24)</f>
        <v>792.00000000000011</v>
      </c>
      <c r="G25" s="163">
        <f>F25*(1+G24)</f>
        <v>871.20000000000016</v>
      </c>
      <c r="H25" s="163">
        <f t="shared" ref="H25:P25" si="19">G25*(1+H24)</f>
        <v>958.32000000000028</v>
      </c>
      <c r="I25" s="163">
        <f t="shared" si="19"/>
        <v>1054.1520000000005</v>
      </c>
      <c r="J25" s="163">
        <f t="shared" si="19"/>
        <v>1159.5672000000006</v>
      </c>
      <c r="K25" s="163">
        <f t="shared" si="19"/>
        <v>1275.5239200000008</v>
      </c>
      <c r="L25" s="163">
        <f t="shared" si="19"/>
        <v>1403.0763120000011</v>
      </c>
      <c r="M25" s="163">
        <f t="shared" si="19"/>
        <v>1543.3839432000013</v>
      </c>
      <c r="N25" s="163">
        <f t="shared" si="19"/>
        <v>1697.7223375200017</v>
      </c>
      <c r="O25" s="163">
        <f t="shared" si="19"/>
        <v>1867.4945712720021</v>
      </c>
      <c r="P25" s="163">
        <f t="shared" si="19"/>
        <v>2054.2440283992023</v>
      </c>
      <c r="Q25" s="193">
        <f>SUM(E25:P25)</f>
        <v>15396.684312391208</v>
      </c>
    </row>
    <row r="26" spans="2:17" x14ac:dyDescent="0.25">
      <c r="B26" s="194"/>
      <c r="C26" s="156"/>
      <c r="D26" s="157"/>
      <c r="E26" s="157"/>
      <c r="F26" s="158">
        <v>0.1</v>
      </c>
      <c r="G26" s="159">
        <f>F26</f>
        <v>0.1</v>
      </c>
      <c r="H26" s="159">
        <f t="shared" ref="H26:P26" si="20">G26</f>
        <v>0.1</v>
      </c>
      <c r="I26" s="159">
        <f t="shared" si="20"/>
        <v>0.1</v>
      </c>
      <c r="J26" s="159">
        <f t="shared" si="20"/>
        <v>0.1</v>
      </c>
      <c r="K26" s="159">
        <f t="shared" si="20"/>
        <v>0.1</v>
      </c>
      <c r="L26" s="159">
        <f t="shared" si="20"/>
        <v>0.1</v>
      </c>
      <c r="M26" s="159">
        <f t="shared" si="20"/>
        <v>0.1</v>
      </c>
      <c r="N26" s="159">
        <f t="shared" si="20"/>
        <v>0.1</v>
      </c>
      <c r="O26" s="159">
        <f t="shared" si="20"/>
        <v>0.1</v>
      </c>
      <c r="P26" s="159">
        <f t="shared" si="20"/>
        <v>0.1</v>
      </c>
      <c r="Q26" s="191"/>
    </row>
    <row r="27" spans="2:17" x14ac:dyDescent="0.25">
      <c r="B27" s="195" t="str">
        <f>Orcado!B27</f>
        <v>Avaliação e Aperfeiçoamento</v>
      </c>
      <c r="C27" s="170" t="s">
        <v>227</v>
      </c>
      <c r="D27" s="163">
        <v>8900</v>
      </c>
      <c r="E27" s="163">
        <v>410</v>
      </c>
      <c r="F27" s="163">
        <f>E27*(1+F26)</f>
        <v>451.00000000000006</v>
      </c>
      <c r="G27" s="163">
        <f>F27*(1+G26)</f>
        <v>496.10000000000008</v>
      </c>
      <c r="H27" s="163">
        <f t="shared" ref="H27:P27" si="21">G27*(1+H26)</f>
        <v>545.71000000000015</v>
      </c>
      <c r="I27" s="163">
        <f t="shared" si="21"/>
        <v>600.28100000000018</v>
      </c>
      <c r="J27" s="163">
        <f t="shared" si="21"/>
        <v>660.30910000000029</v>
      </c>
      <c r="K27" s="163">
        <f t="shared" si="21"/>
        <v>726.34001000000035</v>
      </c>
      <c r="L27" s="163">
        <f t="shared" si="21"/>
        <v>798.97401100000047</v>
      </c>
      <c r="M27" s="163">
        <f t="shared" si="21"/>
        <v>878.87141210000061</v>
      </c>
      <c r="N27" s="163">
        <f t="shared" si="21"/>
        <v>966.75855331000071</v>
      </c>
      <c r="O27" s="163">
        <f t="shared" si="21"/>
        <v>1063.4344086410008</v>
      </c>
      <c r="P27" s="163">
        <f t="shared" si="21"/>
        <v>1169.7778495051009</v>
      </c>
      <c r="Q27" s="193">
        <f>SUM(E27:P27)</f>
        <v>8767.5563445561056</v>
      </c>
    </row>
    <row r="28" spans="2:17" x14ac:dyDescent="0.25">
      <c r="B28" s="194"/>
      <c r="C28" s="156"/>
      <c r="D28" s="157"/>
      <c r="E28" s="157"/>
      <c r="F28" s="158">
        <v>0.1</v>
      </c>
      <c r="G28" s="159">
        <f>F28</f>
        <v>0.1</v>
      </c>
      <c r="H28" s="159">
        <f t="shared" ref="H28:P28" si="22">G28</f>
        <v>0.1</v>
      </c>
      <c r="I28" s="159">
        <f t="shared" si="22"/>
        <v>0.1</v>
      </c>
      <c r="J28" s="159">
        <f t="shared" si="22"/>
        <v>0.1</v>
      </c>
      <c r="K28" s="159">
        <f t="shared" si="22"/>
        <v>0.1</v>
      </c>
      <c r="L28" s="159">
        <f t="shared" si="22"/>
        <v>0.1</v>
      </c>
      <c r="M28" s="159">
        <f t="shared" si="22"/>
        <v>0.1</v>
      </c>
      <c r="N28" s="159">
        <f t="shared" si="22"/>
        <v>0.1</v>
      </c>
      <c r="O28" s="159">
        <f t="shared" si="22"/>
        <v>0.1</v>
      </c>
      <c r="P28" s="159">
        <f t="shared" si="22"/>
        <v>0.1</v>
      </c>
      <c r="Q28" s="191"/>
    </row>
    <row r="29" spans="2:17" x14ac:dyDescent="0.25">
      <c r="B29" s="195" t="str">
        <f>Orcado!B29</f>
        <v>Expansão</v>
      </c>
      <c r="C29" s="170" t="s">
        <v>227</v>
      </c>
      <c r="D29" s="163">
        <v>15000</v>
      </c>
      <c r="E29" s="163">
        <v>710</v>
      </c>
      <c r="F29" s="163">
        <f>E29*(1+F28)</f>
        <v>781.00000000000011</v>
      </c>
      <c r="G29" s="163">
        <f>F29*(1+G28)</f>
        <v>859.10000000000025</v>
      </c>
      <c r="H29" s="163">
        <f t="shared" ref="H29:P29" si="23">G29*(1+H28)</f>
        <v>945.01000000000033</v>
      </c>
      <c r="I29" s="163">
        <f t="shared" si="23"/>
        <v>1039.5110000000004</v>
      </c>
      <c r="J29" s="163">
        <f t="shared" si="23"/>
        <v>1143.4621000000006</v>
      </c>
      <c r="K29" s="163">
        <f t="shared" si="23"/>
        <v>1257.8083100000008</v>
      </c>
      <c r="L29" s="163">
        <f t="shared" si="23"/>
        <v>1383.5891410000011</v>
      </c>
      <c r="M29" s="163">
        <f t="shared" si="23"/>
        <v>1521.9480551000013</v>
      </c>
      <c r="N29" s="163">
        <f t="shared" si="23"/>
        <v>1674.1428606100014</v>
      </c>
      <c r="O29" s="163">
        <f t="shared" si="23"/>
        <v>1841.5571466710016</v>
      </c>
      <c r="P29" s="163">
        <f t="shared" si="23"/>
        <v>2025.7128613381019</v>
      </c>
      <c r="Q29" s="193">
        <f>SUM(E29:P29)</f>
        <v>15182.841474719109</v>
      </c>
    </row>
    <row r="30" spans="2:17" x14ac:dyDescent="0.25">
      <c r="B30" s="155"/>
      <c r="D30" s="173"/>
      <c r="E30" s="173"/>
      <c r="F30" s="173"/>
      <c r="G30" s="173"/>
      <c r="H30" s="173"/>
      <c r="I30" s="173"/>
      <c r="J30" s="173"/>
      <c r="K30" s="173"/>
      <c r="L30" s="173"/>
      <c r="M30" s="173"/>
      <c r="N30" s="173"/>
      <c r="O30" s="173"/>
      <c r="P30" s="173"/>
      <c r="Q30" s="196"/>
    </row>
    <row r="31" spans="2:17" x14ac:dyDescent="0.25">
      <c r="B31" s="155"/>
      <c r="D31" s="173"/>
      <c r="E31" s="173"/>
      <c r="F31" s="173"/>
      <c r="G31" s="173"/>
      <c r="H31" s="173"/>
      <c r="I31" s="173"/>
      <c r="J31" s="173"/>
      <c r="K31" s="173"/>
      <c r="L31" s="173"/>
      <c r="M31" s="173"/>
      <c r="N31" s="173"/>
      <c r="O31" s="173"/>
      <c r="P31" s="173"/>
      <c r="Q31" s="196"/>
    </row>
    <row r="32" spans="2:17" x14ac:dyDescent="0.25">
      <c r="B32" s="155"/>
      <c r="D32" s="173"/>
      <c r="E32" s="173"/>
      <c r="F32" s="173"/>
      <c r="G32" s="173"/>
      <c r="H32" s="173"/>
      <c r="I32" s="173"/>
      <c r="J32" s="173"/>
      <c r="K32" s="173"/>
      <c r="L32" s="173"/>
      <c r="M32" s="173"/>
      <c r="N32" s="173"/>
      <c r="O32" s="173"/>
      <c r="P32" s="173"/>
      <c r="Q32" s="196"/>
    </row>
    <row r="33" spans="2:17" x14ac:dyDescent="0.25">
      <c r="B33" s="155"/>
      <c r="D33" s="173"/>
      <c r="E33" s="173"/>
      <c r="F33" s="173"/>
      <c r="G33" s="173"/>
      <c r="H33" s="173"/>
      <c r="I33" s="173"/>
      <c r="J33" s="173"/>
      <c r="K33" s="173"/>
      <c r="L33" s="173"/>
      <c r="M33" s="173"/>
      <c r="N33" s="173"/>
      <c r="O33" s="173"/>
      <c r="P33" s="173"/>
      <c r="Q33" s="196"/>
    </row>
    <row r="34" spans="2:17" x14ac:dyDescent="0.25">
      <c r="B34" s="155"/>
      <c r="D34" s="173"/>
      <c r="E34" s="173"/>
      <c r="F34" s="173"/>
      <c r="G34" s="173"/>
      <c r="H34" s="173"/>
      <c r="I34" s="173"/>
      <c r="J34" s="173"/>
      <c r="K34" s="173"/>
      <c r="L34" s="173"/>
      <c r="M34" s="173"/>
      <c r="N34" s="173"/>
      <c r="O34" s="173"/>
      <c r="P34" s="173"/>
      <c r="Q34" s="196"/>
    </row>
    <row r="35" spans="2:17" x14ac:dyDescent="0.25">
      <c r="B35" s="155"/>
      <c r="D35" s="173"/>
      <c r="E35" s="173"/>
      <c r="F35" s="173"/>
      <c r="G35" s="173"/>
      <c r="H35" s="173"/>
      <c r="I35" s="173"/>
      <c r="J35" s="173"/>
      <c r="K35" s="173"/>
      <c r="L35" s="173"/>
      <c r="M35" s="173"/>
      <c r="N35" s="173"/>
      <c r="O35" s="173"/>
      <c r="P35" s="173"/>
      <c r="Q35" s="196"/>
    </row>
    <row r="36" spans="2:17" x14ac:dyDescent="0.25">
      <c r="B36" s="155"/>
      <c r="D36" s="173"/>
      <c r="E36" s="173"/>
      <c r="F36" s="173"/>
      <c r="G36" s="173"/>
      <c r="H36" s="173"/>
      <c r="I36" s="173"/>
      <c r="J36" s="173"/>
      <c r="K36" s="173"/>
      <c r="L36" s="173"/>
      <c r="M36" s="173"/>
      <c r="N36" s="173"/>
      <c r="O36" s="173"/>
      <c r="P36" s="173"/>
      <c r="Q36" s="196"/>
    </row>
    <row r="37" spans="2:17" x14ac:dyDescent="0.25">
      <c r="B37" s="155"/>
      <c r="D37" s="173"/>
      <c r="E37" s="173"/>
      <c r="F37" s="173"/>
      <c r="G37" s="173"/>
      <c r="H37" s="173"/>
      <c r="I37" s="173"/>
      <c r="J37" s="173"/>
      <c r="K37" s="173"/>
      <c r="L37" s="173"/>
      <c r="M37" s="173"/>
      <c r="N37" s="173"/>
      <c r="O37" s="173"/>
      <c r="P37" s="173"/>
      <c r="Q37" s="196"/>
    </row>
    <row r="38" spans="2:17" x14ac:dyDescent="0.25">
      <c r="B38" s="145" t="s">
        <v>228</v>
      </c>
    </row>
    <row r="39" spans="2:17" x14ac:dyDescent="0.25">
      <c r="B39" s="142" t="str">
        <f>Orcado!B33</f>
        <v>Custo de Implementação</v>
      </c>
      <c r="D39" s="197">
        <v>0</v>
      </c>
      <c r="E39" s="197">
        <v>0</v>
      </c>
      <c r="F39" s="198">
        <f>E39</f>
        <v>0</v>
      </c>
      <c r="G39" s="198">
        <f t="shared" ref="G39:P39" si="24">F39</f>
        <v>0</v>
      </c>
      <c r="H39" s="198">
        <f t="shared" si="24"/>
        <v>0</v>
      </c>
      <c r="I39" s="198">
        <f t="shared" si="24"/>
        <v>0</v>
      </c>
      <c r="J39" s="198">
        <f t="shared" si="24"/>
        <v>0</v>
      </c>
      <c r="K39" s="198">
        <f t="shared" si="24"/>
        <v>0</v>
      </c>
      <c r="L39" s="198">
        <f t="shared" si="24"/>
        <v>0</v>
      </c>
      <c r="M39" s="198">
        <f t="shared" si="24"/>
        <v>0</v>
      </c>
      <c r="N39" s="198">
        <f t="shared" si="24"/>
        <v>0</v>
      </c>
      <c r="O39" s="198">
        <f t="shared" si="24"/>
        <v>0</v>
      </c>
      <c r="P39" s="198">
        <f t="shared" si="24"/>
        <v>0</v>
      </c>
      <c r="Q39" s="199">
        <f t="shared" ref="Q39:Q52" si="25">SUM(D39:P39)</f>
        <v>0</v>
      </c>
    </row>
    <row r="40" spans="2:17" x14ac:dyDescent="0.25">
      <c r="B40" s="142" t="str">
        <f>Orcado!B34</f>
        <v>Custo da Operação</v>
      </c>
      <c r="D40" s="197"/>
      <c r="E40" s="197"/>
      <c r="F40" s="198">
        <f t="shared" ref="F40:P52" si="26">E40</f>
        <v>0</v>
      </c>
      <c r="G40" s="198">
        <f t="shared" si="26"/>
        <v>0</v>
      </c>
      <c r="H40" s="198">
        <f t="shared" si="26"/>
        <v>0</v>
      </c>
      <c r="I40" s="198">
        <f t="shared" si="26"/>
        <v>0</v>
      </c>
      <c r="J40" s="198">
        <f t="shared" si="26"/>
        <v>0</v>
      </c>
      <c r="K40" s="198">
        <f t="shared" si="26"/>
        <v>0</v>
      </c>
      <c r="L40" s="198">
        <f t="shared" si="26"/>
        <v>0</v>
      </c>
      <c r="M40" s="198">
        <f t="shared" si="26"/>
        <v>0</v>
      </c>
      <c r="N40" s="198">
        <f t="shared" si="26"/>
        <v>0</v>
      </c>
      <c r="O40" s="198">
        <f t="shared" si="26"/>
        <v>0</v>
      </c>
      <c r="P40" s="198">
        <f t="shared" si="26"/>
        <v>0</v>
      </c>
      <c r="Q40" s="199">
        <f t="shared" si="25"/>
        <v>0</v>
      </c>
    </row>
    <row r="41" spans="2:17" x14ac:dyDescent="0.25">
      <c r="B41" s="142" t="str">
        <f>Orcado!B35</f>
        <v>Custos de Treinamento</v>
      </c>
      <c r="D41" s="197"/>
      <c r="E41" s="197"/>
      <c r="F41" s="198">
        <f t="shared" si="26"/>
        <v>0</v>
      </c>
      <c r="G41" s="198">
        <f t="shared" si="26"/>
        <v>0</v>
      </c>
      <c r="H41" s="198">
        <f t="shared" si="26"/>
        <v>0</v>
      </c>
      <c r="I41" s="198">
        <f t="shared" si="26"/>
        <v>0</v>
      </c>
      <c r="J41" s="198">
        <f t="shared" si="26"/>
        <v>0</v>
      </c>
      <c r="K41" s="198">
        <f t="shared" si="26"/>
        <v>0</v>
      </c>
      <c r="L41" s="198">
        <f t="shared" si="26"/>
        <v>0</v>
      </c>
      <c r="M41" s="198">
        <f t="shared" si="26"/>
        <v>0</v>
      </c>
      <c r="N41" s="198">
        <f t="shared" si="26"/>
        <v>0</v>
      </c>
      <c r="O41" s="198">
        <f t="shared" si="26"/>
        <v>0</v>
      </c>
      <c r="P41" s="198">
        <f t="shared" si="26"/>
        <v>0</v>
      </c>
      <c r="Q41" s="199">
        <f t="shared" si="25"/>
        <v>0</v>
      </c>
    </row>
    <row r="42" spans="2:17" x14ac:dyDescent="0.25">
      <c r="B42" s="155" t="str">
        <f>Orcado!B36</f>
        <v>Custo</v>
      </c>
      <c r="D42" s="197"/>
      <c r="E42" s="197"/>
      <c r="F42" s="198">
        <f t="shared" si="26"/>
        <v>0</v>
      </c>
      <c r="G42" s="198">
        <f t="shared" si="26"/>
        <v>0</v>
      </c>
      <c r="H42" s="198">
        <f t="shared" si="26"/>
        <v>0</v>
      </c>
      <c r="I42" s="198">
        <f t="shared" si="26"/>
        <v>0</v>
      </c>
      <c r="J42" s="198">
        <f t="shared" si="26"/>
        <v>0</v>
      </c>
      <c r="K42" s="198">
        <f t="shared" si="26"/>
        <v>0</v>
      </c>
      <c r="L42" s="198">
        <f t="shared" si="26"/>
        <v>0</v>
      </c>
      <c r="M42" s="198">
        <f t="shared" si="26"/>
        <v>0</v>
      </c>
      <c r="N42" s="198">
        <f t="shared" si="26"/>
        <v>0</v>
      </c>
      <c r="O42" s="198">
        <f t="shared" si="26"/>
        <v>0</v>
      </c>
      <c r="P42" s="198">
        <f t="shared" si="26"/>
        <v>0</v>
      </c>
      <c r="Q42" s="199">
        <f t="shared" si="25"/>
        <v>0</v>
      </c>
    </row>
    <row r="43" spans="2:17" x14ac:dyDescent="0.25">
      <c r="B43" s="155" t="str">
        <f>Orcado!B37</f>
        <v>Custo</v>
      </c>
      <c r="D43" s="197"/>
      <c r="E43" s="197"/>
      <c r="F43" s="198">
        <f t="shared" si="26"/>
        <v>0</v>
      </c>
      <c r="G43" s="198">
        <f t="shared" si="26"/>
        <v>0</v>
      </c>
      <c r="H43" s="198">
        <f t="shared" si="26"/>
        <v>0</v>
      </c>
      <c r="I43" s="198">
        <f t="shared" si="26"/>
        <v>0</v>
      </c>
      <c r="J43" s="198">
        <f t="shared" si="26"/>
        <v>0</v>
      </c>
      <c r="K43" s="198">
        <f t="shared" si="26"/>
        <v>0</v>
      </c>
      <c r="L43" s="198">
        <f t="shared" si="26"/>
        <v>0</v>
      </c>
      <c r="M43" s="198">
        <f t="shared" si="26"/>
        <v>0</v>
      </c>
      <c r="N43" s="198">
        <f t="shared" si="26"/>
        <v>0</v>
      </c>
      <c r="O43" s="198">
        <f t="shared" si="26"/>
        <v>0</v>
      </c>
      <c r="P43" s="198">
        <f t="shared" si="26"/>
        <v>0</v>
      </c>
      <c r="Q43" s="199">
        <f t="shared" si="25"/>
        <v>0</v>
      </c>
    </row>
    <row r="44" spans="2:17" x14ac:dyDescent="0.25">
      <c r="B44" s="155" t="str">
        <f>Orcado!B38</f>
        <v>Custo</v>
      </c>
      <c r="D44" s="197"/>
      <c r="E44" s="197"/>
      <c r="F44" s="198">
        <f t="shared" si="26"/>
        <v>0</v>
      </c>
      <c r="G44" s="198">
        <f t="shared" si="26"/>
        <v>0</v>
      </c>
      <c r="H44" s="198">
        <f t="shared" si="26"/>
        <v>0</v>
      </c>
      <c r="I44" s="198">
        <f t="shared" si="26"/>
        <v>0</v>
      </c>
      <c r="J44" s="198">
        <f t="shared" si="26"/>
        <v>0</v>
      </c>
      <c r="K44" s="198">
        <f t="shared" si="26"/>
        <v>0</v>
      </c>
      <c r="L44" s="198">
        <f t="shared" si="26"/>
        <v>0</v>
      </c>
      <c r="M44" s="198">
        <f t="shared" si="26"/>
        <v>0</v>
      </c>
      <c r="N44" s="198">
        <f t="shared" si="26"/>
        <v>0</v>
      </c>
      <c r="O44" s="198">
        <f t="shared" si="26"/>
        <v>0</v>
      </c>
      <c r="P44" s="198">
        <f t="shared" si="26"/>
        <v>0</v>
      </c>
      <c r="Q44" s="199">
        <f t="shared" si="25"/>
        <v>0</v>
      </c>
    </row>
    <row r="45" spans="2:17" x14ac:dyDescent="0.25">
      <c r="B45" s="155" t="str">
        <f>Orcado!B39</f>
        <v>Custo</v>
      </c>
      <c r="D45" s="197"/>
      <c r="E45" s="197"/>
      <c r="F45" s="198">
        <f t="shared" si="26"/>
        <v>0</v>
      </c>
      <c r="G45" s="198">
        <f t="shared" si="26"/>
        <v>0</v>
      </c>
      <c r="H45" s="198">
        <f t="shared" si="26"/>
        <v>0</v>
      </c>
      <c r="I45" s="198">
        <f t="shared" si="26"/>
        <v>0</v>
      </c>
      <c r="J45" s="198">
        <f t="shared" si="26"/>
        <v>0</v>
      </c>
      <c r="K45" s="198">
        <f t="shared" si="26"/>
        <v>0</v>
      </c>
      <c r="L45" s="198">
        <f t="shared" si="26"/>
        <v>0</v>
      </c>
      <c r="M45" s="198">
        <f t="shared" si="26"/>
        <v>0</v>
      </c>
      <c r="N45" s="198">
        <f t="shared" si="26"/>
        <v>0</v>
      </c>
      <c r="O45" s="198">
        <f t="shared" si="26"/>
        <v>0</v>
      </c>
      <c r="P45" s="198">
        <f t="shared" si="26"/>
        <v>0</v>
      </c>
      <c r="Q45" s="199">
        <f t="shared" si="25"/>
        <v>0</v>
      </c>
    </row>
    <row r="46" spans="2:17" x14ac:dyDescent="0.25">
      <c r="B46" s="155" t="str">
        <f>Orcado!B40</f>
        <v>Custo</v>
      </c>
      <c r="D46" s="197"/>
      <c r="E46" s="197"/>
      <c r="F46" s="198">
        <f t="shared" si="26"/>
        <v>0</v>
      </c>
      <c r="G46" s="198">
        <f t="shared" si="26"/>
        <v>0</v>
      </c>
      <c r="H46" s="198">
        <f t="shared" si="26"/>
        <v>0</v>
      </c>
      <c r="I46" s="198">
        <f t="shared" si="26"/>
        <v>0</v>
      </c>
      <c r="J46" s="198">
        <f t="shared" si="26"/>
        <v>0</v>
      </c>
      <c r="K46" s="198">
        <f t="shared" si="26"/>
        <v>0</v>
      </c>
      <c r="L46" s="198">
        <f t="shared" si="26"/>
        <v>0</v>
      </c>
      <c r="M46" s="198">
        <f t="shared" si="26"/>
        <v>0</v>
      </c>
      <c r="N46" s="198">
        <f t="shared" si="26"/>
        <v>0</v>
      </c>
      <c r="O46" s="198">
        <f t="shared" si="26"/>
        <v>0</v>
      </c>
      <c r="P46" s="198">
        <f t="shared" si="26"/>
        <v>0</v>
      </c>
      <c r="Q46" s="199">
        <f t="shared" si="25"/>
        <v>0</v>
      </c>
    </row>
    <row r="47" spans="2:17" x14ac:dyDescent="0.25">
      <c r="B47" s="155" t="str">
        <f>Orcado!B41</f>
        <v>Custo</v>
      </c>
      <c r="D47" s="197"/>
      <c r="E47" s="197"/>
      <c r="F47" s="198">
        <f t="shared" si="26"/>
        <v>0</v>
      </c>
      <c r="G47" s="198">
        <f t="shared" si="26"/>
        <v>0</v>
      </c>
      <c r="H47" s="198">
        <f t="shared" si="26"/>
        <v>0</v>
      </c>
      <c r="I47" s="198">
        <f t="shared" si="26"/>
        <v>0</v>
      </c>
      <c r="J47" s="198">
        <f t="shared" si="26"/>
        <v>0</v>
      </c>
      <c r="K47" s="198">
        <f t="shared" si="26"/>
        <v>0</v>
      </c>
      <c r="L47" s="198">
        <f t="shared" si="26"/>
        <v>0</v>
      </c>
      <c r="M47" s="198">
        <f t="shared" si="26"/>
        <v>0</v>
      </c>
      <c r="N47" s="198">
        <f t="shared" si="26"/>
        <v>0</v>
      </c>
      <c r="O47" s="198">
        <f t="shared" si="26"/>
        <v>0</v>
      </c>
      <c r="P47" s="198">
        <f t="shared" si="26"/>
        <v>0</v>
      </c>
      <c r="Q47" s="199">
        <f t="shared" si="25"/>
        <v>0</v>
      </c>
    </row>
    <row r="48" spans="2:17" x14ac:dyDescent="0.25">
      <c r="B48" s="155" t="str">
        <f>Orcado!B42</f>
        <v>Custo</v>
      </c>
      <c r="D48" s="197"/>
      <c r="E48" s="197"/>
      <c r="F48" s="198">
        <f t="shared" si="26"/>
        <v>0</v>
      </c>
      <c r="G48" s="198">
        <f t="shared" si="26"/>
        <v>0</v>
      </c>
      <c r="H48" s="198">
        <f t="shared" si="26"/>
        <v>0</v>
      </c>
      <c r="I48" s="198">
        <f t="shared" si="26"/>
        <v>0</v>
      </c>
      <c r="J48" s="198">
        <f t="shared" si="26"/>
        <v>0</v>
      </c>
      <c r="K48" s="198">
        <f t="shared" si="26"/>
        <v>0</v>
      </c>
      <c r="L48" s="198">
        <f t="shared" si="26"/>
        <v>0</v>
      </c>
      <c r="M48" s="198">
        <f t="shared" si="26"/>
        <v>0</v>
      </c>
      <c r="N48" s="198">
        <f t="shared" si="26"/>
        <v>0</v>
      </c>
      <c r="O48" s="198">
        <f t="shared" si="26"/>
        <v>0</v>
      </c>
      <c r="P48" s="198">
        <f t="shared" si="26"/>
        <v>0</v>
      </c>
      <c r="Q48" s="199">
        <f t="shared" si="25"/>
        <v>0</v>
      </c>
    </row>
    <row r="49" spans="2:17" x14ac:dyDescent="0.25">
      <c r="B49" s="155" t="str">
        <f>Orcado!B43</f>
        <v>Custo</v>
      </c>
      <c r="D49" s="197"/>
      <c r="E49" s="197"/>
      <c r="F49" s="198">
        <f t="shared" si="26"/>
        <v>0</v>
      </c>
      <c r="G49" s="198">
        <f t="shared" si="26"/>
        <v>0</v>
      </c>
      <c r="H49" s="198">
        <f t="shared" si="26"/>
        <v>0</v>
      </c>
      <c r="I49" s="198">
        <f t="shared" si="26"/>
        <v>0</v>
      </c>
      <c r="J49" s="198">
        <f t="shared" si="26"/>
        <v>0</v>
      </c>
      <c r="K49" s="198">
        <f t="shared" si="26"/>
        <v>0</v>
      </c>
      <c r="L49" s="198">
        <f t="shared" si="26"/>
        <v>0</v>
      </c>
      <c r="M49" s="198">
        <f t="shared" si="26"/>
        <v>0</v>
      </c>
      <c r="N49" s="198">
        <f t="shared" si="26"/>
        <v>0</v>
      </c>
      <c r="O49" s="198">
        <f t="shared" si="26"/>
        <v>0</v>
      </c>
      <c r="P49" s="198">
        <f t="shared" si="26"/>
        <v>0</v>
      </c>
      <c r="Q49" s="199">
        <f t="shared" si="25"/>
        <v>0</v>
      </c>
    </row>
    <row r="50" spans="2:17" x14ac:dyDescent="0.25">
      <c r="B50" s="155" t="str">
        <f>Orcado!B44</f>
        <v>Custo</v>
      </c>
      <c r="D50" s="197"/>
      <c r="E50" s="197"/>
      <c r="F50" s="198">
        <f t="shared" si="26"/>
        <v>0</v>
      </c>
      <c r="G50" s="198">
        <f t="shared" si="26"/>
        <v>0</v>
      </c>
      <c r="H50" s="198">
        <f t="shared" si="26"/>
        <v>0</v>
      </c>
      <c r="I50" s="198">
        <f t="shared" si="26"/>
        <v>0</v>
      </c>
      <c r="J50" s="198">
        <f t="shared" si="26"/>
        <v>0</v>
      </c>
      <c r="K50" s="198">
        <f t="shared" si="26"/>
        <v>0</v>
      </c>
      <c r="L50" s="198">
        <f t="shared" si="26"/>
        <v>0</v>
      </c>
      <c r="M50" s="198">
        <f t="shared" si="26"/>
        <v>0</v>
      </c>
      <c r="N50" s="198">
        <f t="shared" si="26"/>
        <v>0</v>
      </c>
      <c r="O50" s="198">
        <f t="shared" si="26"/>
        <v>0</v>
      </c>
      <c r="P50" s="198">
        <f t="shared" si="26"/>
        <v>0</v>
      </c>
      <c r="Q50" s="199">
        <f t="shared" si="25"/>
        <v>0</v>
      </c>
    </row>
    <row r="51" spans="2:17" x14ac:dyDescent="0.25">
      <c r="B51" s="155" t="str">
        <f>Orcado!B45</f>
        <v>Custo</v>
      </c>
      <c r="D51" s="197"/>
      <c r="E51" s="197"/>
      <c r="F51" s="198">
        <f t="shared" si="26"/>
        <v>0</v>
      </c>
      <c r="G51" s="198">
        <f t="shared" si="26"/>
        <v>0</v>
      </c>
      <c r="H51" s="198">
        <f t="shared" si="26"/>
        <v>0</v>
      </c>
      <c r="I51" s="198">
        <f t="shared" si="26"/>
        <v>0</v>
      </c>
      <c r="J51" s="198">
        <f t="shared" si="26"/>
        <v>0</v>
      </c>
      <c r="K51" s="198">
        <f t="shared" si="26"/>
        <v>0</v>
      </c>
      <c r="L51" s="198">
        <f t="shared" si="26"/>
        <v>0</v>
      </c>
      <c r="M51" s="198">
        <f t="shared" si="26"/>
        <v>0</v>
      </c>
      <c r="N51" s="198">
        <f t="shared" si="26"/>
        <v>0</v>
      </c>
      <c r="O51" s="198">
        <f t="shared" si="26"/>
        <v>0</v>
      </c>
      <c r="P51" s="198">
        <f t="shared" si="26"/>
        <v>0</v>
      </c>
      <c r="Q51" s="199">
        <f t="shared" si="25"/>
        <v>0</v>
      </c>
    </row>
    <row r="52" spans="2:17" x14ac:dyDescent="0.25">
      <c r="B52" s="142" t="str">
        <f>Orcado!B46</f>
        <v>Outros custos</v>
      </c>
      <c r="D52" s="197"/>
      <c r="E52" s="197"/>
      <c r="F52" s="198">
        <f t="shared" si="26"/>
        <v>0</v>
      </c>
      <c r="G52" s="198">
        <f t="shared" si="26"/>
        <v>0</v>
      </c>
      <c r="H52" s="198">
        <f t="shared" si="26"/>
        <v>0</v>
      </c>
      <c r="I52" s="198">
        <f t="shared" si="26"/>
        <v>0</v>
      </c>
      <c r="J52" s="198">
        <f t="shared" si="26"/>
        <v>0</v>
      </c>
      <c r="K52" s="198">
        <f t="shared" si="26"/>
        <v>0</v>
      </c>
      <c r="L52" s="198">
        <f t="shared" si="26"/>
        <v>0</v>
      </c>
      <c r="M52" s="198">
        <f t="shared" si="26"/>
        <v>0</v>
      </c>
      <c r="N52" s="198">
        <f t="shared" si="26"/>
        <v>0</v>
      </c>
      <c r="O52" s="198">
        <f t="shared" si="26"/>
        <v>0</v>
      </c>
      <c r="P52" s="198">
        <f t="shared" si="26"/>
        <v>0</v>
      </c>
      <c r="Q52" s="199">
        <f t="shared" si="25"/>
        <v>0</v>
      </c>
    </row>
    <row r="56" spans="2:17" x14ac:dyDescent="0.25">
      <c r="E56" s="178"/>
      <c r="F56" s="178"/>
      <c r="G56" s="178"/>
      <c r="H56" s="178"/>
      <c r="I56" s="178"/>
    </row>
    <row r="57" spans="2:17" x14ac:dyDescent="0.25">
      <c r="B57" s="179" t="s">
        <v>234</v>
      </c>
    </row>
    <row r="58" spans="2:17" x14ac:dyDescent="0.25">
      <c r="B58" s="180"/>
      <c r="C58" s="181"/>
      <c r="D58" s="181"/>
    </row>
    <row r="59" spans="2:17" x14ac:dyDescent="0.25">
      <c r="B59" s="180" t="s">
        <v>235</v>
      </c>
      <c r="C59" s="182"/>
      <c r="D59" s="182">
        <f>NPV(Param!D4,E5:P5)+D5</f>
        <v>265498.43882479239</v>
      </c>
    </row>
    <row r="60" spans="2:17" x14ac:dyDescent="0.25">
      <c r="B60" s="180" t="s">
        <v>236</v>
      </c>
      <c r="D60" s="173">
        <f>COUNTIF(D6:P6,"&lt;=0")</f>
        <v>0</v>
      </c>
    </row>
    <row r="61" spans="2:17" x14ac:dyDescent="0.25">
      <c r="B61" s="180" t="s">
        <v>237</v>
      </c>
      <c r="C61" s="181"/>
      <c r="D61" s="183">
        <f>SUM(E5:P5)/-D5</f>
        <v>-1.0340024086155086</v>
      </c>
    </row>
  </sheetData>
  <mergeCells count="2">
    <mergeCell ref="B2:C2"/>
    <mergeCell ref="E2:P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739CD-64D6-441F-9439-12896E6ED11B}">
  <dimension ref="B2:H18"/>
  <sheetViews>
    <sheetView showGridLines="0" workbookViewId="0">
      <selection activeCell="F8" sqref="F8"/>
    </sheetView>
  </sheetViews>
  <sheetFormatPr defaultColWidth="9.28515625" defaultRowHeight="15" x14ac:dyDescent="0.25"/>
  <cols>
    <col min="1" max="1" width="2.7109375" style="142" customWidth="1"/>
    <col min="2" max="2" width="10.7109375" style="142" customWidth="1"/>
    <col min="3" max="3" width="9.28515625" style="142"/>
    <col min="4" max="4" width="10" style="142" customWidth="1"/>
    <col min="5" max="6" width="9.28515625" style="142"/>
    <col min="7" max="7" width="10.28515625" style="142" customWidth="1"/>
    <col min="8" max="16384" width="9.28515625" style="142"/>
  </cols>
  <sheetData>
    <row r="2" spans="2:8" ht="30" x14ac:dyDescent="0.25">
      <c r="B2" s="200" t="s">
        <v>239</v>
      </c>
      <c r="C2" s="236" t="s">
        <v>240</v>
      </c>
      <c r="D2" s="237"/>
      <c r="E2" s="236" t="s">
        <v>241</v>
      </c>
      <c r="F2" s="237"/>
      <c r="G2" s="201" t="s">
        <v>242</v>
      </c>
      <c r="H2" s="201" t="s">
        <v>243</v>
      </c>
    </row>
    <row r="3" spans="2:8" ht="45" x14ac:dyDescent="0.25">
      <c r="B3" s="200" t="s">
        <v>207</v>
      </c>
      <c r="C3" s="202" t="s">
        <v>169</v>
      </c>
      <c r="D3" s="203" t="s">
        <v>171</v>
      </c>
      <c r="E3" s="202" t="s">
        <v>169</v>
      </c>
      <c r="F3" s="203" t="s">
        <v>171</v>
      </c>
      <c r="G3" s="204" t="s">
        <v>244</v>
      </c>
      <c r="H3" s="204"/>
    </row>
    <row r="4" spans="2:8" x14ac:dyDescent="0.25">
      <c r="B4" s="205">
        <v>0</v>
      </c>
      <c r="C4" s="171">
        <f>HLOOKUP($B4,Orcado!$D$4:$P$5,2,FALSE)</f>
        <v>110000</v>
      </c>
      <c r="D4" s="171">
        <f>HLOOKUP($B4,Realizado!$D$4:$P$5,2,FALSE)</f>
        <v>158109</v>
      </c>
      <c r="E4" s="171">
        <f>C4</f>
        <v>110000</v>
      </c>
      <c r="F4" s="171">
        <f>D4</f>
        <v>158109</v>
      </c>
      <c r="G4" s="171">
        <f>F4-E4</f>
        <v>48109</v>
      </c>
      <c r="H4" s="206">
        <f>IF(E4=0,"",F4/E4-1)</f>
        <v>0.43735454545454555</v>
      </c>
    </row>
    <row r="5" spans="2:8" x14ac:dyDescent="0.25">
      <c r="B5" s="205">
        <f>B4+1</f>
        <v>1</v>
      </c>
      <c r="C5" s="171">
        <f>HLOOKUP($B5,Orcado!$D$4:$P$5,2,FALSE)</f>
        <v>10388.230000000003</v>
      </c>
      <c r="D5" s="171">
        <f>HLOOKUP($B5,Realizado!$D$4:$P$5,2,FALSE)</f>
        <v>7987.4</v>
      </c>
      <c r="E5" s="171">
        <f>E4+C5</f>
        <v>120388.23000000001</v>
      </c>
      <c r="F5" s="171">
        <f>F4+D5</f>
        <v>166096.4</v>
      </c>
      <c r="G5" s="171">
        <f t="shared" ref="G5:G16" si="0">F5-E5</f>
        <v>45708.169999999984</v>
      </c>
      <c r="H5" s="206">
        <f t="shared" ref="H5:H16" si="1">F5/E5-1</f>
        <v>0.37967307933674221</v>
      </c>
    </row>
    <row r="6" spans="2:8" x14ac:dyDescent="0.25">
      <c r="B6" s="205">
        <f t="shared" ref="B6:B16" si="2">B5+1</f>
        <v>2</v>
      </c>
      <c r="C6" s="171">
        <f>HLOOKUP($B6,Orcado!$D$4:$P$5,2,FALSE)</f>
        <v>10305.458000000001</v>
      </c>
      <c r="D6" s="171">
        <f>HLOOKUP($B6,Realizado!$D$4:$P$5,2,FALSE)</f>
        <v>8708.1400000000012</v>
      </c>
      <c r="E6" s="171">
        <f t="shared" ref="E6:F16" si="3">E5+C6</f>
        <v>130693.68800000001</v>
      </c>
      <c r="F6" s="171">
        <f t="shared" si="3"/>
        <v>174804.54</v>
      </c>
      <c r="G6" s="171">
        <f t="shared" si="0"/>
        <v>44110.851999999999</v>
      </c>
      <c r="H6" s="206">
        <f t="shared" si="1"/>
        <v>0.33751325465695015</v>
      </c>
    </row>
    <row r="7" spans="2:8" x14ac:dyDescent="0.25">
      <c r="B7" s="205">
        <f t="shared" si="2"/>
        <v>3</v>
      </c>
      <c r="C7" s="171">
        <f>HLOOKUP($B7,Orcado!$D$4:$P$5,2,FALSE)</f>
        <v>7986.0038000000013</v>
      </c>
      <c r="D7" s="171">
        <f>HLOOKUP($B7,Realizado!$D$4:$P$5,2,FALSE)</f>
        <v>9500.9540000000015</v>
      </c>
      <c r="E7" s="171">
        <f t="shared" si="3"/>
        <v>138679.6918</v>
      </c>
      <c r="F7" s="171">
        <f t="shared" si="3"/>
        <v>184305.49400000001</v>
      </c>
      <c r="G7" s="171">
        <f t="shared" si="0"/>
        <v>45625.802200000006</v>
      </c>
      <c r="H7" s="206">
        <f t="shared" si="1"/>
        <v>0.32900132389824077</v>
      </c>
    </row>
    <row r="8" spans="2:8" x14ac:dyDescent="0.25">
      <c r="B8" s="205">
        <f t="shared" si="2"/>
        <v>4</v>
      </c>
      <c r="C8" s="171">
        <f>HLOOKUP($B8,Orcado!$D$4:$P$5,2,FALSE)</f>
        <v>8234.6041800000021</v>
      </c>
      <c r="D8" s="171">
        <f>HLOOKUP($B8,Realizado!$D$4:$P$5,2,FALSE)</f>
        <v>10373.049400000004</v>
      </c>
      <c r="E8" s="171">
        <f t="shared" si="3"/>
        <v>146914.29598</v>
      </c>
      <c r="F8" s="171">
        <f t="shared" si="3"/>
        <v>194678.54340000002</v>
      </c>
      <c r="G8" s="171">
        <f t="shared" si="0"/>
        <v>47764.247420000029</v>
      </c>
      <c r="H8" s="206">
        <f t="shared" si="1"/>
        <v>0.32511640273933828</v>
      </c>
    </row>
    <row r="9" spans="2:8" x14ac:dyDescent="0.25">
      <c r="B9" s="205">
        <f t="shared" si="2"/>
        <v>5</v>
      </c>
      <c r="C9" s="171">
        <f>HLOOKUP($B9,Orcado!$D$4:$P$5,2,FALSE)</f>
        <v>9058.0645980000045</v>
      </c>
      <c r="D9" s="171">
        <f>HLOOKUP($B9,Realizado!$D$4:$P$5,2,FALSE)</f>
        <v>11332.354340000004</v>
      </c>
      <c r="E9" s="171">
        <f t="shared" si="3"/>
        <v>155972.36057799999</v>
      </c>
      <c r="F9" s="171">
        <f t="shared" si="3"/>
        <v>206010.89774000001</v>
      </c>
      <c r="G9" s="171">
        <f t="shared" si="0"/>
        <v>50038.537162000022</v>
      </c>
      <c r="H9" s="206">
        <f t="shared" si="1"/>
        <v>0.32081669455131645</v>
      </c>
    </row>
    <row r="10" spans="2:8" x14ac:dyDescent="0.25">
      <c r="B10" s="205">
        <f t="shared" si="2"/>
        <v>6</v>
      </c>
      <c r="C10" s="171">
        <f>HLOOKUP($B10,Orcado!$D$4:$P$5,2,FALSE)</f>
        <v>9963.8710578000027</v>
      </c>
      <c r="D10" s="171">
        <f>HLOOKUP($B10,Realizado!$D$4:$P$5,2,FALSE)</f>
        <v>12387.589774000005</v>
      </c>
      <c r="E10" s="171">
        <f t="shared" si="3"/>
        <v>165936.23163579998</v>
      </c>
      <c r="F10" s="171">
        <f t="shared" si="3"/>
        <v>218398.48751400001</v>
      </c>
      <c r="G10" s="171">
        <f t="shared" si="0"/>
        <v>52462.255878200027</v>
      </c>
      <c r="H10" s="206">
        <f t="shared" si="1"/>
        <v>0.31615913752546332</v>
      </c>
    </row>
    <row r="11" spans="2:8" x14ac:dyDescent="0.25">
      <c r="B11" s="205">
        <f t="shared" si="2"/>
        <v>7</v>
      </c>
      <c r="C11" s="171">
        <f>HLOOKUP($B11,Orcado!$D$4:$P$5,2,FALSE)</f>
        <v>10960.258163580005</v>
      </c>
      <c r="D11" s="171">
        <f>HLOOKUP($B11,Realizado!$D$4:$P$5,2,FALSE)</f>
        <v>13548.348751400006</v>
      </c>
      <c r="E11" s="171">
        <f t="shared" si="3"/>
        <v>176896.48979937998</v>
      </c>
      <c r="F11" s="171">
        <f t="shared" si="3"/>
        <v>231946.83626540002</v>
      </c>
      <c r="G11" s="171">
        <f t="shared" si="0"/>
        <v>55050.346466020041</v>
      </c>
      <c r="H11" s="206">
        <f t="shared" si="1"/>
        <v>0.31120089792880101</v>
      </c>
    </row>
    <row r="12" spans="2:8" x14ac:dyDescent="0.25">
      <c r="B12" s="205">
        <f t="shared" si="2"/>
        <v>8</v>
      </c>
      <c r="C12" s="171">
        <f>HLOOKUP($B12,Orcado!$D$4:$P$5,2,FALSE)</f>
        <v>12056.283979938009</v>
      </c>
      <c r="D12" s="171">
        <f>HLOOKUP($B12,Realizado!$D$4:$P$5,2,FALSE)</f>
        <v>14825.183626540009</v>
      </c>
      <c r="E12" s="171">
        <f t="shared" si="3"/>
        <v>188952.773779318</v>
      </c>
      <c r="F12" s="171">
        <f t="shared" si="3"/>
        <v>246772.01989194003</v>
      </c>
      <c r="G12" s="171">
        <f t="shared" si="0"/>
        <v>57819.24611262203</v>
      </c>
      <c r="H12" s="206">
        <f t="shared" si="1"/>
        <v>0.30599839820372443</v>
      </c>
    </row>
    <row r="13" spans="2:8" x14ac:dyDescent="0.25">
      <c r="B13" s="205">
        <f t="shared" si="2"/>
        <v>9</v>
      </c>
      <c r="C13" s="171">
        <f>HLOOKUP($B13,Orcado!$D$4:$P$5,2,FALSE)</f>
        <v>13261.912377931811</v>
      </c>
      <c r="D13" s="171">
        <f>HLOOKUP($B13,Realizado!$D$4:$P$5,2,FALSE)</f>
        <v>16229.701989194014</v>
      </c>
      <c r="E13" s="171">
        <f t="shared" si="3"/>
        <v>202214.68615724982</v>
      </c>
      <c r="F13" s="171">
        <f t="shared" si="3"/>
        <v>263001.72188113403</v>
      </c>
      <c r="G13" s="171">
        <f t="shared" si="0"/>
        <v>60787.035723884212</v>
      </c>
      <c r="H13" s="206">
        <f t="shared" si="1"/>
        <v>0.30060643407775989</v>
      </c>
    </row>
    <row r="14" spans="2:8" x14ac:dyDescent="0.25">
      <c r="B14" s="205">
        <f t="shared" si="2"/>
        <v>10</v>
      </c>
      <c r="C14" s="171">
        <f>HLOOKUP($B14,Orcado!$D$4:$P$5,2,FALSE)</f>
        <v>14588.103615724989</v>
      </c>
      <c r="D14" s="171">
        <f>HLOOKUP($B14,Realizado!$D$4:$P$5,2,FALSE)</f>
        <v>17774.672188113411</v>
      </c>
      <c r="E14" s="171">
        <f t="shared" si="3"/>
        <v>216802.78977297479</v>
      </c>
      <c r="F14" s="171">
        <f t="shared" si="3"/>
        <v>280776.39406924741</v>
      </c>
      <c r="G14" s="171">
        <f t="shared" si="0"/>
        <v>63973.604296272621</v>
      </c>
      <c r="H14" s="206">
        <f t="shared" si="1"/>
        <v>0.29507740358536272</v>
      </c>
    </row>
    <row r="15" spans="2:8" x14ac:dyDescent="0.25">
      <c r="B15" s="205">
        <f t="shared" si="2"/>
        <v>11</v>
      </c>
      <c r="C15" s="171">
        <f>HLOOKUP($B15,Orcado!$D$4:$P$5,2,FALSE)</f>
        <v>16046.91397729749</v>
      </c>
      <c r="D15" s="171">
        <f>HLOOKUP($B15,Realizado!$D$4:$P$5,2,FALSE)</f>
        <v>19474.139406924758</v>
      </c>
      <c r="E15" s="171">
        <f t="shared" si="3"/>
        <v>232849.70375027228</v>
      </c>
      <c r="F15" s="171">
        <f t="shared" si="3"/>
        <v>300250.53347617219</v>
      </c>
      <c r="G15" s="171">
        <f t="shared" si="0"/>
        <v>67400.829725899908</v>
      </c>
      <c r="H15" s="206">
        <f t="shared" si="1"/>
        <v>0.28946066342513488</v>
      </c>
    </row>
    <row r="16" spans="2:8" x14ac:dyDescent="0.25">
      <c r="B16" s="205">
        <f t="shared" si="2"/>
        <v>12</v>
      </c>
      <c r="C16" s="171">
        <f>HLOOKUP($B16,Orcado!$D$4:$P$5,2,FALSE)</f>
        <v>17651.605375027244</v>
      </c>
      <c r="D16" s="171">
        <f>HLOOKUP($B16,Realizado!$D$4:$P$5,2,FALSE)</f>
        <v>21343.553347617235</v>
      </c>
      <c r="E16" s="171">
        <f t="shared" si="3"/>
        <v>250501.30912529954</v>
      </c>
      <c r="F16" s="171">
        <f t="shared" si="3"/>
        <v>321594.0868237894</v>
      </c>
      <c r="G16" s="171">
        <f t="shared" si="0"/>
        <v>71092.777698489866</v>
      </c>
      <c r="H16" s="206">
        <f t="shared" si="1"/>
        <v>0.28380202062309223</v>
      </c>
    </row>
    <row r="17" spans="2:4" x14ac:dyDescent="0.25">
      <c r="B17" s="207" t="s">
        <v>122</v>
      </c>
      <c r="C17" s="171">
        <f>SUM(C4:C16)</f>
        <v>250501.30912529954</v>
      </c>
      <c r="D17" s="171">
        <f>SUM(D4:D16)</f>
        <v>321594.0868237894</v>
      </c>
    </row>
    <row r="18" spans="2:4" x14ac:dyDescent="0.25">
      <c r="B18" s="141" t="s">
        <v>245</v>
      </c>
      <c r="C18" s="173">
        <f>C17-D17</f>
        <v>-71092.777698489866</v>
      </c>
    </row>
  </sheetData>
  <mergeCells count="2">
    <mergeCell ref="C2:D2"/>
    <mergeCell ref="E2:F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39027-10D4-4880-9E22-F42D979F3413}">
  <dimension ref="B2:D22"/>
  <sheetViews>
    <sheetView showGridLines="0" workbookViewId="0">
      <selection activeCell="C19" sqref="C19"/>
    </sheetView>
  </sheetViews>
  <sheetFormatPr defaultColWidth="9.28515625" defaultRowHeight="15" x14ac:dyDescent="0.25"/>
  <cols>
    <col min="1" max="1" width="2.7109375" style="142" customWidth="1"/>
    <col min="2" max="2" width="16.5703125" style="142" customWidth="1"/>
    <col min="3" max="3" width="35.42578125" style="142" customWidth="1"/>
    <col min="4" max="4" width="33.42578125" style="142" customWidth="1"/>
    <col min="5" max="16384" width="9.28515625" style="142"/>
  </cols>
  <sheetData>
    <row r="2" spans="2:4" x14ac:dyDescent="0.25">
      <c r="B2" s="127" t="s">
        <v>246</v>
      </c>
      <c r="C2" s="127" t="s">
        <v>247</v>
      </c>
      <c r="D2" s="127" t="s">
        <v>248</v>
      </c>
    </row>
    <row r="3" spans="2:4" x14ac:dyDescent="0.25">
      <c r="B3" s="208" t="s">
        <v>212</v>
      </c>
      <c r="C3" s="208"/>
      <c r="D3" s="208" t="s">
        <v>249</v>
      </c>
    </row>
    <row r="4" spans="2:4" x14ac:dyDescent="0.25">
      <c r="B4" s="209" t="s">
        <v>250</v>
      </c>
      <c r="C4" s="209" t="s">
        <v>251</v>
      </c>
      <c r="D4" s="210">
        <v>0.06</v>
      </c>
    </row>
    <row r="5" spans="2:4" x14ac:dyDescent="0.25">
      <c r="B5" s="211"/>
      <c r="C5" s="211" t="s">
        <v>252</v>
      </c>
      <c r="D5" s="212"/>
    </row>
    <row r="6" spans="2:4" x14ac:dyDescent="0.25">
      <c r="B6" s="211"/>
      <c r="C6" s="211" t="s">
        <v>253</v>
      </c>
      <c r="D6" s="212"/>
    </row>
    <row r="7" spans="2:4" x14ac:dyDescent="0.25">
      <c r="B7" s="211"/>
      <c r="C7" s="211" t="s">
        <v>254</v>
      </c>
      <c r="D7" s="212"/>
    </row>
    <row r="8" spans="2:4" x14ac:dyDescent="0.25">
      <c r="B8" s="211"/>
      <c r="C8" s="211" t="s">
        <v>255</v>
      </c>
      <c r="D8" s="212"/>
    </row>
    <row r="9" spans="2:4" x14ac:dyDescent="0.25">
      <c r="B9" s="211"/>
      <c r="C9" s="211" t="s">
        <v>256</v>
      </c>
      <c r="D9" s="212"/>
    </row>
    <row r="10" spans="2:4" x14ac:dyDescent="0.25">
      <c r="B10" s="211"/>
      <c r="C10" s="211" t="s">
        <v>257</v>
      </c>
      <c r="D10" s="212"/>
    </row>
    <row r="11" spans="2:4" x14ac:dyDescent="0.25">
      <c r="B11" s="213"/>
      <c r="C11" s="213" t="s">
        <v>258</v>
      </c>
      <c r="D11" s="214"/>
    </row>
    <row r="15" spans="2:4" x14ac:dyDescent="0.25">
      <c r="B15" s="142" t="s">
        <v>259</v>
      </c>
    </row>
    <row r="16" spans="2:4" x14ac:dyDescent="0.25">
      <c r="B16" s="141" t="s">
        <v>161</v>
      </c>
    </row>
    <row r="17" spans="2:3" x14ac:dyDescent="0.25">
      <c r="B17" s="145" t="s">
        <v>260</v>
      </c>
      <c r="C17" s="215" t="s">
        <v>263</v>
      </c>
    </row>
    <row r="18" spans="2:3" x14ac:dyDescent="0.25">
      <c r="B18" s="145" t="s">
        <v>261</v>
      </c>
      <c r="C18" s="216">
        <v>45891</v>
      </c>
    </row>
    <row r="19" spans="2:3" x14ac:dyDescent="0.25">
      <c r="B19" s="145" t="s">
        <v>209</v>
      </c>
      <c r="C19" s="217" t="s">
        <v>262</v>
      </c>
    </row>
    <row r="20" spans="2:3" x14ac:dyDescent="0.25">
      <c r="B20" s="200"/>
      <c r="C20" s="218"/>
    </row>
    <row r="21" spans="2:3" x14ac:dyDescent="0.25">
      <c r="B21" s="145"/>
      <c r="C21" s="219"/>
    </row>
    <row r="22" spans="2:3" x14ac:dyDescent="0.25">
      <c r="B22" s="145"/>
      <c r="C22" s="21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4" t="s">
        <v>125</v>
      </c>
      <c r="B3" s="23"/>
      <c r="C3" s="23"/>
      <c r="D3" s="23"/>
      <c r="E3" s="26"/>
    </row>
    <row r="4" spans="1:5" x14ac:dyDescent="0.2">
      <c r="A4" s="24" t="s">
        <v>2</v>
      </c>
      <c r="B4" s="24" t="s">
        <v>3</v>
      </c>
      <c r="C4" s="24" t="s">
        <v>40</v>
      </c>
      <c r="D4" s="24" t="s">
        <v>0</v>
      </c>
      <c r="E4" s="26" t="s">
        <v>122</v>
      </c>
    </row>
    <row r="5" spans="1:5" x14ac:dyDescent="0.2">
      <c r="A5" s="22" t="s">
        <v>8</v>
      </c>
      <c r="B5" s="22" t="s">
        <v>45</v>
      </c>
      <c r="C5" s="22" t="s">
        <v>42</v>
      </c>
      <c r="D5" s="22" t="s">
        <v>8</v>
      </c>
      <c r="E5" s="26">
        <v>1000</v>
      </c>
    </row>
    <row r="6" spans="1:5" x14ac:dyDescent="0.2">
      <c r="A6" s="28"/>
      <c r="B6" s="28"/>
      <c r="C6" s="22" t="s">
        <v>41</v>
      </c>
      <c r="D6" s="22" t="s">
        <v>11</v>
      </c>
      <c r="E6" s="26">
        <v>1000</v>
      </c>
    </row>
    <row r="7" spans="1:5" x14ac:dyDescent="0.2">
      <c r="A7" s="28"/>
      <c r="B7" s="28"/>
      <c r="C7" s="22" t="s">
        <v>43</v>
      </c>
      <c r="D7" s="22" t="s">
        <v>10</v>
      </c>
      <c r="E7" s="26">
        <v>2000</v>
      </c>
    </row>
    <row r="8" spans="1:5" x14ac:dyDescent="0.2">
      <c r="A8" s="22" t="s">
        <v>11</v>
      </c>
      <c r="B8" s="22" t="s">
        <v>56</v>
      </c>
      <c r="C8" s="22" t="s">
        <v>120</v>
      </c>
      <c r="D8" s="22" t="s">
        <v>12</v>
      </c>
      <c r="E8" s="26">
        <v>2000</v>
      </c>
    </row>
    <row r="9" spans="1:5" x14ac:dyDescent="0.2">
      <c r="A9" s="28"/>
      <c r="B9" s="22" t="s">
        <v>45</v>
      </c>
      <c r="C9" s="22" t="s">
        <v>117</v>
      </c>
      <c r="D9" s="22" t="s">
        <v>5</v>
      </c>
      <c r="E9" s="26">
        <v>700</v>
      </c>
    </row>
    <row r="10" spans="1:5" x14ac:dyDescent="0.2">
      <c r="A10" s="28"/>
      <c r="B10" s="22" t="s">
        <v>123</v>
      </c>
      <c r="C10" s="22" t="s">
        <v>46</v>
      </c>
      <c r="D10" s="22">
        <v>2</v>
      </c>
      <c r="E10" s="26"/>
    </row>
    <row r="11" spans="1:5" x14ac:dyDescent="0.2">
      <c r="A11" s="22" t="s">
        <v>106</v>
      </c>
      <c r="B11" s="22" t="s">
        <v>115</v>
      </c>
      <c r="C11" s="22" t="s">
        <v>104</v>
      </c>
      <c r="D11" s="22" t="s">
        <v>106</v>
      </c>
      <c r="E11" s="26">
        <v>4000</v>
      </c>
    </row>
    <row r="12" spans="1:5" x14ac:dyDescent="0.2">
      <c r="A12" s="22" t="s">
        <v>107</v>
      </c>
      <c r="B12" s="22" t="s">
        <v>114</v>
      </c>
      <c r="C12" s="22" t="s">
        <v>105</v>
      </c>
      <c r="D12" s="22" t="s">
        <v>107</v>
      </c>
      <c r="E12" s="26">
        <v>1000</v>
      </c>
    </row>
    <row r="13" spans="1:5" x14ac:dyDescent="0.2">
      <c r="A13" s="22" t="s">
        <v>108</v>
      </c>
      <c r="B13" s="22" t="s">
        <v>114</v>
      </c>
      <c r="C13" s="22" t="s">
        <v>109</v>
      </c>
      <c r="D13" s="22" t="s">
        <v>108</v>
      </c>
      <c r="E13" s="26">
        <v>1000</v>
      </c>
    </row>
    <row r="14" spans="1:5" x14ac:dyDescent="0.2">
      <c r="A14" s="22" t="s">
        <v>4</v>
      </c>
      <c r="B14" s="22" t="s">
        <v>45</v>
      </c>
      <c r="C14" s="22" t="s">
        <v>47</v>
      </c>
      <c r="D14" s="22" t="s">
        <v>4</v>
      </c>
      <c r="E14" s="26">
        <v>2000</v>
      </c>
    </row>
    <row r="15" spans="1:5" x14ac:dyDescent="0.2">
      <c r="A15" s="22" t="s">
        <v>5</v>
      </c>
      <c r="B15" s="22" t="s">
        <v>45</v>
      </c>
      <c r="C15" s="22" t="s">
        <v>52</v>
      </c>
      <c r="D15" s="22" t="s">
        <v>6</v>
      </c>
      <c r="E15" s="26">
        <v>400</v>
      </c>
    </row>
    <row r="16" spans="1:5" x14ac:dyDescent="0.2">
      <c r="A16" s="28"/>
      <c r="B16" s="28"/>
      <c r="C16" s="22" t="s">
        <v>48</v>
      </c>
      <c r="D16" s="22" t="s">
        <v>37</v>
      </c>
      <c r="E16" s="26">
        <v>500</v>
      </c>
    </row>
    <row r="17" spans="1:5" x14ac:dyDescent="0.2">
      <c r="A17" s="28"/>
      <c r="B17" s="28"/>
      <c r="C17" s="22" t="s">
        <v>51</v>
      </c>
      <c r="D17" s="22" t="s">
        <v>55</v>
      </c>
      <c r="E17" s="26">
        <v>200</v>
      </c>
    </row>
    <row r="18" spans="1:5" x14ac:dyDescent="0.2">
      <c r="A18" s="28"/>
      <c r="B18" s="28"/>
      <c r="C18" s="22" t="s">
        <v>50</v>
      </c>
      <c r="D18" s="22" t="s">
        <v>54</v>
      </c>
      <c r="E18" s="26">
        <v>800</v>
      </c>
    </row>
    <row r="19" spans="1:5" x14ac:dyDescent="0.2">
      <c r="A19" s="28"/>
      <c r="B19" s="28"/>
      <c r="C19" s="22" t="s">
        <v>49</v>
      </c>
      <c r="D19" s="22" t="s">
        <v>38</v>
      </c>
      <c r="E19" s="26">
        <v>1000</v>
      </c>
    </row>
    <row r="20" spans="1:5" x14ac:dyDescent="0.2">
      <c r="A20" s="22" t="s">
        <v>6</v>
      </c>
      <c r="B20" s="22" t="s">
        <v>123</v>
      </c>
      <c r="C20" s="22" t="s">
        <v>53</v>
      </c>
      <c r="D20" s="22">
        <v>3</v>
      </c>
      <c r="E20" s="26"/>
    </row>
    <row r="21" spans="1:5" x14ac:dyDescent="0.2">
      <c r="A21" s="22" t="s">
        <v>12</v>
      </c>
      <c r="B21" s="22" t="s">
        <v>56</v>
      </c>
      <c r="C21" s="22" t="s">
        <v>58</v>
      </c>
      <c r="D21" s="22" t="s">
        <v>118</v>
      </c>
      <c r="E21" s="26">
        <v>500</v>
      </c>
    </row>
    <row r="22" spans="1:5" x14ac:dyDescent="0.2">
      <c r="A22" s="22" t="s">
        <v>118</v>
      </c>
      <c r="B22" s="22" t="s">
        <v>56</v>
      </c>
      <c r="C22" s="22" t="s">
        <v>59</v>
      </c>
      <c r="D22" s="22" t="s">
        <v>60</v>
      </c>
      <c r="E22" s="26">
        <v>500</v>
      </c>
    </row>
    <row r="23" spans="1:5" x14ac:dyDescent="0.2">
      <c r="A23" s="22" t="s">
        <v>60</v>
      </c>
      <c r="B23" s="22" t="s">
        <v>56</v>
      </c>
      <c r="C23" s="22" t="s">
        <v>121</v>
      </c>
      <c r="D23" s="22" t="s">
        <v>13</v>
      </c>
      <c r="E23" s="26">
        <v>1000</v>
      </c>
    </row>
    <row r="24" spans="1:5" x14ac:dyDescent="0.2">
      <c r="A24" s="22" t="s">
        <v>13</v>
      </c>
      <c r="B24" s="22" t="s">
        <v>56</v>
      </c>
      <c r="C24" s="22" t="s">
        <v>57</v>
      </c>
      <c r="D24" s="22" t="s">
        <v>119</v>
      </c>
      <c r="E24" s="26">
        <v>500</v>
      </c>
    </row>
    <row r="25" spans="1:5" x14ac:dyDescent="0.2">
      <c r="A25" s="22" t="s">
        <v>119</v>
      </c>
      <c r="B25" s="22" t="s">
        <v>123</v>
      </c>
      <c r="C25" s="22" t="s">
        <v>61</v>
      </c>
      <c r="D25" s="22">
        <v>4</v>
      </c>
      <c r="E25" s="26"/>
    </row>
    <row r="26" spans="1:5" x14ac:dyDescent="0.2">
      <c r="A26" s="22" t="s">
        <v>127</v>
      </c>
      <c r="B26" s="22" t="s">
        <v>56</v>
      </c>
      <c r="C26" s="22" t="s">
        <v>126</v>
      </c>
      <c r="D26" s="22" t="s">
        <v>127</v>
      </c>
      <c r="E26" s="26">
        <v>700</v>
      </c>
    </row>
    <row r="27" spans="1:5" x14ac:dyDescent="0.2">
      <c r="A27" s="22" t="s">
        <v>7</v>
      </c>
      <c r="B27" s="22" t="s">
        <v>63</v>
      </c>
      <c r="C27" s="22" t="s">
        <v>62</v>
      </c>
      <c r="D27" s="22" t="s">
        <v>7</v>
      </c>
      <c r="E27" s="26">
        <v>500</v>
      </c>
    </row>
    <row r="28" spans="1:5" x14ac:dyDescent="0.2">
      <c r="A28" s="22" t="s">
        <v>65</v>
      </c>
      <c r="B28" s="22" t="s">
        <v>63</v>
      </c>
      <c r="C28" s="22" t="s">
        <v>64</v>
      </c>
      <c r="D28" s="22" t="s">
        <v>65</v>
      </c>
      <c r="E28" s="26">
        <v>5000</v>
      </c>
    </row>
    <row r="29" spans="1:5" x14ac:dyDescent="0.2">
      <c r="A29" s="22" t="s">
        <v>28</v>
      </c>
      <c r="B29" s="22" t="s">
        <v>63</v>
      </c>
      <c r="C29" s="22" t="s">
        <v>66</v>
      </c>
      <c r="D29" s="22" t="s">
        <v>28</v>
      </c>
      <c r="E29" s="26">
        <v>700</v>
      </c>
    </row>
    <row r="30" spans="1:5" x14ac:dyDescent="0.2">
      <c r="A30" s="22" t="s">
        <v>39</v>
      </c>
      <c r="B30" s="22" t="s">
        <v>63</v>
      </c>
      <c r="C30" s="22" t="s">
        <v>69</v>
      </c>
      <c r="D30" s="22" t="s">
        <v>39</v>
      </c>
      <c r="E30" s="26">
        <v>500</v>
      </c>
    </row>
    <row r="31" spans="1:5" x14ac:dyDescent="0.2">
      <c r="A31" s="22" t="s">
        <v>67</v>
      </c>
      <c r="B31" s="22" t="s">
        <v>63</v>
      </c>
      <c r="C31" s="22" t="s">
        <v>70</v>
      </c>
      <c r="D31" s="22" t="s">
        <v>67</v>
      </c>
      <c r="E31" s="26">
        <v>300</v>
      </c>
    </row>
    <row r="32" spans="1:5" x14ac:dyDescent="0.2">
      <c r="A32" s="22" t="s">
        <v>68</v>
      </c>
      <c r="B32" s="22" t="s">
        <v>63</v>
      </c>
      <c r="C32" s="22" t="s">
        <v>71</v>
      </c>
      <c r="D32" s="22" t="s">
        <v>68</v>
      </c>
      <c r="E32" s="26">
        <v>1000</v>
      </c>
    </row>
    <row r="33" spans="1:5" x14ac:dyDescent="0.2">
      <c r="A33" s="22" t="s">
        <v>14</v>
      </c>
      <c r="B33" s="22" t="s">
        <v>110</v>
      </c>
      <c r="C33" s="22" t="s">
        <v>72</v>
      </c>
      <c r="D33" s="22" t="s">
        <v>14</v>
      </c>
      <c r="E33" s="26">
        <v>3000</v>
      </c>
    </row>
    <row r="34" spans="1:5" x14ac:dyDescent="0.2">
      <c r="A34" s="22" t="s">
        <v>15</v>
      </c>
      <c r="B34" s="22" t="s">
        <v>110</v>
      </c>
      <c r="C34" s="22" t="s">
        <v>73</v>
      </c>
      <c r="D34" s="22" t="s">
        <v>15</v>
      </c>
      <c r="E34" s="26">
        <v>1000</v>
      </c>
    </row>
    <row r="35" spans="1:5" x14ac:dyDescent="0.2">
      <c r="A35" s="22" t="s">
        <v>16</v>
      </c>
      <c r="B35" s="22" t="s">
        <v>110</v>
      </c>
      <c r="C35" s="22" t="s">
        <v>74</v>
      </c>
      <c r="D35" s="22" t="s">
        <v>16</v>
      </c>
      <c r="E35" s="26">
        <v>1000</v>
      </c>
    </row>
    <row r="36" spans="1:5" x14ac:dyDescent="0.2">
      <c r="A36" s="22" t="s">
        <v>79</v>
      </c>
      <c r="B36" s="22" t="s">
        <v>111</v>
      </c>
      <c r="C36" s="22" t="s">
        <v>76</v>
      </c>
      <c r="D36" s="22" t="s">
        <v>79</v>
      </c>
      <c r="E36" s="26">
        <v>30000</v>
      </c>
    </row>
    <row r="37" spans="1:5" x14ac:dyDescent="0.2">
      <c r="A37" s="22" t="s">
        <v>80</v>
      </c>
      <c r="B37" s="22" t="s">
        <v>112</v>
      </c>
      <c r="C37" s="22" t="s">
        <v>77</v>
      </c>
      <c r="D37" s="22" t="s">
        <v>80</v>
      </c>
      <c r="E37" s="26">
        <v>700</v>
      </c>
    </row>
    <row r="38" spans="1:5" x14ac:dyDescent="0.2">
      <c r="A38" s="22" t="s">
        <v>81</v>
      </c>
      <c r="B38" s="22" t="s">
        <v>110</v>
      </c>
      <c r="C38" s="22" t="s">
        <v>78</v>
      </c>
      <c r="D38" s="22" t="s">
        <v>81</v>
      </c>
      <c r="E38" s="26">
        <v>500</v>
      </c>
    </row>
    <row r="39" spans="1:5" x14ac:dyDescent="0.2">
      <c r="A39" s="22" t="s">
        <v>86</v>
      </c>
      <c r="B39" s="22" t="s">
        <v>113</v>
      </c>
      <c r="C39" s="22" t="s">
        <v>83</v>
      </c>
      <c r="D39" s="22" t="s">
        <v>86</v>
      </c>
      <c r="E39" s="26">
        <v>15000</v>
      </c>
    </row>
    <row r="40" spans="1:5" x14ac:dyDescent="0.2">
      <c r="A40" s="22" t="s">
        <v>87</v>
      </c>
      <c r="B40" s="22" t="s">
        <v>114</v>
      </c>
      <c r="C40" s="22" t="s">
        <v>84</v>
      </c>
      <c r="D40" s="22" t="s">
        <v>87</v>
      </c>
      <c r="E40" s="26">
        <v>10000</v>
      </c>
    </row>
    <row r="41" spans="1:5" x14ac:dyDescent="0.2">
      <c r="A41" s="22" t="s">
        <v>88</v>
      </c>
      <c r="B41" s="22" t="s">
        <v>114</v>
      </c>
      <c r="C41" s="22" t="s">
        <v>85</v>
      </c>
      <c r="D41" s="22" t="s">
        <v>88</v>
      </c>
      <c r="E41" s="26">
        <v>10000</v>
      </c>
    </row>
    <row r="42" spans="1:5" x14ac:dyDescent="0.2">
      <c r="A42" s="22" t="s">
        <v>93</v>
      </c>
      <c r="B42" s="22" t="s">
        <v>116</v>
      </c>
      <c r="C42" s="22" t="s">
        <v>90</v>
      </c>
      <c r="D42" s="22" t="s">
        <v>93</v>
      </c>
      <c r="E42" s="26">
        <v>5000</v>
      </c>
    </row>
    <row r="43" spans="1:5" x14ac:dyDescent="0.2">
      <c r="A43" s="22" t="s">
        <v>94</v>
      </c>
      <c r="B43" s="22" t="s">
        <v>116</v>
      </c>
      <c r="C43" s="22" t="s">
        <v>91</v>
      </c>
      <c r="D43" s="22" t="s">
        <v>94</v>
      </c>
      <c r="E43" s="26">
        <v>4000</v>
      </c>
    </row>
    <row r="44" spans="1:5" x14ac:dyDescent="0.2">
      <c r="A44" s="22" t="s">
        <v>95</v>
      </c>
      <c r="B44" s="22" t="s">
        <v>116</v>
      </c>
      <c r="C44" s="22" t="s">
        <v>92</v>
      </c>
      <c r="D44" s="22" t="s">
        <v>95</v>
      </c>
      <c r="E44" s="26">
        <v>1000</v>
      </c>
    </row>
    <row r="45" spans="1:5" x14ac:dyDescent="0.2">
      <c r="A45" s="22" t="s">
        <v>100</v>
      </c>
      <c r="B45" s="22" t="s">
        <v>116</v>
      </c>
      <c r="C45" s="22" t="s">
        <v>97</v>
      </c>
      <c r="D45" s="22" t="s">
        <v>100</v>
      </c>
      <c r="E45" s="26">
        <v>10000</v>
      </c>
    </row>
    <row r="46" spans="1:5" x14ac:dyDescent="0.2">
      <c r="A46" s="22" t="s">
        <v>101</v>
      </c>
      <c r="B46" s="22" t="s">
        <v>116</v>
      </c>
      <c r="C46" s="22" t="s">
        <v>98</v>
      </c>
      <c r="D46" s="22" t="s">
        <v>101</v>
      </c>
      <c r="E46" s="26">
        <v>20000</v>
      </c>
    </row>
    <row r="47" spans="1:5" x14ac:dyDescent="0.2">
      <c r="A47" s="22" t="s">
        <v>102</v>
      </c>
      <c r="B47" s="22" t="s">
        <v>116</v>
      </c>
      <c r="C47" s="22" t="s">
        <v>99</v>
      </c>
      <c r="D47" s="22" t="s">
        <v>102</v>
      </c>
      <c r="E47" s="26">
        <v>10000</v>
      </c>
    </row>
    <row r="48" spans="1:5" x14ac:dyDescent="0.2">
      <c r="A48" s="22" t="s">
        <v>123</v>
      </c>
      <c r="B48" s="22" t="s">
        <v>123</v>
      </c>
      <c r="C48" s="22" t="s">
        <v>103</v>
      </c>
      <c r="D48" s="22">
        <v>10</v>
      </c>
      <c r="E48" s="26"/>
    </row>
    <row r="49" spans="1:5" x14ac:dyDescent="0.2">
      <c r="A49" s="28"/>
      <c r="B49" s="28"/>
      <c r="C49" s="22" t="s">
        <v>44</v>
      </c>
      <c r="D49" s="22">
        <v>1</v>
      </c>
      <c r="E49" s="26"/>
    </row>
    <row r="50" spans="1:5" x14ac:dyDescent="0.2">
      <c r="A50" s="28"/>
      <c r="B50" s="28"/>
      <c r="C50" s="22" t="s">
        <v>51</v>
      </c>
      <c r="D50" s="22">
        <v>5</v>
      </c>
      <c r="E50" s="26"/>
    </row>
    <row r="51" spans="1:5" x14ac:dyDescent="0.2">
      <c r="A51" s="28"/>
      <c r="B51" s="28"/>
      <c r="C51" s="22" t="s">
        <v>82</v>
      </c>
      <c r="D51" s="22">
        <v>7</v>
      </c>
      <c r="E51" s="26"/>
    </row>
    <row r="52" spans="1:5" x14ac:dyDescent="0.2">
      <c r="A52" s="28"/>
      <c r="B52" s="28"/>
      <c r="C52" s="22" t="s">
        <v>96</v>
      </c>
      <c r="D52" s="22">
        <v>9</v>
      </c>
      <c r="E52" s="26"/>
    </row>
    <row r="53" spans="1:5" x14ac:dyDescent="0.2">
      <c r="A53" s="28"/>
      <c r="B53" s="28"/>
      <c r="C53" s="22" t="s">
        <v>89</v>
      </c>
      <c r="D53" s="22">
        <v>8</v>
      </c>
      <c r="E53" s="26"/>
    </row>
    <row r="54" spans="1:5" x14ac:dyDescent="0.2">
      <c r="A54" s="28"/>
      <c r="B54" s="28"/>
      <c r="C54" s="22" t="s">
        <v>75</v>
      </c>
      <c r="D54" s="22">
        <v>6</v>
      </c>
      <c r="E54" s="26"/>
    </row>
    <row r="55" spans="1:5" x14ac:dyDescent="0.2">
      <c r="A55" s="25" t="s">
        <v>124</v>
      </c>
      <c r="B55" s="29"/>
      <c r="C55" s="29"/>
      <c r="D55" s="29"/>
      <c r="E55" s="27">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30</v>
      </c>
    </row>
    <row r="4" spans="2:27" ht="13.5" thickBot="1" x14ac:dyDescent="0.25"/>
    <row r="5" spans="2:27" s="14" customFormat="1" ht="16.5" thickBot="1" x14ac:dyDescent="0.25">
      <c r="B5" s="17" t="s">
        <v>0</v>
      </c>
      <c r="C5" s="18" t="s">
        <v>1</v>
      </c>
      <c r="D5" s="242"/>
      <c r="E5" s="242"/>
      <c r="F5" s="242"/>
      <c r="G5" s="242"/>
      <c r="H5" s="242"/>
      <c r="I5" s="242"/>
      <c r="J5" s="242"/>
      <c r="K5" s="242"/>
      <c r="L5" s="242"/>
      <c r="M5" s="242"/>
      <c r="N5" s="242"/>
      <c r="O5" s="242"/>
      <c r="P5" s="242"/>
      <c r="Q5" s="242"/>
      <c r="R5" s="242"/>
      <c r="S5" s="242"/>
      <c r="T5" s="242"/>
      <c r="U5" s="242"/>
      <c r="V5" s="242"/>
      <c r="W5" s="242"/>
      <c r="X5" s="243"/>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44" t="s">
        <v>31</v>
      </c>
      <c r="E7" s="245"/>
      <c r="F7" s="245"/>
      <c r="G7" s="246"/>
      <c r="H7" s="247" t="s">
        <v>32</v>
      </c>
      <c r="I7" s="245"/>
      <c r="J7" s="245"/>
      <c r="K7" s="246"/>
      <c r="L7" s="247" t="s">
        <v>33</v>
      </c>
      <c r="M7" s="245"/>
      <c r="N7" s="245"/>
      <c r="O7" s="246"/>
      <c r="P7" s="247" t="s">
        <v>34</v>
      </c>
      <c r="Q7" s="245"/>
      <c r="R7" s="245"/>
      <c r="S7" s="246"/>
      <c r="T7" s="247" t="s">
        <v>35</v>
      </c>
      <c r="U7" s="245"/>
      <c r="V7" s="245"/>
      <c r="W7" s="246"/>
      <c r="X7" s="247" t="s">
        <v>36</v>
      </c>
      <c r="Y7" s="245"/>
      <c r="Z7" s="245"/>
      <c r="AA7" s="246"/>
    </row>
    <row r="8" spans="2:27" s="10" customFormat="1" ht="15.75" x14ac:dyDescent="0.2">
      <c r="B8" s="11" t="s">
        <v>8</v>
      </c>
      <c r="C8" s="9" t="s">
        <v>9</v>
      </c>
      <c r="D8" s="238">
        <v>30000</v>
      </c>
      <c r="E8" s="239"/>
      <c r="F8" s="239"/>
      <c r="G8" s="240"/>
      <c r="H8" s="238"/>
      <c r="I8" s="239"/>
      <c r="J8" s="239"/>
      <c r="K8" s="240"/>
      <c r="L8" s="238"/>
      <c r="M8" s="239"/>
      <c r="N8" s="239"/>
      <c r="O8" s="240"/>
      <c r="P8" s="238"/>
      <c r="Q8" s="239"/>
      <c r="R8" s="239"/>
      <c r="S8" s="240"/>
      <c r="T8" s="238"/>
      <c r="U8" s="239"/>
      <c r="V8" s="239"/>
      <c r="W8" s="240"/>
      <c r="X8" s="238"/>
      <c r="Y8" s="239"/>
      <c r="Z8" s="239"/>
      <c r="AA8" s="240"/>
    </row>
    <row r="9" spans="2:27" s="10" customFormat="1" ht="15.75" x14ac:dyDescent="0.2">
      <c r="B9" s="11" t="s">
        <v>10</v>
      </c>
      <c r="C9" s="9" t="s">
        <v>17</v>
      </c>
      <c r="D9" s="238"/>
      <c r="E9" s="239"/>
      <c r="F9" s="239"/>
      <c r="G9" s="240"/>
      <c r="H9" s="238">
        <v>5000</v>
      </c>
      <c r="I9" s="239"/>
      <c r="J9" s="239"/>
      <c r="K9" s="240"/>
      <c r="L9" s="238">
        <v>5000</v>
      </c>
      <c r="M9" s="239"/>
      <c r="N9" s="239"/>
      <c r="O9" s="240"/>
      <c r="P9" s="238">
        <v>5000</v>
      </c>
      <c r="Q9" s="239"/>
      <c r="R9" s="239"/>
      <c r="S9" s="240"/>
      <c r="T9" s="238">
        <v>5000</v>
      </c>
      <c r="U9" s="239"/>
      <c r="V9" s="239"/>
      <c r="W9" s="240"/>
      <c r="X9" s="238"/>
      <c r="Y9" s="239"/>
      <c r="Z9" s="239"/>
      <c r="AA9" s="240"/>
    </row>
    <row r="10" spans="2:27" s="10" customFormat="1" ht="16.5" thickBot="1" x14ac:dyDescent="0.25">
      <c r="B10" s="11" t="s">
        <v>11</v>
      </c>
      <c r="C10" s="9" t="s">
        <v>18</v>
      </c>
      <c r="D10" s="238"/>
      <c r="E10" s="239"/>
      <c r="F10" s="239"/>
      <c r="G10" s="240"/>
      <c r="H10" s="238"/>
      <c r="I10" s="239"/>
      <c r="J10" s="239"/>
      <c r="K10" s="240"/>
      <c r="L10" s="238"/>
      <c r="M10" s="239"/>
      <c r="N10" s="239"/>
      <c r="O10" s="240"/>
      <c r="P10" s="238"/>
      <c r="Q10" s="239"/>
      <c r="R10" s="239"/>
      <c r="S10" s="240"/>
      <c r="T10" s="238"/>
      <c r="U10" s="239"/>
      <c r="V10" s="239"/>
      <c r="W10" s="240"/>
      <c r="X10" s="238">
        <v>10000</v>
      </c>
      <c r="Y10" s="239"/>
      <c r="Z10" s="239"/>
      <c r="AA10" s="240"/>
    </row>
    <row r="11" spans="2:27" ht="15.75" x14ac:dyDescent="0.2">
      <c r="B11" s="12">
        <v>2</v>
      </c>
      <c r="C11" s="13" t="s">
        <v>22</v>
      </c>
      <c r="D11" s="238"/>
      <c r="E11" s="239"/>
      <c r="F11" s="239"/>
      <c r="G11" s="240"/>
      <c r="H11" s="238"/>
      <c r="I11" s="239"/>
      <c r="J11" s="239"/>
      <c r="K11" s="240"/>
      <c r="L11" s="238">
        <v>20000</v>
      </c>
      <c r="M11" s="239"/>
      <c r="N11" s="239"/>
      <c r="O11" s="240"/>
      <c r="P11" s="238">
        <v>40000</v>
      </c>
      <c r="Q11" s="239"/>
      <c r="R11" s="239"/>
      <c r="S11" s="240"/>
      <c r="T11" s="238">
        <v>10000</v>
      </c>
      <c r="U11" s="239"/>
      <c r="V11" s="239"/>
      <c r="W11" s="240"/>
      <c r="X11" s="238">
        <v>10000</v>
      </c>
      <c r="Y11" s="239"/>
      <c r="Z11" s="239"/>
      <c r="AA11" s="240"/>
    </row>
    <row r="12" spans="2:27" ht="15.75" x14ac:dyDescent="0.2">
      <c r="B12" s="6" t="s">
        <v>12</v>
      </c>
      <c r="C12" s="5" t="s">
        <v>26</v>
      </c>
      <c r="D12" s="238"/>
      <c r="E12" s="239"/>
      <c r="F12" s="239"/>
      <c r="G12" s="240"/>
      <c r="H12" s="241">
        <v>10000</v>
      </c>
      <c r="I12" s="239"/>
      <c r="J12" s="239"/>
      <c r="K12" s="240"/>
      <c r="L12" s="238">
        <v>25000</v>
      </c>
      <c r="M12" s="239"/>
      <c r="N12" s="239"/>
      <c r="O12" s="240"/>
      <c r="P12" s="238">
        <v>25000</v>
      </c>
      <c r="Q12" s="239"/>
      <c r="R12" s="239"/>
      <c r="S12" s="240"/>
      <c r="T12" s="238">
        <v>25000</v>
      </c>
      <c r="U12" s="239"/>
      <c r="V12" s="239"/>
      <c r="W12" s="240"/>
      <c r="X12" s="238">
        <v>5000</v>
      </c>
      <c r="Y12" s="239"/>
      <c r="Z12" s="239"/>
      <c r="AA12" s="240"/>
    </row>
    <row r="13" spans="2:27" s="8" customFormat="1" ht="16.5" thickBot="1" x14ac:dyDescent="0.25">
      <c r="B13" s="6" t="s">
        <v>13</v>
      </c>
      <c r="C13" s="5" t="s">
        <v>27</v>
      </c>
      <c r="D13" s="238"/>
      <c r="E13" s="239"/>
      <c r="F13" s="239"/>
      <c r="G13" s="240"/>
      <c r="H13" s="238"/>
      <c r="I13" s="239"/>
      <c r="J13" s="239"/>
      <c r="K13" s="240"/>
      <c r="L13" s="238">
        <v>15000</v>
      </c>
      <c r="M13" s="239"/>
      <c r="N13" s="239"/>
      <c r="O13" s="240"/>
      <c r="P13" s="238">
        <v>15000</v>
      </c>
      <c r="Q13" s="239"/>
      <c r="R13" s="239"/>
      <c r="S13" s="240"/>
      <c r="T13" s="238">
        <v>20000</v>
      </c>
      <c r="U13" s="239"/>
      <c r="V13" s="239"/>
      <c r="W13" s="240"/>
      <c r="X13" s="238">
        <v>10000</v>
      </c>
      <c r="Y13" s="239"/>
      <c r="Z13" s="239"/>
      <c r="AA13" s="240"/>
    </row>
    <row r="14" spans="2:27" s="7" customFormat="1" ht="15.75" x14ac:dyDescent="0.2">
      <c r="B14" s="12">
        <v>4</v>
      </c>
      <c r="C14" s="13" t="s">
        <v>23</v>
      </c>
      <c r="D14" s="238"/>
      <c r="E14" s="239"/>
      <c r="F14" s="239"/>
      <c r="G14" s="240"/>
      <c r="H14" s="238"/>
      <c r="I14" s="239"/>
      <c r="J14" s="239"/>
      <c r="K14" s="240"/>
      <c r="L14" s="238"/>
      <c r="M14" s="239"/>
      <c r="N14" s="239"/>
      <c r="O14" s="240"/>
      <c r="P14" s="238"/>
      <c r="Q14" s="239"/>
      <c r="R14" s="239"/>
      <c r="S14" s="240"/>
      <c r="T14" s="238"/>
      <c r="U14" s="239"/>
      <c r="V14" s="239"/>
      <c r="W14" s="240"/>
      <c r="X14" s="238">
        <v>7000</v>
      </c>
      <c r="Y14" s="239"/>
      <c r="Z14" s="239"/>
      <c r="AA14" s="240"/>
    </row>
    <row r="15" spans="2:27" s="7" customFormat="1" ht="15.75" x14ac:dyDescent="0.2">
      <c r="B15" s="6" t="s">
        <v>14</v>
      </c>
      <c r="C15" s="5" t="s">
        <v>19</v>
      </c>
      <c r="D15" s="238"/>
      <c r="E15" s="239"/>
      <c r="F15" s="239"/>
      <c r="G15" s="240"/>
      <c r="H15" s="238"/>
      <c r="I15" s="239"/>
      <c r="J15" s="239"/>
      <c r="K15" s="240"/>
      <c r="L15" s="238"/>
      <c r="M15" s="239"/>
      <c r="N15" s="239"/>
      <c r="O15" s="240"/>
      <c r="P15" s="238"/>
      <c r="Q15" s="239"/>
      <c r="R15" s="239"/>
      <c r="S15" s="240"/>
      <c r="T15" s="238">
        <v>4000</v>
      </c>
      <c r="U15" s="239"/>
      <c r="V15" s="239"/>
      <c r="W15" s="240"/>
      <c r="X15" s="238">
        <v>4000</v>
      </c>
      <c r="Y15" s="239"/>
      <c r="Z15" s="239"/>
      <c r="AA15" s="240"/>
    </row>
    <row r="16" spans="2:27" ht="15.75" x14ac:dyDescent="0.2">
      <c r="B16" s="6" t="s">
        <v>15</v>
      </c>
      <c r="C16" s="5" t="s">
        <v>20</v>
      </c>
      <c r="D16" s="238"/>
      <c r="E16" s="239"/>
      <c r="F16" s="239"/>
      <c r="G16" s="240"/>
      <c r="H16" s="238"/>
      <c r="I16" s="239"/>
      <c r="J16" s="239"/>
      <c r="K16" s="240"/>
      <c r="L16" s="238"/>
      <c r="M16" s="239"/>
      <c r="N16" s="239"/>
      <c r="O16" s="240"/>
      <c r="P16" s="238"/>
      <c r="Q16" s="239"/>
      <c r="R16" s="239"/>
      <c r="S16" s="240"/>
      <c r="T16" s="238">
        <v>2500</v>
      </c>
      <c r="U16" s="239"/>
      <c r="V16" s="239"/>
      <c r="W16" s="240"/>
      <c r="X16" s="238">
        <v>2500</v>
      </c>
      <c r="Y16" s="239"/>
      <c r="Z16" s="239"/>
      <c r="AA16" s="240"/>
    </row>
    <row r="17" spans="2:27" s="8" customFormat="1" ht="15.75" x14ac:dyDescent="0.2">
      <c r="B17" s="6" t="s">
        <v>16</v>
      </c>
      <c r="C17" s="5" t="s">
        <v>21</v>
      </c>
      <c r="D17" s="238"/>
      <c r="E17" s="239"/>
      <c r="F17" s="239"/>
      <c r="G17" s="240"/>
      <c r="H17" s="238"/>
      <c r="I17" s="239"/>
      <c r="J17" s="239"/>
      <c r="K17" s="240"/>
      <c r="L17" s="238"/>
      <c r="M17" s="239"/>
      <c r="N17" s="239"/>
      <c r="O17" s="240"/>
      <c r="P17" s="238"/>
      <c r="Q17" s="239"/>
      <c r="R17" s="239"/>
      <c r="S17" s="240"/>
      <c r="T17" s="238"/>
      <c r="U17" s="239"/>
      <c r="V17" s="239"/>
      <c r="W17" s="240"/>
      <c r="X17" s="238">
        <v>0</v>
      </c>
      <c r="Y17" s="239"/>
      <c r="Z17" s="239"/>
      <c r="AA17" s="240"/>
    </row>
    <row r="18" spans="2:27" s="7" customFormat="1" ht="15.75" x14ac:dyDescent="0.2">
      <c r="B18" s="6" t="s">
        <v>24</v>
      </c>
      <c r="C18" s="5" t="s">
        <v>25</v>
      </c>
      <c r="D18" s="238"/>
      <c r="E18" s="239"/>
      <c r="F18" s="239"/>
      <c r="G18" s="240"/>
      <c r="H18" s="238">
        <f>20000*35%</f>
        <v>7000</v>
      </c>
      <c r="I18" s="239"/>
      <c r="J18" s="239"/>
      <c r="K18" s="240"/>
      <c r="L18" s="238">
        <f>13000/4</f>
        <v>3250</v>
      </c>
      <c r="M18" s="239"/>
      <c r="N18" s="239"/>
      <c r="O18" s="240"/>
      <c r="P18" s="238">
        <f>13000/4</f>
        <v>3250</v>
      </c>
      <c r="Q18" s="239"/>
      <c r="R18" s="239"/>
      <c r="S18" s="240"/>
      <c r="T18" s="238">
        <f>13000/4</f>
        <v>3250</v>
      </c>
      <c r="U18" s="239"/>
      <c r="V18" s="239"/>
      <c r="W18" s="240"/>
      <c r="X18" s="238">
        <f>13000/4</f>
        <v>3250</v>
      </c>
      <c r="Y18" s="239"/>
      <c r="Z18" s="239"/>
      <c r="AA18" s="240"/>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Gráfico de Gantt</vt:lpstr>
      <vt:lpstr>Gestão de Custo</vt:lpstr>
      <vt:lpstr>Orcado</vt:lpstr>
      <vt:lpstr>Realizado</vt:lpstr>
      <vt:lpstr>Gráfico -Status</vt:lpstr>
      <vt:lpstr>Param</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24026518</cp:lastModifiedBy>
  <cp:lastPrinted>2023-11-01T00:41:33Z</cp:lastPrinted>
  <dcterms:created xsi:type="dcterms:W3CDTF">2009-09-10T00:53:44Z</dcterms:created>
  <dcterms:modified xsi:type="dcterms:W3CDTF">2025-10-07T01:21:17Z</dcterms:modified>
</cp:coreProperties>
</file>