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jdecontrols/jdecontrol1.xml" ContentType="application/vnd.wps-officedocument.jdeControl+xml"/>
  <Override PartName="/xl/jdecontrols/jdecontrol2.xml" ContentType="application/vnd.wps-officedocument.jdeControl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webExtensions/webExtension1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1600" windowHeight="9105"/>
  </bookViews>
  <sheets>
    <sheet name="短期资金需求量预测" sheetId="1" r:id="rId1"/>
    <sheet name="计算短期借款的实际利率 " sheetId="2" r:id="rId2"/>
  </sheets>
  <externalReferences>
    <externalReference r:id="rId5"/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<sst xmlns="http://schemas.openxmlformats.org/spreadsheetml/2006/main" count="51" uniqueCount="36">
  <si>
    <t>短期资金需求量预测</t>
  </si>
  <si>
    <t>西部钛业股份有限公司短期资金需求量预测表</t>
  </si>
  <si>
    <t>资产</t>
  </si>
  <si>
    <t>敏感项目占销售收入比重</t>
  </si>
  <si>
    <t>2023年金额 （万元）</t>
  </si>
  <si>
    <t>2024年预计金额（万元）</t>
  </si>
  <si>
    <t>负债及所有者权益</t>
  </si>
  <si>
    <t>现金</t>
  </si>
  <si>
    <t>应付账款</t>
  </si>
  <si>
    <t>应收账款</t>
  </si>
  <si>
    <t>短期借款</t>
  </si>
  <si>
    <t>--</t>
  </si>
  <si>
    <t>存货</t>
  </si>
  <si>
    <t>长期借款</t>
  </si>
  <si>
    <t>固定资产</t>
  </si>
  <si>
    <t>实收资本</t>
  </si>
  <si>
    <t>留存收益</t>
  </si>
  <si>
    <t>资产合计</t>
  </si>
  <si>
    <t>负债与所有者权益合计</t>
  </si>
  <si>
    <t>2022年预计销售净利率</t>
  </si>
  <si>
    <t>2022年预计留存收益比率</t>
  </si>
  <si>
    <t>2022年预计留存收益增加额（万元）</t>
  </si>
  <si>
    <t>2022年对外筹资额（万元）</t>
  </si>
  <si>
    <t>表2 短期借款实际利率计算表</t>
  </si>
  <si>
    <t>短期借款额（万元）</t>
  </si>
  <si>
    <t>实际年利率（单利计息）</t>
  </si>
  <si>
    <t>表3 票据贴现实际利率计算表</t>
  </si>
  <si>
    <t>票据贴现可筹资额（万元）</t>
  </si>
  <si>
    <t>3个月实际利率</t>
  </si>
  <si>
    <t>实际年利率(复利计息）</t>
  </si>
  <si>
    <t>是否满足资金需求</t>
  </si>
  <si>
    <t>是</t>
  </si>
  <si>
    <t>年贴现率8%</t>
  </si>
  <si>
    <t>表4 分析计算表</t>
  </si>
  <si>
    <t>放弃现金折扣的机会成本</t>
  </si>
  <si>
    <t>是否应该享受现金折扣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</si>
</sst>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7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sz val="10"/>
      <color theme="1"/>
      <name val="微软雅黑"/>
      <charset val="204"/>
    </font>
    <font>
      <i/>
      <sz val="10"/>
      <color theme="1"/>
      <name val="微软雅黑"/>
      <charset val="134"/>
    </font>
    <font>
      <b/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theme="4"/>
      </left>
      <right style="thin">
        <color theme="4" tint="0.399975585192419"/>
      </right>
      <top style="thin">
        <color theme="4"/>
      </top>
      <bottom/>
      <diagonal/>
    </border>
    <border>
      <left style="thin">
        <color theme="4" tint="0.399975585192419"/>
      </left>
      <right/>
      <top/>
      <bottom style="thin">
        <color theme="4" tint="0.399975585192419"/>
      </bottom>
      <diagonal/>
    </border>
    <border>
      <left/>
      <right style="thin">
        <color theme="4" tint="0.399975585192419"/>
      </right>
      <top/>
      <bottom style="thin">
        <color theme="4" tint="0.399975585192419"/>
      </bottom>
      <diagonal/>
    </border>
    <border>
      <left/>
      <right style="thin">
        <color theme="4"/>
      </right>
      <top/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auto="1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auto="1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auto="1"/>
      </bottom>
      <diagonal/>
    </border>
    <border>
      <left style="thin">
        <color theme="4"/>
      </left>
      <right style="thin">
        <color theme="4" tint="0.399975585192419"/>
      </right>
      <top style="thin">
        <color theme="4"/>
      </top>
      <bottom style="medium">
        <color theme="4"/>
      </bottom>
      <diagonal/>
    </border>
    <border>
      <left style="thin">
        <color theme="4" tint="0.399975585192419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 tint="0.399975585192419"/>
      </right>
      <top style="medium">
        <color theme="4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medium">
        <color theme="4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/>
      </right>
      <top style="medium">
        <color theme="4"/>
      </top>
      <bottom style="thin">
        <color theme="4" tint="0.399975585192419"/>
      </bottom>
      <diagonal/>
    </border>
    <border>
      <left style="thin">
        <color theme="4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 style="thin">
        <color theme="4" tint="0.399975585192419"/>
      </right>
      <top style="thin">
        <color theme="4" tint="0.399975585192419"/>
      </top>
      <bottom style="thin">
        <color theme="4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/>
      </bottom>
      <diagonal/>
    </border>
    <border>
      <left style="thin">
        <color theme="4" tint="0.399975585192419"/>
      </left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theme="4"/>
      </left>
      <right/>
      <top style="medium">
        <color theme="4"/>
      </top>
      <bottom style="thin">
        <color theme="4" tint="0.399975585192419"/>
      </bottom>
      <diagonal/>
    </border>
    <border>
      <left/>
      <right/>
      <top style="medium">
        <color theme="4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/>
      </top>
      <bottom style="medium">
        <color theme="4"/>
      </bottom>
      <diagonal/>
    </border>
    <border>
      <left/>
      <right style="thin">
        <color theme="4" tint="0.399975585192419"/>
      </right>
      <top style="medium">
        <color theme="4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2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26" applyNumberFormat="0" applyAlignment="0" applyProtection="0">
      <alignment vertical="center"/>
    </xf>
    <xf numFmtId="0" fontId="17" fillId="8" borderId="27" applyNumberFormat="0" applyAlignment="0" applyProtection="0">
      <alignment vertical="center"/>
    </xf>
    <xf numFmtId="0" fontId="18" fillId="8" borderId="26" applyNumberFormat="0" applyAlignment="0" applyProtection="0">
      <alignment vertical="center"/>
    </xf>
    <xf numFmtId="0" fontId="19" fillId="9" borderId="28" applyNumberFormat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0" fontId="3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10" fontId="3" fillId="2" borderId="14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10" fontId="3" fillId="2" borderId="11" xfId="0" applyNumberFormat="1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7" fontId="5" fillId="2" borderId="14" xfId="0" applyNumberFormat="1" applyFont="1" applyFill="1" applyBorder="1" applyAlignment="1">
      <alignment horizontal="center" vertical="center" wrapText="1"/>
    </xf>
    <xf numFmtId="7" fontId="3" fillId="2" borderId="14" xfId="0" applyNumberFormat="1" applyFont="1" applyFill="1" applyBorder="1" applyAlignment="1">
      <alignment horizontal="center" vertical="center" wrapText="1"/>
    </xf>
    <xf numFmtId="7" fontId="5" fillId="0" borderId="14" xfId="0" applyNumberFormat="1" applyFont="1" applyFill="1" applyBorder="1" applyAlignment="1">
      <alignment horizontal="center" vertical="center" wrapText="1"/>
    </xf>
    <xf numFmtId="7" fontId="3" fillId="0" borderId="14" xfId="0" applyNumberFormat="1" applyFont="1" applyFill="1" applyBorder="1" applyAlignment="1">
      <alignment horizontal="center" vertical="center" wrapText="1"/>
    </xf>
    <xf numFmtId="10" fontId="6" fillId="0" borderId="14" xfId="0" applyNumberFormat="1" applyFont="1" applyFill="1" applyBorder="1" applyAlignment="1">
      <alignment horizontal="center" vertical="center" wrapText="1"/>
    </xf>
    <xf numFmtId="7" fontId="5" fillId="0" borderId="17" xfId="0" applyNumberFormat="1" applyFont="1" applyFill="1" applyBorder="1" applyAlignment="1">
      <alignment horizontal="center" vertical="center" wrapText="1"/>
    </xf>
    <xf numFmtId="10" fontId="3" fillId="0" borderId="17" xfId="0" applyNumberFormat="1" applyFont="1" applyFill="1" applyBorder="1" applyAlignment="1">
      <alignment horizontal="center" vertical="center" wrapText="1"/>
    </xf>
    <xf numFmtId="7" fontId="3" fillId="0" borderId="17" xfId="0" applyNumberFormat="1" applyFont="1" applyFill="1" applyBorder="1" applyAlignment="1">
      <alignment horizontal="center" vertical="center" wrapText="1"/>
    </xf>
    <xf numFmtId="10" fontId="2" fillId="0" borderId="8" xfId="0" applyNumberFormat="1" applyFont="1" applyFill="1" applyBorder="1" applyAlignment="1">
      <alignment horizontal="center" vertical="center" wrapText="1"/>
    </xf>
    <xf numFmtId="7" fontId="2" fillId="0" borderId="21" xfId="0" applyNumberFormat="1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10" fontId="3" fillId="2" borderId="10" xfId="0" applyNumberFormat="1" applyFont="1" applyFill="1" applyBorder="1" applyAlignment="1">
      <alignment horizontal="center" vertical="center" wrapText="1"/>
    </xf>
    <xf numFmtId="7" fontId="3" fillId="2" borderId="11" xfId="0" applyNumberFormat="1" applyFont="1" applyFill="1" applyBorder="1" applyAlignment="1">
      <alignment horizontal="center" vertical="center" wrapText="1"/>
    </xf>
    <xf numFmtId="10" fontId="3" fillId="0" borderId="13" xfId="0" applyNumberFormat="1" applyFont="1" applyFill="1" applyBorder="1" applyAlignment="1">
      <alignment horizontal="center" vertical="center" wrapText="1"/>
    </xf>
    <xf numFmtId="10" fontId="3" fillId="2" borderId="16" xfId="0" applyNumberFormat="1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7" fontId="3" fillId="2" borderId="17" xfId="0" applyNumberFormat="1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10" fontId="6" fillId="2" borderId="14" xfId="0" applyNumberFormat="1" applyFont="1" applyFill="1" applyBorder="1" applyAlignment="1">
      <alignment horizontal="center" vertical="center" wrapText="1"/>
    </xf>
    <xf numFmtId="176" fontId="2" fillId="0" borderId="21" xfId="0" applyNumberFormat="1" applyFont="1" applyFill="1" applyBorder="1" applyAlignment="1">
      <alignment horizontal="center" vertical="center" wrapText="1"/>
    </xf>
    <xf numFmtId="176" fontId="3" fillId="2" borderId="11" xfId="0" applyNumberFormat="1" applyFont="1" applyFill="1" applyBorder="1" applyAlignment="1">
      <alignment horizontal="center" vertical="center" wrapText="1"/>
    </xf>
    <xf numFmtId="176" fontId="3" fillId="0" borderId="14" xfId="0" applyNumberFormat="1" applyFont="1" applyFill="1" applyBorder="1" applyAlignment="1">
      <alignment horizontal="center" vertical="center" wrapText="1"/>
    </xf>
    <xf numFmtId="176" fontId="3" fillId="2" borderId="17" xfId="0" applyNumberFormat="1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ont>
        <color theme="0"/>
      </font>
      <fill>
        <patternFill patternType="solid">
          <bgColor theme="9"/>
        </patternFill>
      </fill>
    </dxf>
    <dxf>
      <font>
        <color theme="0"/>
      </font>
      <fill>
        <patternFill patternType="solid">
          <bgColor theme="7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mruColors>
      <color rgb="00FCFCFC"/>
      <color rgb="00FAFA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5" Type="http://schemas.microsoft.com/office/2011/relationships/chartColorStyle" Target="colors1.xml"/><Relationship Id="rId4" Type="http://schemas.microsoft.com/office/2011/relationships/chartStyle" Target="style1.xml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5" Type="http://schemas.microsoft.com/office/2011/relationships/chartColorStyle" Target="colors2.xml"/><Relationship Id="rId4" Type="http://schemas.microsoft.com/office/2011/relationships/chartStyle" Target="style2.xml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2024年预计金额（万元）(负债)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短期资金需求量预测!$K$23</c:f>
              <c:strCache>
                <c:ptCount val="1"/>
                <c:pt idx="0">
                  <c:v>2024年预计金额（万元）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duotone>
                  <a:schemeClr val="accent1"/>
                  <a:prstClr val="white"/>
                </a:duotone>
              </a:blip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blipFill rotWithShape="1">
                <a:blip xmlns:r="http://schemas.openxmlformats.org/officeDocument/2006/relationships" r:embed="rId3">
                  <a:duotone>
                    <a:schemeClr val="accent1"/>
                    <a:prstClr val="white"/>
                  </a:duotone>
                </a:blip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1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blipFill rotWithShape="1">
                <a:blip xmlns:r="http://schemas.openxmlformats.org/officeDocument/2006/relationships" r:embed="rId3">
                  <a:duotone>
                    <a:schemeClr val="accent2"/>
                    <a:prstClr val="white"/>
                  </a:duotone>
                </a:blip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1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blipFill rotWithShape="1">
                <a:blip xmlns:r="http://schemas.openxmlformats.org/officeDocument/2006/relationships" r:embed="rId3">
                  <a:duotone>
                    <a:schemeClr val="accent3"/>
                    <a:prstClr val="white"/>
                  </a:duotone>
                </a:blip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1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blipFill rotWithShape="1">
                <a:blip xmlns:r="http://schemas.openxmlformats.org/officeDocument/2006/relationships" r:embed="rId3">
                  <a:duotone>
                    <a:schemeClr val="accent4"/>
                    <a:prstClr val="white"/>
                  </a:duotone>
                </a:blip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10000"/>
                  </a:prstClr>
                </a:outerShdw>
              </a:effectLst>
            </c:spPr>
          </c:dPt>
          <c:dPt>
            <c:idx val="4"/>
            <c:invertIfNegative val="0"/>
            <c:bubble3D val="0"/>
            <c:spPr>
              <a:blipFill rotWithShape="1">
                <a:blip xmlns:r="http://schemas.openxmlformats.org/officeDocument/2006/relationships" r:embed="rId3">
                  <a:duotone>
                    <a:schemeClr val="accent5"/>
                    <a:prstClr val="white"/>
                  </a:duotone>
                </a:blip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1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blipFill rotWithShape="1">
                <a:blip xmlns:r="http://schemas.openxmlformats.org/officeDocument/2006/relationships" r:embed="rId3">
                  <a:duotone>
                    <a:schemeClr val="accent6"/>
                    <a:prstClr val="white"/>
                  </a:duotone>
                </a:blip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1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9370" tIns="0" rIns="38100" bIns="0" anchor="ctr" anchorCtr="1" forceAA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bg1"/>
                      </a:solid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  <a:sym typeface="微软雅黑" panose="020B0503020204020204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9370" tIns="0" rIns="38100" bIns="0" anchor="ctr" anchorCtr="1" forceAA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bg1"/>
                      </a:solid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  <a:sym typeface="微软雅黑" panose="020B0503020204020204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9370" tIns="0" rIns="38100" bIns="0" anchor="ctr" anchorCtr="1" forceAA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bg1"/>
                      </a:solid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  <a:sym typeface="微软雅黑" panose="020B0503020204020204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9370" tIns="0" rIns="38100" bIns="0" anchor="ctr" anchorCtr="1" forceAA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bg1"/>
                      </a:solid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  <a:sym typeface="微软雅黑" panose="020B0503020204020204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solidFill>
                  <a:schemeClr val="accent5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9370" tIns="0" rIns="38100" bIns="0" anchor="ctr" anchorCtr="1" forceAA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bg1"/>
                      </a:solid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  <a:sym typeface="微软雅黑" panose="020B0503020204020204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solidFill>
                  <a:schemeClr val="accent6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9370" tIns="0" rIns="38100" bIns="0" anchor="ctr" anchorCtr="1" forceAA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bg1"/>
                      </a:solid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  <a:sym typeface="微软雅黑" panose="020B0503020204020204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9370" tIns="0" rIns="38100" bIns="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短期资金需求量预测!$K$24:$K$29</c:f>
              <c:numCache>
                <c:formatCode>"￥"#,##0.00;"￥"\-#,##0.00</c:formatCode>
                <c:ptCount val="6"/>
                <c:pt idx="0">
                  <c:v>4006779.31752209</c:v>
                </c:pt>
                <c:pt idx="1">
                  <c:v>10709937.1545</c:v>
                </c:pt>
                <c:pt idx="2">
                  <c:v>5473792.3439</c:v>
                </c:pt>
                <c:pt idx="3">
                  <c:v>0</c:v>
                </c:pt>
                <c:pt idx="4">
                  <c:v>4513520.03</c:v>
                </c:pt>
                <c:pt idx="5">
                  <c:v>24704028.8459221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2"/>
        <c:overlap val="-21"/>
        <c:axId val="422660454"/>
        <c:axId val="968800671"/>
      </c:barChart>
      <c:catAx>
        <c:axId val="42266045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68800671"/>
        <c:crosses val="autoZero"/>
        <c:auto val="1"/>
        <c:lblAlgn val="ctr"/>
        <c:lblOffset val="100"/>
        <c:noMultiLvlLbl val="0"/>
      </c:catAx>
      <c:valAx>
        <c:axId val="968800671"/>
        <c:scaling>
          <c:orientation val="minMax"/>
        </c:scaling>
        <c:delete val="1"/>
        <c:axPos val="l"/>
        <c:numFmt formatCode="&quot;￥&quot;#,##0.00;&quot;￥&quot;\-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226604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1c30473-14df-4660-b67f-590f0fd694db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2024年预计金额（万元）(资产)</a:t>
            </a:r>
          </a:p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短期资金需求量预测!$G$23</c:f>
              <c:strCache>
                <c:ptCount val="1"/>
                <c:pt idx="0">
                  <c:v>2024年预计金额（万元）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duotone>
                  <a:schemeClr val="accent1"/>
                  <a:prstClr val="white"/>
                </a:duotone>
              </a:blip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1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blipFill rotWithShape="1">
                <a:blip xmlns:r="http://schemas.openxmlformats.org/officeDocument/2006/relationships" r:embed="rId3">
                  <a:duotone>
                    <a:schemeClr val="accent1"/>
                    <a:prstClr val="white"/>
                  </a:duotone>
                </a:blip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1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blipFill rotWithShape="1">
                <a:blip xmlns:r="http://schemas.openxmlformats.org/officeDocument/2006/relationships" r:embed="rId3">
                  <a:duotone>
                    <a:schemeClr val="accent2"/>
                    <a:prstClr val="white"/>
                  </a:duotone>
                </a:blip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1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blipFill rotWithShape="1">
                <a:blip xmlns:r="http://schemas.openxmlformats.org/officeDocument/2006/relationships" r:embed="rId3">
                  <a:duotone>
                    <a:schemeClr val="accent3"/>
                    <a:prstClr val="white"/>
                  </a:duotone>
                </a:blip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1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blipFill rotWithShape="1">
                <a:blip xmlns:r="http://schemas.openxmlformats.org/officeDocument/2006/relationships" r:embed="rId3">
                  <a:duotone>
                    <a:schemeClr val="accent4"/>
                    <a:prstClr val="white"/>
                  </a:duotone>
                </a:blip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10000"/>
                  </a:prstClr>
                </a:outerShdw>
              </a:effectLst>
            </c:spPr>
          </c:dPt>
          <c:dPt>
            <c:idx val="4"/>
            <c:invertIfNegative val="0"/>
            <c:bubble3D val="0"/>
            <c:spPr>
              <a:blipFill rotWithShape="1">
                <a:blip xmlns:r="http://schemas.openxmlformats.org/officeDocument/2006/relationships" r:embed="rId3">
                  <a:duotone>
                    <a:schemeClr val="accent5"/>
                    <a:prstClr val="white"/>
                  </a:duotone>
                </a:blip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1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blipFill rotWithShape="1">
                <a:blip xmlns:r="http://schemas.openxmlformats.org/officeDocument/2006/relationships" r:embed="rId3">
                  <a:duotone>
                    <a:schemeClr val="accent6"/>
                    <a:prstClr val="white"/>
                  </a:duotone>
                </a:blip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1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9370" tIns="0" rIns="38100" bIns="0" anchor="ctr" anchorCtr="1" forceAA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bg1"/>
                      </a:solid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  <a:sym typeface="微软雅黑" panose="020B0503020204020204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9370" tIns="0" rIns="38100" bIns="0" anchor="ctr" anchorCtr="1" forceAA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bg1"/>
                      </a:solid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  <a:sym typeface="微软雅黑" panose="020B0503020204020204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9370" tIns="0" rIns="38100" bIns="0" anchor="ctr" anchorCtr="1" forceAA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bg1"/>
                      </a:solid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  <a:sym typeface="微软雅黑" panose="020B0503020204020204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9370" tIns="0" rIns="38100" bIns="0" anchor="ctr" anchorCtr="1" forceAA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bg1"/>
                      </a:solid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  <a:sym typeface="微软雅黑" panose="020B0503020204020204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solidFill>
                  <a:schemeClr val="accent5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9370" tIns="0" rIns="38100" bIns="0" anchor="ctr" anchorCtr="1" forceAA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bg1"/>
                      </a:solid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  <a:sym typeface="微软雅黑" panose="020B0503020204020204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solidFill>
                  <a:schemeClr val="accent6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9370" tIns="0" rIns="38100" bIns="0" anchor="ctr" anchorCtr="1" forceAA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bg1"/>
                      </a:solid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  <a:sym typeface="微软雅黑" panose="020B0503020204020204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9370" tIns="0" rIns="38100" bIns="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短期资金需求量预测!$G$24:$G$29</c:f>
              <c:numCache>
                <c:formatCode>"￥"#,##0.00;"￥"\-#,##0.00</c:formatCode>
                <c:ptCount val="6"/>
                <c:pt idx="0">
                  <c:v>22000022.1340296</c:v>
                </c:pt>
                <c:pt idx="1">
                  <c:v>12392979.0759851</c:v>
                </c:pt>
                <c:pt idx="2">
                  <c:v>16825633.9631286</c:v>
                </c:pt>
                <c:pt idx="3">
                  <c:v>16380431.0945</c:v>
                </c:pt>
                <c:pt idx="5">
                  <c:v>67599066.2676433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2"/>
        <c:overlap val="-21"/>
        <c:axId val="75691020"/>
        <c:axId val="431267226"/>
      </c:barChart>
      <c:catAx>
        <c:axId val="7569102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31267226"/>
        <c:crosses val="autoZero"/>
        <c:auto val="1"/>
        <c:lblAlgn val="ctr"/>
        <c:lblOffset val="100"/>
        <c:noMultiLvlLbl val="0"/>
      </c:catAx>
      <c:valAx>
        <c:axId val="431267226"/>
        <c:scaling>
          <c:orientation val="minMax"/>
        </c:scaling>
        <c:delete val="1"/>
        <c:axPos val="l"/>
        <c:numFmt formatCode="&quot;￥&quot;#,##0.00;&quot;￥&quot;\-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5691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f587f4f-c41c-4af6-8e06-e6c001b96402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敏感项目占销售收入比重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短期资金需求量预测!$Q$22</c:f>
              <c:strCache>
                <c:ptCount val="1"/>
                <c:pt idx="0">
                  <c:v>敏感项目占销售收入比重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短期资金需求量预测!$P$23:$P$28</c:f>
              <c:strCache>
                <c:ptCount val="6"/>
                <c:pt idx="0">
                  <c:v>现金</c:v>
                </c:pt>
                <c:pt idx="1">
                  <c:v>应收账款</c:v>
                </c:pt>
                <c:pt idx="2">
                  <c:v>存货</c:v>
                </c:pt>
                <c:pt idx="3">
                  <c:v>固定资产</c:v>
                </c:pt>
                <c:pt idx="5">
                  <c:v>资产合计</c:v>
                </c:pt>
              </c:strCache>
            </c:strRef>
          </c:cat>
          <c:val>
            <c:numRef>
              <c:f>短期资金需求量预测!$Q$23:$Q$28</c:f>
              <c:numCache>
                <c:formatCode>0.00%</c:formatCode>
                <c:ptCount val="6"/>
                <c:pt idx="0">
                  <c:v>0.6199</c:v>
                </c:pt>
                <c:pt idx="1">
                  <c:v>0.3492</c:v>
                </c:pt>
                <c:pt idx="2">
                  <c:v>0.4741</c:v>
                </c:pt>
                <c:pt idx="5">
                  <c:v>1.4432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727055243"/>
        <c:axId val="522762504"/>
      </c:barChart>
      <c:catAx>
        <c:axId val="7270552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22762504"/>
        <c:crosses val="autoZero"/>
        <c:auto val="1"/>
        <c:lblAlgn val="ctr"/>
        <c:lblOffset val="100"/>
        <c:noMultiLvlLbl val="0"/>
      </c:catAx>
      <c:valAx>
        <c:axId val="52276250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270552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7103d7b-0fbf-493d-b003-203ec402b2d2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www.wps.cn/officeDocument/2020/jdeControlExtension" Target="../jdecontrols/jdecontrol2.xml"/><Relationship Id="rId8" Type="http://schemas.openxmlformats.org/officeDocument/2006/relationships/image" Target="../media/image5.png"/><Relationship Id="rId7" Type="http://www.wps.cn/officeDocument/2020/jdeControlExtension" Target="../jdecontrols/jdecontrol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www.wps.cn/officeDocument/2018/webExtension" Target="../webExtensions/webExtension1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362585</xdr:colOff>
      <xdr:row>0</xdr:row>
      <xdr:rowOff>100330</xdr:rowOff>
    </xdr:from>
    <xdr:to>
      <xdr:col>16</xdr:col>
      <xdr:colOff>1918970</xdr:colOff>
      <xdr:row>20</xdr:row>
      <xdr:rowOff>15240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725525" y="100330"/>
          <a:ext cx="5977255" cy="3343910"/>
        </a:xfrm>
        <a:prstGeom prst="rect">
          <a:avLst/>
        </a:prstGeom>
        <a:ln>
          <a:solidFill>
            <a:srgbClr val="FFFFFF"/>
          </a:solidFill>
        </a:ln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151765</xdr:colOff>
      <xdr:row>0</xdr:row>
      <xdr:rowOff>80645</xdr:rowOff>
    </xdr:from>
    <xdr:to>
      <xdr:col>7</xdr:col>
      <xdr:colOff>584835</xdr:colOff>
      <xdr:row>20</xdr:row>
      <xdr:rowOff>7620</xdr:rowOff>
    </xdr:to>
    <xdr:graphicFrame>
      <xdr:nvGraphicFramePr>
        <xdr:cNvPr id="8" name="图表 7" descr="7b0a202020202263686172745265734964223a20223230343736383432220a7d0a"/>
        <xdr:cNvGraphicFramePr/>
      </xdr:nvGraphicFramePr>
      <xdr:xfrm>
        <a:off x="5168265" y="80645"/>
        <a:ext cx="4213225" cy="3355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699770</xdr:colOff>
      <xdr:row>0</xdr:row>
      <xdr:rowOff>95250</xdr:rowOff>
    </xdr:from>
    <xdr:to>
      <xdr:col>10</xdr:col>
      <xdr:colOff>271145</xdr:colOff>
      <xdr:row>20</xdr:row>
      <xdr:rowOff>10160</xdr:rowOff>
    </xdr:to>
    <xdr:graphicFrame>
      <xdr:nvGraphicFramePr>
        <xdr:cNvPr id="9" name="图表 8" descr="7b0a202020202263686172745265734964223a20223230343736383432220a7d0a"/>
        <xdr:cNvGraphicFramePr/>
      </xdr:nvGraphicFramePr>
      <xdr:xfrm>
        <a:off x="9496425" y="95250"/>
        <a:ext cx="4137660" cy="3343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250825</xdr:colOff>
      <xdr:row>0</xdr:row>
      <xdr:rowOff>73025</xdr:rowOff>
    </xdr:from>
    <xdr:to>
      <xdr:col>5</xdr:col>
      <xdr:colOff>146685</xdr:colOff>
      <xdr:row>19</xdr:row>
      <xdr:rowOff>109220</xdr:rowOff>
    </xdr:to>
    <xdr:graphicFrame>
      <xdr:nvGraphicFramePr>
        <xdr:cNvPr id="2" name="图表 1" descr="7b0a202020202263686172745265734964223a202234353536333835220a7d0a"/>
        <xdr:cNvGraphicFramePr/>
      </xdr:nvGraphicFramePr>
      <xdr:xfrm>
        <a:off x="250825" y="73025"/>
        <a:ext cx="4912360" cy="3293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344170</xdr:colOff>
      <xdr:row>1048575</xdr:row>
      <xdr:rowOff>-1</xdr:rowOff>
    </xdr:from>
    <xdr:to>
      <xdr:col>2</xdr:col>
      <xdr:colOff>588010</xdr:colOff>
      <xdr:row>1048575</xdr:row>
      <xdr:rowOff>-1</xdr:rowOff>
    </xdr:to>
    <xdr:pic>
      <xdr:nvPicPr>
        <xdr:cNvPr id="4" name="ScrollBar1"/>
        <xdr:cNvPicPr/>
      </xdr:nvPicPr>
      <xdr:blipFill>
        <a:blip r:embed="rId6"/>
        <a:stretch>
          <a:fillRect/>
        </a:stretch>
      </xdr:blipFill>
      <xdr:spPr>
        <a:xfrm>
          <a:off x="2086610" y="179781091415"/>
          <a:ext cx="243840" cy="0"/>
        </a:xfrm>
        <a:prstGeom prst="rect">
          <a:avLst/>
        </a:prstGeom>
        <a:extLst>
          <wpsjdecontrol:jdecontrolRef xmlns:wpsjdecontrol="http://www.wps.cn/officeDocument/2020/jdeControlExtension" xmlns:r="http://schemas.openxmlformats.org/officeDocument/2006/relationships" r:id="rId7"/>
        </a:extLst>
      </xdr:spPr>
    </xdr:pic>
    <xdr:clientData/>
  </xdr:twoCellAnchor>
  <xdr:twoCellAnchor editAs="oneCell">
    <xdr:from>
      <xdr:col>2</xdr:col>
      <xdr:colOff>239395</xdr:colOff>
      <xdr:row>19</xdr:row>
      <xdr:rowOff>165735</xdr:rowOff>
    </xdr:from>
    <xdr:to>
      <xdr:col>2</xdr:col>
      <xdr:colOff>594995</xdr:colOff>
      <xdr:row>36</xdr:row>
      <xdr:rowOff>59055</xdr:rowOff>
    </xdr:to>
    <xdr:pic>
      <xdr:nvPicPr>
        <xdr:cNvPr id="7" name="ScrollBar2"/>
        <xdr:cNvPicPr/>
      </xdr:nvPicPr>
      <xdr:blipFill>
        <a:blip r:embed="rId8"/>
        <a:stretch>
          <a:fillRect/>
        </a:stretch>
      </xdr:blipFill>
      <xdr:spPr>
        <a:xfrm>
          <a:off x="1981835" y="3423285"/>
          <a:ext cx="355600" cy="4922520"/>
        </a:xfrm>
        <a:prstGeom prst="rect">
          <a:avLst/>
        </a:prstGeom>
        <a:extLst>
          <wpsjdecontrol:jdecontrolRef xmlns:wpsjdecontrol="http://www.wps.cn/officeDocument/2020/jdeControlExtension" xmlns:r="http://schemas.openxmlformats.org/officeDocument/2006/relationships" r:id="rId9"/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ss.Ma\Documents\WeChat%20Files\wxid_4ornhlsahj0a22\FileStorage\File\2025-04\&#36130;&#21153;&#39044;&#31639;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6068\Documents\WeChat%20Files\wxid_9urfevi3bc1c22\FileStorage\File\2025-04\&#35199;&#37096;&#26448;&#26009;&#65306;&#36164;&#20135;&#36127;&#20538;&#34920;&#36164;&#20135;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ss.Ma\Documents\WeChat%20Files\wxid_4ornhlsahj0a22\FileStorage\File\2025-04\&#35199;&#37096;&#26448;&#26009;&#65306;&#36164;&#20135;&#36127;&#20538;&#34920;&#65288;&#36127;&#20538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年度预算总表"/>
      <sheetName val="经营性预算表"/>
      <sheetName val="投资性预算表"/>
      <sheetName val="融资预算表"/>
      <sheetName val="敏感性分析表"/>
      <sheetName val="原材料海绵钛历史数据表"/>
      <sheetName val="利润表"/>
      <sheetName val="研发费用预算表"/>
      <sheetName val="预计利润表"/>
      <sheetName val="预计资产负债表"/>
      <sheetName val="预计现金流量表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L5">
            <v>32263300.7289</v>
          </cell>
        </row>
        <row r="34">
          <cell r="L34">
            <v>2799931.0796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10">
          <cell r="C10">
            <v>11266958.8258</v>
          </cell>
        </row>
        <row r="14">
          <cell r="C14">
            <v>15296484.8148</v>
          </cell>
        </row>
        <row r="40">
          <cell r="C40">
            <v>65636158.5162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6">
          <cell r="E6">
            <v>10709937.1545</v>
          </cell>
        </row>
        <row r="10">
          <cell r="E10">
            <v>3642466.9728</v>
          </cell>
        </row>
        <row r="21">
          <cell r="E21">
            <v>5473792.3439</v>
          </cell>
        </row>
        <row r="43">
          <cell r="E43">
            <v>736384.389</v>
          </cell>
        </row>
        <row r="44">
          <cell r="E44">
            <v>3777135.6413</v>
          </cell>
        </row>
        <row r="48">
          <cell r="E48">
            <v>65636158.5162</v>
          </cell>
        </row>
      </sheetData>
    </sheetDataSet>
  </externalBook>
</externalLink>
</file>

<file path=xl/jdecontrols/jdecontrol1.xml><?xml version="1.0" encoding="utf-8"?>
<wpsjdecontrol:jdecontrol xmlns:wpsjdecontrol="http://www.wps.cn/officeDocument/2020/jdeControlExtension">
  <control type="scrollbar">
    <property type="actions">
      <enabled>true</enabled>
    </property>
    <property type="data">
      <control_source>F36</control_source>
    </property>
    <property type="facade">
      <name>ScrollBar1</name>
      <back_color>4294630327</back_color>
      <fore_color>4294499662</fore_color>
      <visible>true</visible>
      <value>0</value>
      <orientation>-1</orientation>
    </property>
    <property type="geometry">
      <left>2056130</left>
      <top>1143000000000</top>
      <width>243840</width>
      <height>4916170</height>
    </property>
    <property type="scroll">
      <min_value>0</min_value>
      <max_value>1000</max_value>
      <small_change>1</small_change>
      <large_change>10</large_change>
    </property>
    <property type="font">
      <font>
        <family>宋体</family>
        <pointsize>10</pointsize>
        <weight>50</weight>
        <italic>false</italic>
        <underline>false</underline>
        <strickout>false</strickout>
      </font>
    </property>
  </control>
</wpsjdecontrol:jdecontrol>
</file>

<file path=xl/jdecontrols/jdecontrol2.xml><?xml version="1.0" encoding="utf-8"?>
<wpsjdecontrol:jdecontrol xmlns:wpsjdecontrol="http://www.wps.cn/officeDocument/2020/jdeControlExtension">
  <control type="scrollbar">
    <property type="actions">
      <enabled>true</enabled>
    </property>
    <property type="data">
      <control_source>F36</control_source>
    </property>
    <property type="facade">
      <name>ScrollBar2</name>
      <back_color>4294947249</back_color>
      <fore_color>4294875932</fore_color>
      <visible>true</visible>
      <value>-24963610</value>
      <orientation>-1</orientation>
    </property>
    <property type="geometry">
      <left>1981835</left>
      <top>3423285</top>
      <width>355600</width>
      <height>4922520</height>
    </property>
    <property type="scroll">
      <min_value>-70000000</min_value>
      <max_value>70000000</max_value>
      <small_change>1</small_change>
      <large_change>10</large_change>
    </property>
    <property type="font">
      <font>
        <family>宋体</family>
        <pointsize>10</pointsize>
        <weight>50</weight>
        <italic>false</italic>
        <underline>false</underline>
        <strickout>false</strickout>
      </font>
    </property>
  </control>
</wpsjdecontrol:jdecontrol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11">
    <a:dk1>
      <a:srgbClr val="000000"/>
    </a:dk1>
    <a:lt1>
      <a:srgbClr val="FFFFFF"/>
    </a:lt1>
    <a:dk2>
      <a:srgbClr val="0E2841"/>
    </a:dk2>
    <a:lt2>
      <a:srgbClr val="E8E8E8"/>
    </a:lt2>
    <a:accent1>
      <a:srgbClr val="0FB0C8"/>
    </a:accent1>
    <a:accent2>
      <a:srgbClr val="FCA768"/>
    </a:accent2>
    <a:accent3>
      <a:srgbClr val="F96F7C"/>
    </a:accent3>
    <a:accent4>
      <a:srgbClr val="8AB1E6"/>
    </a:accent4>
    <a:accent5>
      <a:srgbClr val="FFD13F"/>
    </a:accent5>
    <a:accent6>
      <a:srgbClr val="E18FD7"/>
    </a:accent6>
    <a:hlink>
      <a:srgbClr val="467886"/>
    </a:hlink>
    <a:folHlink>
      <a:srgbClr val="96607D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11">
    <a:dk1>
      <a:srgbClr val="000000"/>
    </a:dk1>
    <a:lt1>
      <a:srgbClr val="FFFFFF"/>
    </a:lt1>
    <a:dk2>
      <a:srgbClr val="0E2841"/>
    </a:dk2>
    <a:lt2>
      <a:srgbClr val="E8E8E8"/>
    </a:lt2>
    <a:accent1>
      <a:srgbClr val="0FB0C8"/>
    </a:accent1>
    <a:accent2>
      <a:srgbClr val="FCA768"/>
    </a:accent2>
    <a:accent3>
      <a:srgbClr val="F96F7C"/>
    </a:accent3>
    <a:accent4>
      <a:srgbClr val="8AB1E6"/>
    </a:accent4>
    <a:accent5>
      <a:srgbClr val="FFD13F"/>
    </a:accent5>
    <a:accent6>
      <a:srgbClr val="E18FD7"/>
    </a:accent6>
    <a:hlink>
      <a:srgbClr val="467886"/>
    </a:hlink>
    <a:folHlink>
      <a:srgbClr val="96607D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D:\YECAISHUI%20Match\exlsx\&#36164;&#37329;&#27744;&#25968;&#25454;(1).xlsx" TargetMode="External"/></Relationships>
</file>

<file path=xl/webExtensions/webExtension1.xml><?xml version="1.0" encoding="utf-8"?>
<wpswe:webExtension xmlns:wpswe="http://www.wps.cn/officeDocument/2018/webExtension" xmlns:webet="https://web.wps.cn/et/2018/main" webet:type="DataSource" type="1">
  <wpswe:extSource id="dschart" version="1.0"/>
  <wpswe:properties>
    <wpswe:property key="DiscardFirstCodeChange" value="0"/>
    <wpswe:property key="autoSnapshot" value="0"/>
    <wpswe:property key="dschart" value="{&quot;dschart_data&quot;:{&quot;blockId&quot;:&quot;159403599993955855&quot;,&quot;chart_type&quot;:&quot;其他&quot;,&quot;classifty_type&quot;:[&quot;比较类&quot;,&quot;占比类&quot;],&quot;dataSrc&quot;:{&quot;data&quot;:[[[&quot;资产&quot;,&quot;敏感项目占销售收入比重&quot;],[&quot;现金&quot;,&quot;61.99%&quot;],[&quot;应收账款&quot;,&quot;34.92%&quot;],[&quot;存货&quot;,&quot;47.41%&quot;],[&quot;固定资产&quot;,&quot;&quot;],[&quot;&quot;,&quot;&quot;],[&quot;资产合计&quot;,&quot;144.32%&quot;]]],&quot;dataType&quot;:&quot;object-table&quot;,&quot;download&quot;:false,&quot;srcType&quot;:&quot;local&quot;,&quot;url&quot;:&quot;&quot;},&quot;function_type&quot;:[&quot;其他&quot;],&quot;gif&quot;:&quot;//web.docer.wpscdn.cn/docer/ds-page/v2/images/4447460703254610031.gif?imageView2/2/w/500/quality/90&quot;,&quot;isFree&quot;:&quot;0&quot;,&quot;label&quot;:&quot;&lt;d-liquid-fill-gauge-chart&gt;&quot;,&quot;projectId&quot;:&quot;4447460703254610031&quot;,&quot;props&quot;:{&quot;animation&quot;:{&quot;duration&quot;:&quot;1.5&quot;,&quot;easeStyle&quot;:&quot;&quot;,&quot;endPause&quot;:&quot;1&quot;,&quot;moveOptions&quot;:[&quot;同时上涨&quot;],&quot;moveStyle&quot;:&quot;同时上涨&quot;,&quot;startDelay&quot;:&quot;0&quot;,&quot;transition&quot;:true},&quot;axis&quot;:&quot;&quot;,&quot;backgroundColor&quot;:&quot;#FFFFFF&quot;,&quot;borderColor&quot;:&quot;#ffffffff&quot;,&quot;colors&quot;:{&quot;colorControlers&quot;:[&quot;single&quot;,&quot;multiple&quot;,&quot;linear&quot;],&quot;list&quot;:[0,1,2,3,4,5],&quot;type&quot;:&quot;multiple&quot;},&quot;display&quot;:{&quot;IconsPerRow&quot;:&quot;3&quot;},&quot;font&quot;:{&quot;color&quot;:&quot;#545454&quot;,&quot;fontFamily&quot;:&quot;阿里巴巴普惠体常规&quot;,&quot;fontSize&quot;:&quot;14&quot;},&quot;label&quot;:{&quot;numberLabel&quot;:{&quot;color&quot;:&quot;#045681&quot;,&quot;fontFamily&quot;:&quot;黑体&quot;,&quot;fontSize&quot;:28,&quot;show&quot;:true},&quot;textLabel&quot;:{&quot;color&quot;:&quot;#545454&quot;,&quot;fontFamily&quot;:&quot;黑体&quot;,&quot;fontSize&quot;:&quot;14&quot;,&quot;show&quot;:true}},&quot;legend&quot;:{&quot;color&quot;:[&quot;#545454&quot;],&quot;fontFamily&quot;:[&quot;阿里巴巴普惠体常规&quot;],&quot;fontSize&quot;:&quot;14&quot;,&quot;lineHeight&quot;:&quot;15&quot;,&quot;show&quot;:fals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true,&quot;name&quot;:&quot;名称&quot;},{&quot;allowType&quot;:[&quot;number&quot;],&quot;configurable&quot;:false,&quot;function&quot;:&quot;vCol&quot;,&quot;index&quot;:1,&quot;isLegend&quot;:false,&quot;name&quot;:&quot;值&quot;}]]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a8a8a7cc&quot;,&quot;shadowOpacity&quot;:&quot;100&quot;,&quot;shadowRadius&quot;:&quot;3&quot;},&quot;size&quot;:{&quot;height&quot;:357.69230769230774,&quot;ratio&quot;:&quot;&quot;,&quot;rotate&quot;:0,&quot;width&quot;:620.5128205128206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阿里巴巴普惠体 常规&quot;,&quot;fontSize&quot;:&quot;32&quot;,&quot;lineHeight&quot;:&quot;10&quot;,&quot;show&quot;:false,&quot;text&quot;:&quot;各国人对世界杯的关注程度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阿里巴巴普惠体常规&quot;,&quot;fontSize&quot;:&quot;14&quot;,&quot;show&quot;:false,&quot;text&quot;:&quot;单位：%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true}},&quot;templateId&quot;:&quot;4447460703254610031&quot;,&quot;templateSwitch&quot;:&quot;key-value&quot;,&quot;theme&quot;:{&quot;_id&quot;:56,&quot;axis&quot;:{&quot;color&quot;:&quot;#a1a1a1&quot;},&quot;backgroundColor&quot;:&quot;#FFFFFF&quot;,&quot;card_color&quot;:&quot;#F9F9F9&quot;,&quot;colors&quot;:[&quot;#7578EC&quot;,&quot;#F7B802&quot;,&quot;#F18703&quot;,&quot;#F35B06&quot;,&quot;#552EEF&quot;,&quot;#FFA100&quot;,&quot;#7578EC&quot;,&quot;#F7B802&quot;,&quot;#F18703&quot;,&quot;#F35B06&quot;,&quot;#552EEF&quot;,&quot;#FFA100&quot;,&quot;#552EEF&quot;,&quot;#FFA100&quot;],&quot;fonts&quot;:{&quot;accessoryColor&quot;:&quot;#878787&quot;,&quot;color&quot;:&quot;#545454&quot;,&quot;fontFamily&quot;:&quot;阿里巴巴普惠体常规&quot;,&quot;fontSize&quot;:&quot;14&quot;},&quot;grid&quot;:{&quot;color&quot;:&quot;#ccc&quot;},&quot;name&quot;:&quot;新奇撞彩&quot;,&quot;price&quot;:3,&quot;shapeColor&quot;:1,&quot;themeId&quot;:56,&quot;thumb&quot;:&quot;https://ss1.dydata.io/v2/themes/56.png&quot;,&quot;titleFont&quot;:{&quot;color&quot;:&quot;#4c4c4c&quot;,&quot;fontFamily&quot;:&quot;阿里巴巴普惠体 常规&quot;,&quot;fontSize&quot;:&quot;36&quot;},&quot;typeColor&quot;:{&quot;name&quot;:[&quot;紫色&quot;],&quot;num&quot;:[&quot;3&quot;]},&quot;typeStyle&quot;:{&quot;name&quot;:[&quot;卡通&quot;],&quot;num&quot;:[&quot;1&quot;]}},&quot;thumb&quot;:&quot;//web.docer.wpscdn.cn/docer/ds-page/v2/images/4MXZMLtWYpg2zEXEuepeT6.273EBF05.jpg?imageView2/2/w/500/quality/90&quot;,&quot;title&quot;:&quot;水波图&quot;,&quot;type&quot;:&quot;chart&quot;},&quot;dschart_id&quot;:&quot;4447460703254610031&quot;,&quot;id&quot;:&quot;12&quot;}"/>
    <wpswe:property key="isUseCommonErrorPage" value="false"/>
    <wpswe:property key="loadingImage" value="res:/icons/WebChartLoading_et.svg"/>
  </wpswe:properties>
  <wpswe:watchingCache>
    <wpswe:linkPath>D:\YECAISHUI Match\exlsx\资金池数据(1).xlsx</wpswe:linkPath>
    <wpswe:dataRange>
      <wpswe:key>data_source</wpswe:key>
      <wpswe:context>短期资金需求量预测!$P$22:$Q$28</wpswe:context>
      <wpswe:count>7</wpswe:count>
      <wpswe:cells wpswe:idx="0">
        <wpswe:count>2</wpswe:count>
        <wpswe:formatCode>General</wpswe:formatCode>
        <wpswe:cell wpswe:idx="0">
          <wpswe:value>资产</wpswe:value>
        </wpswe:cell>
        <wpswe:cell wpswe:idx="1">
          <wpswe:value>敏感项目占销售收入比重</wpswe:value>
        </wpswe:cell>
      </wpswe:cells>
      <wpswe:cells wpswe:idx="1">
        <wpswe:count>2</wpswe:count>
        <wpswe:formatCode>General</wpswe:formatCode>
        <wpswe:cell wpswe:idx="0">
          <wpswe:value>现金</wpswe:value>
        </wpswe:cell>
        <wpswe:cell wpswe:idx="1" wpswe:formatCode="0.00%">
          <wpswe:value>0.6199</wpswe:value>
        </wpswe:cell>
      </wpswe:cells>
      <wpswe:cells wpswe:idx="2">
        <wpswe:count>2</wpswe:count>
        <wpswe:formatCode>General</wpswe:formatCode>
        <wpswe:cell wpswe:idx="0">
          <wpswe:value>应收账款</wpswe:value>
        </wpswe:cell>
        <wpswe:cell wpswe:idx="1" wpswe:formatCode="0.00%">
          <wpswe:value>0.3492</wpswe:value>
        </wpswe:cell>
      </wpswe:cells>
      <wpswe:cells wpswe:idx="3">
        <wpswe:count>2</wpswe:count>
        <wpswe:formatCode>General</wpswe:formatCode>
        <wpswe:cell wpswe:idx="0">
          <wpswe:value>存货</wpswe:value>
        </wpswe:cell>
        <wpswe:cell wpswe:idx="1" wpswe:formatCode="0.00%">
          <wpswe:value>0.4741</wpswe:value>
        </wpswe:cell>
      </wpswe:cells>
      <wpswe:cells wpswe:idx="4">
        <wpswe:count>2</wpswe:count>
        <wpswe:formatCode>General</wpswe:formatCode>
        <wpswe:cell wpswe:idx="0">
          <wpswe:value>固定资产</wpswe:value>
        </wpswe:cell>
      </wpswe:cells>
      <wpswe:cells wpswe:idx="5">
        <wpswe:count>2</wpswe:count>
        <wpswe:formatCode>General</wpswe:formatCode>
      </wpswe:cells>
      <wpswe:cells wpswe:idx="6">
        <wpswe:count>2</wpswe:count>
        <wpswe:formatCode>General</wpswe:formatCode>
        <wpswe:cell wpswe:idx="0">
          <wpswe:value>资产合计</wpswe:value>
        </wpswe:cell>
        <wpswe:cell wpswe:idx="1" wpswe:formatCode="0.00%">
          <wpswe:value>1.4432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https://clientweb.docer.wps.cn//docer-ds/web-shape-1.0.0/?id=12&amp;dschart_id=4447460703254610031&amp;from=et&amp;productEntry=insert&amp;sceneEntry=rec-90</wpswe:url>
  <wpswe:constantSnapshot>false</wpswe:constantSnapshot>
</wps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1:Q37"/>
  <sheetViews>
    <sheetView tabSelected="1" zoomScale="78" zoomScaleNormal="78" topLeftCell="A21" workbookViewId="0">
      <selection activeCell="D37" sqref="D37:E37"/>
    </sheetView>
  </sheetViews>
  <sheetFormatPr defaultColWidth="8.61061946902655" defaultRowHeight="13.5"/>
  <cols>
    <col min="1" max="1" width="15.6725663716814" customWidth="1"/>
    <col min="4" max="4" width="11.6725663716814" customWidth="1"/>
    <col min="5" max="5" width="25.3451327433628" customWidth="1"/>
    <col min="6" max="6" width="26.3362831858407" customWidth="1"/>
    <col min="7" max="7" width="26.3451327433628" customWidth="1"/>
    <col min="8" max="8" width="23.6725663716814" customWidth="1"/>
    <col min="9" max="9" width="25.3451327433628" customWidth="1"/>
    <col min="10" max="10" width="14.6194690265487" customWidth="1"/>
    <col min="11" max="11" width="27.5044247787611" customWidth="1"/>
    <col min="12" max="14" width="5.6283185840708" customWidth="1"/>
    <col min="17" max="17" width="30.4424778761062" customWidth="1"/>
    <col min="18" max="18" width="27.4513274336283" customWidth="1"/>
  </cols>
  <sheetData>
    <row r="21" ht="28.5" customHeight="1" spans="4:14">
      <c r="D21" s="26" t="s">
        <v>0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</row>
    <row r="22" ht="22.5" customHeight="1" spans="4:17">
      <c r="D22" s="27" t="s">
        <v>1</v>
      </c>
      <c r="E22" s="28"/>
      <c r="F22" s="28"/>
      <c r="G22" s="28"/>
      <c r="H22" s="28"/>
      <c r="I22" s="28"/>
      <c r="J22" s="28"/>
      <c r="K22" s="28"/>
      <c r="L22" s="28"/>
      <c r="M22" s="28"/>
      <c r="N22" s="51"/>
      <c r="P22" s="29" t="s">
        <v>2</v>
      </c>
      <c r="Q22" s="59" t="s">
        <v>3</v>
      </c>
    </row>
    <row r="23" ht="39" customHeight="1" spans="4:17">
      <c r="D23" s="29" t="s">
        <v>2</v>
      </c>
      <c r="E23" s="30" t="s">
        <v>4</v>
      </c>
      <c r="F23" s="30" t="s">
        <v>3</v>
      </c>
      <c r="G23" s="30" t="s">
        <v>5</v>
      </c>
      <c r="H23" s="30" t="s">
        <v>6</v>
      </c>
      <c r="I23" s="30" t="s">
        <v>4</v>
      </c>
      <c r="J23" s="30" t="s">
        <v>3</v>
      </c>
      <c r="K23" s="30" t="s">
        <v>5</v>
      </c>
      <c r="L23" s="30"/>
      <c r="M23" s="30"/>
      <c r="N23" s="52"/>
      <c r="P23" s="18" t="s">
        <v>7</v>
      </c>
      <c r="Q23" s="60">
        <f>ROUND(E24/[1]利润表!$L$5*100%,4)</f>
        <v>0.6199</v>
      </c>
    </row>
    <row r="24" ht="22.5" customHeight="1" spans="1:17">
      <c r="A24" s="31">
        <v>7220852.88</v>
      </c>
      <c r="D24" s="18" t="s">
        <v>7</v>
      </c>
      <c r="E24" s="31">
        <v>20000000</v>
      </c>
      <c r="F24" s="19">
        <f>ROUND(E24/[1]利润表!$L$5*100%,4)</f>
        <v>0.6199</v>
      </c>
      <c r="G24" s="32">
        <f>[1]利润表!$L$5*(1+10%)*F24</f>
        <v>22000022.1340296</v>
      </c>
      <c r="H24" s="20" t="s">
        <v>8</v>
      </c>
      <c r="I24" s="32">
        <f>[3]Sheet1!$E$10</f>
        <v>3642466.9728</v>
      </c>
      <c r="J24" s="19">
        <f>ROUND(I24/[1]利润表!$L$5*100%,4)</f>
        <v>0.1129</v>
      </c>
      <c r="K24" s="32">
        <f>[1]利润表!$L$5*(1+10%)*J24</f>
        <v>4006779.31752209</v>
      </c>
      <c r="L24" s="20"/>
      <c r="M24" s="20"/>
      <c r="N24" s="21"/>
      <c r="P24" s="14" t="s">
        <v>9</v>
      </c>
      <c r="Q24" s="61">
        <f>ROUND(E25/[1]利润表!$L$5*100%,4)</f>
        <v>0.3492</v>
      </c>
    </row>
    <row r="25" ht="22.5" customHeight="1" spans="4:17">
      <c r="D25" s="14" t="s">
        <v>9</v>
      </c>
      <c r="E25" s="33">
        <f>[2]Sheet1!$C$10</f>
        <v>11266958.8258</v>
      </c>
      <c r="F25" s="15">
        <f>ROUND(E25/[1]利润表!$L$5*100%,4)</f>
        <v>0.3492</v>
      </c>
      <c r="G25" s="34">
        <f>[1]利润表!$L$5*(1+10%)*F25</f>
        <v>12392979.0759851</v>
      </c>
      <c r="H25" s="16" t="s">
        <v>10</v>
      </c>
      <c r="I25" s="34">
        <f>[3]Sheet1!$E$6</f>
        <v>10709937.1545</v>
      </c>
      <c r="J25" s="35" t="s">
        <v>11</v>
      </c>
      <c r="K25" s="34">
        <f>I25</f>
        <v>10709937.1545</v>
      </c>
      <c r="L25" s="16"/>
      <c r="M25" s="16"/>
      <c r="N25" s="17"/>
      <c r="P25" s="18" t="s">
        <v>12</v>
      </c>
      <c r="Q25" s="60">
        <f>ROUND(E26/[1]利润表!$L$5*100%,4)</f>
        <v>0.4741</v>
      </c>
    </row>
    <row r="26" ht="22.5" customHeight="1" spans="4:17">
      <c r="D26" s="18" t="s">
        <v>12</v>
      </c>
      <c r="E26" s="31">
        <f>[2]Sheet1!$C$14</f>
        <v>15296484.8148</v>
      </c>
      <c r="F26" s="19">
        <f>ROUND(E26/[1]利润表!$L$5*100%,4)</f>
        <v>0.4741</v>
      </c>
      <c r="G26" s="32">
        <f>[1]利润表!$L$5*(1+10%)*F26</f>
        <v>16825633.9631286</v>
      </c>
      <c r="H26" s="20" t="s">
        <v>13</v>
      </c>
      <c r="I26" s="32">
        <f>[3]Sheet1!$E$21</f>
        <v>5473792.3439</v>
      </c>
      <c r="J26" s="53" t="s">
        <v>11</v>
      </c>
      <c r="K26" s="32">
        <f t="shared" ref="K25:K27" si="0">I26</f>
        <v>5473792.3439</v>
      </c>
      <c r="L26" s="20"/>
      <c r="M26" s="20"/>
      <c r="N26" s="21"/>
      <c r="P26" s="14" t="s">
        <v>14</v>
      </c>
      <c r="Q26" s="62"/>
    </row>
    <row r="27" ht="22.5" customHeight="1" spans="4:17">
      <c r="D27" s="14" t="s">
        <v>14</v>
      </c>
      <c r="E27" s="33">
        <v>16380431.0945</v>
      </c>
      <c r="F27" s="35" t="s">
        <v>11</v>
      </c>
      <c r="G27" s="34">
        <f>E27</f>
        <v>16380431.0945</v>
      </c>
      <c r="H27" s="16" t="s">
        <v>15</v>
      </c>
      <c r="I27" s="34"/>
      <c r="J27" s="35" t="s">
        <v>11</v>
      </c>
      <c r="K27" s="34">
        <f t="shared" si="0"/>
        <v>0</v>
      </c>
      <c r="L27" s="16"/>
      <c r="M27" s="16"/>
      <c r="N27" s="17"/>
      <c r="P27" s="18"/>
      <c r="Q27" s="63"/>
    </row>
    <row r="28" ht="22.5" customHeight="1" spans="4:17">
      <c r="D28" s="18"/>
      <c r="E28" s="32"/>
      <c r="F28" s="19"/>
      <c r="G28" s="32"/>
      <c r="H28" s="20" t="s">
        <v>16</v>
      </c>
      <c r="I28" s="32">
        <f>[3]Sheet1!$E$43+[3]Sheet1!$E$44</f>
        <v>4513520.0303</v>
      </c>
      <c r="J28" s="53" t="s">
        <v>11</v>
      </c>
      <c r="K28" s="32">
        <f>ROUND(I28+13200*(1+10%)*F30*F31,2)</f>
        <v>4513520.03</v>
      </c>
      <c r="L28" s="20"/>
      <c r="M28" s="20"/>
      <c r="N28" s="21"/>
      <c r="P28" s="22" t="s">
        <v>17</v>
      </c>
      <c r="Q28" s="61">
        <f>F24+F25+F26</f>
        <v>1.4432</v>
      </c>
    </row>
    <row r="29" ht="22.5" customHeight="1" spans="4:14">
      <c r="D29" s="22" t="s">
        <v>17</v>
      </c>
      <c r="E29" s="36">
        <f>[2]Sheet1!$C$40</f>
        <v>65636158.5162</v>
      </c>
      <c r="F29" s="37">
        <f>F24+F25+F26</f>
        <v>1.4432</v>
      </c>
      <c r="G29" s="38">
        <f>SUM(G24:G28)</f>
        <v>67599066.2676433</v>
      </c>
      <c r="H29" s="23" t="s">
        <v>18</v>
      </c>
      <c r="I29" s="38">
        <f>[3]Sheet1!$E$48</f>
        <v>65636158.5162</v>
      </c>
      <c r="J29" s="37">
        <f>J24</f>
        <v>0.1129</v>
      </c>
      <c r="K29" s="38">
        <f>SUM(K24:K28)</f>
        <v>24704028.8459221</v>
      </c>
      <c r="L29" s="23"/>
      <c r="M29" s="23"/>
      <c r="N29" s="24"/>
    </row>
    <row r="30" ht="22.5" customHeight="1" spans="4:14"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ht="22.5" customHeight="1" spans="4:14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ht="22.5" customHeight="1" spans="4:14"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ht="22.5" customHeight="1" spans="4:14">
      <c r="D33" s="39" t="s">
        <v>19</v>
      </c>
      <c r="E33" s="9"/>
      <c r="F33" s="40">
        <f>ROUND([1]利润表!$L$34/[1]利润表!$L$5*100%,4)</f>
        <v>0.0868</v>
      </c>
      <c r="G33" s="41"/>
      <c r="H33" s="41"/>
      <c r="I33" s="41"/>
      <c r="J33" s="41"/>
      <c r="K33" s="54"/>
      <c r="L33" s="41"/>
      <c r="M33" s="41"/>
      <c r="N33" s="10"/>
    </row>
    <row r="34" ht="22.5" customHeight="1" spans="4:14">
      <c r="D34" s="42" t="s">
        <v>20</v>
      </c>
      <c r="E34" s="11"/>
      <c r="F34" s="43">
        <f>35%</f>
        <v>0.35</v>
      </c>
      <c r="G34" s="12"/>
      <c r="H34" s="12"/>
      <c r="I34" s="12"/>
      <c r="J34" s="12"/>
      <c r="K34" s="55"/>
      <c r="L34" s="12"/>
      <c r="M34" s="12"/>
      <c r="N34" s="13"/>
    </row>
    <row r="35" ht="22.5" customHeight="1" spans="4:14">
      <c r="D35" s="44" t="s">
        <v>21</v>
      </c>
      <c r="E35" s="14"/>
      <c r="F35" s="34">
        <f>ROUND([1]利润表!$L$5*(1+10%)*F33*F34,2)</f>
        <v>1078174.98</v>
      </c>
      <c r="G35" s="16"/>
      <c r="H35" s="16"/>
      <c r="I35" s="16"/>
      <c r="J35" s="16"/>
      <c r="K35" s="56"/>
      <c r="L35" s="16"/>
      <c r="M35" s="16"/>
      <c r="N35" s="17"/>
    </row>
    <row r="36" ht="22.5" customHeight="1" spans="4:14">
      <c r="D36" s="45" t="s">
        <v>22</v>
      </c>
      <c r="E36" s="46"/>
      <c r="F36" s="47">
        <v>-24963610</v>
      </c>
      <c r="G36" s="48"/>
      <c r="H36" s="48"/>
      <c r="I36" s="48"/>
      <c r="J36" s="48"/>
      <c r="K36" s="57"/>
      <c r="L36" s="48"/>
      <c r="M36" s="48"/>
      <c r="N36" s="58"/>
    </row>
    <row r="37" ht="76" customHeight="1" spans="4:6">
      <c r="D37" s="49"/>
      <c r="E37" s="49"/>
      <c r="F37" s="50" t="str">
        <f>IF(F36&gt;0,"警告，筹资金额短缺！",IF(F36&lt;0,"筹资正常",""))</f>
        <v>筹资正常</v>
      </c>
    </row>
  </sheetData>
  <sheetProtection formatCells="0" formatColumns="0" formatRows="0" insertRows="0" insertColumns="0" insertHyperlinks="0" deleteColumns="0" deleteRows="0" sort="0" autoFilter="0" pivotTables="0"/>
  <mergeCells count="7">
    <mergeCell ref="D21:N21"/>
    <mergeCell ref="D22:N22"/>
    <mergeCell ref="D33:E33"/>
    <mergeCell ref="D34:E34"/>
    <mergeCell ref="D35:E35"/>
    <mergeCell ref="D36:E36"/>
    <mergeCell ref="D37:E37"/>
  </mergeCells>
  <conditionalFormatting sqref="F37">
    <cfRule type="expression" dxfId="0" priority="2">
      <formula>$F$36&gt;0</formula>
    </cfRule>
    <cfRule type="expression" dxfId="1" priority="1">
      <formula>$F$36&lt;0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8"/>
  <sheetViews>
    <sheetView workbookViewId="0">
      <selection activeCell="F37" sqref="F37"/>
    </sheetView>
  </sheetViews>
  <sheetFormatPr defaultColWidth="8.61061946902655" defaultRowHeight="13.5"/>
  <cols>
    <col min="1" max="1" width="16.9115044247788" customWidth="1"/>
    <col min="2" max="2" width="27.0088495575221" customWidth="1"/>
    <col min="3" max="3" width="11.5044247787611" customWidth="1"/>
    <col min="4" max="4" width="25.3451327433628" customWidth="1"/>
    <col min="5" max="5" width="16.3451327433628" customWidth="1"/>
    <col min="6" max="6" width="3.61946902654867" customWidth="1"/>
    <col min="7" max="9" width="11.9734513274336" customWidth="1"/>
  </cols>
  <sheetData>
    <row r="1" ht="28.5" customHeight="1" spans="2:5">
      <c r="B1" s="1" t="s">
        <v>23</v>
      </c>
      <c r="C1" s="1"/>
      <c r="D1" s="1"/>
      <c r="E1" s="1"/>
    </row>
    <row r="2" ht="22.5" customHeight="1" spans="2:9">
      <c r="B2" s="2" t="s">
        <v>24</v>
      </c>
      <c r="C2" s="3"/>
      <c r="D2" s="2">
        <f>ROUND(短期资金需求量预测!F36/(1-10%),2)</f>
        <v>-27737344.44</v>
      </c>
      <c r="E2" s="4"/>
      <c r="F2" s="5"/>
      <c r="G2" s="5"/>
      <c r="H2" s="5"/>
      <c r="I2" s="5"/>
    </row>
    <row r="3" ht="22.5" customHeight="1" spans="2:9">
      <c r="B3" s="6" t="s">
        <v>25</v>
      </c>
      <c r="C3" s="7"/>
      <c r="D3" s="6">
        <f>D2*0.6*3*4</f>
        <v>-199708879.968</v>
      </c>
      <c r="E3" s="8"/>
      <c r="F3" s="5"/>
      <c r="G3" s="5"/>
      <c r="H3" s="5"/>
      <c r="I3" s="5"/>
    </row>
    <row r="4" ht="22.5" customHeight="1" spans="6:9">
      <c r="F4" s="5"/>
      <c r="G4" s="5"/>
      <c r="H4" s="5"/>
      <c r="I4" s="5"/>
    </row>
    <row r="5" ht="22.5" customHeight="1" spans="6:9">
      <c r="F5" s="5"/>
      <c r="G5" s="5"/>
      <c r="H5" s="5"/>
      <c r="I5" s="5"/>
    </row>
    <row r="6" ht="22.5" customHeight="1" spans="2:9">
      <c r="B6" s="5"/>
      <c r="C6" s="5"/>
      <c r="D6" s="5"/>
      <c r="E6" s="5"/>
      <c r="F6" s="5"/>
      <c r="G6" s="5"/>
      <c r="H6" s="5"/>
      <c r="I6" s="5"/>
    </row>
    <row r="7" ht="22.5" customHeight="1" spans="2:9">
      <c r="B7" s="5"/>
      <c r="C7" s="5"/>
      <c r="D7" s="5"/>
      <c r="E7" s="5"/>
      <c r="F7" s="5"/>
      <c r="G7" s="5"/>
      <c r="H7" s="5"/>
      <c r="I7" s="5"/>
    </row>
    <row r="8" ht="22.5" customHeight="1" spans="2:9">
      <c r="B8" s="5"/>
      <c r="C8" s="5"/>
      <c r="D8" s="5"/>
      <c r="E8" s="5"/>
      <c r="F8" s="5"/>
      <c r="G8" s="5"/>
      <c r="H8" s="5"/>
      <c r="I8" s="5"/>
    </row>
    <row r="9" ht="22.5" customHeight="1" spans="2:9">
      <c r="B9" s="9" t="s">
        <v>26</v>
      </c>
      <c r="C9" s="9"/>
      <c r="D9" s="9"/>
      <c r="E9" s="10"/>
      <c r="F9" s="5"/>
      <c r="G9" s="5"/>
      <c r="H9" s="5"/>
      <c r="I9" s="5"/>
    </row>
    <row r="10" ht="22.5" customHeight="1" spans="2:9">
      <c r="B10" s="11" t="s">
        <v>27</v>
      </c>
      <c r="C10" s="12">
        <f>ROUND(80*(1-8%/12*3),2)</f>
        <v>78.4</v>
      </c>
      <c r="D10" s="12"/>
      <c r="E10" s="13"/>
      <c r="F10" s="5"/>
      <c r="G10" s="5"/>
      <c r="H10" s="5"/>
      <c r="I10" s="5"/>
    </row>
    <row r="11" ht="22.5" customHeight="1" spans="2:9">
      <c r="B11" s="14" t="s">
        <v>28</v>
      </c>
      <c r="C11" s="15">
        <f>ROUND(80*8%/12*3/C10,4)</f>
        <v>0.0204</v>
      </c>
      <c r="D11" s="16"/>
      <c r="E11" s="17"/>
      <c r="F11" s="5"/>
      <c r="G11" s="5"/>
      <c r="H11" s="5"/>
      <c r="I11" s="5"/>
    </row>
    <row r="12" ht="22.5" customHeight="1" spans="2:9">
      <c r="B12" s="18" t="s">
        <v>29</v>
      </c>
      <c r="C12" s="19">
        <f>ROUND(((1+C11)^4-1),4)</f>
        <v>0.0841</v>
      </c>
      <c r="D12" s="20"/>
      <c r="E12" s="21"/>
      <c r="F12" s="5"/>
      <c r="G12" s="5"/>
      <c r="H12" s="5"/>
      <c r="I12" s="5"/>
    </row>
    <row r="13" ht="22.5" customHeight="1" spans="2:9">
      <c r="B13" s="22" t="s">
        <v>30</v>
      </c>
      <c r="C13" s="23" t="s">
        <v>31</v>
      </c>
      <c r="D13" s="23" t="s">
        <v>32</v>
      </c>
      <c r="E13" s="24"/>
      <c r="F13" s="5"/>
      <c r="G13" s="5"/>
      <c r="H13" s="5"/>
      <c r="I13" s="5"/>
    </row>
    <row r="14" ht="22.5" customHeight="1" spans="2:9">
      <c r="B14" s="5"/>
      <c r="C14" s="5"/>
      <c r="D14" s="5"/>
      <c r="E14" s="5"/>
      <c r="F14" s="5"/>
      <c r="G14" s="5"/>
      <c r="H14" s="5"/>
      <c r="I14" s="5"/>
    </row>
    <row r="15" ht="22.5" customHeight="1" spans="2:9">
      <c r="B15" s="5"/>
      <c r="C15" s="5"/>
      <c r="D15" s="5"/>
      <c r="E15" s="5"/>
      <c r="F15" s="5"/>
      <c r="G15" s="5"/>
      <c r="H15" s="5"/>
      <c r="I15" s="5"/>
    </row>
    <row r="16" ht="22.5" customHeight="1" spans="2:9">
      <c r="B16" s="9" t="s">
        <v>33</v>
      </c>
      <c r="C16" s="9"/>
      <c r="D16" s="9"/>
      <c r="E16" s="10"/>
      <c r="F16" s="5"/>
      <c r="G16" s="5"/>
      <c r="H16" s="5"/>
      <c r="I16" s="5"/>
    </row>
    <row r="17" ht="22.5" customHeight="1" spans="2:9">
      <c r="B17" s="11" t="s">
        <v>34</v>
      </c>
      <c r="C17" s="25">
        <f>ROUND(3%/(1-3%)*360/(90-30),4)</f>
        <v>0.1856</v>
      </c>
      <c r="D17" s="12"/>
      <c r="E17" s="13"/>
      <c r="F17" s="5"/>
      <c r="G17" s="5"/>
      <c r="H17" s="5"/>
      <c r="I17" s="5"/>
    </row>
    <row r="18" ht="22.5" customHeight="1" spans="2:9">
      <c r="B18" s="22" t="s">
        <v>35</v>
      </c>
      <c r="C18" s="23" t="s">
        <v>31</v>
      </c>
      <c r="D18" s="23"/>
      <c r="E18" s="24"/>
      <c r="F18" s="5"/>
      <c r="G18" s="5"/>
      <c r="H18" s="5"/>
      <c r="I18" s="5"/>
    </row>
  </sheetData>
  <sheetProtection formatCells="0" formatColumns="0" formatRows="0" insertRows="0" insertColumns="0" insertHyperlinks="0" deleteColumns="0" deleteRows="0" sort="0" autoFilter="0" pivotTables="0"/>
  <mergeCells count="7">
    <mergeCell ref="B1:E1"/>
    <mergeCell ref="B2:C2"/>
    <mergeCell ref="D2:E2"/>
    <mergeCell ref="B3:C3"/>
    <mergeCell ref="D3:E3"/>
    <mergeCell ref="B9:D9"/>
    <mergeCell ref="B16:D16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3 8 8 5 5 8 4 3 7 6 4 8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WWO_wpscloud_20250319220634-bbde9b6bd9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短期资金需求量预测</vt:lpstr>
      <vt:lpstr>计算短期借款的实际利率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36068</dc:creator>
  <cp:lastModifiedBy>M.</cp:lastModifiedBy>
  <dcterms:created xsi:type="dcterms:W3CDTF">2025-04-08T20:59:00Z</dcterms:created>
  <dcterms:modified xsi:type="dcterms:W3CDTF">2025-07-22T09:42:16Z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5B2E0FFBC06D47D284B1E08A442ADCF3_13</vt:lpwstr>
  </property>
  <property fmtid="{D5CDD505-2E9C-101B-9397-08002B2CF9AE}" pid="3" name="KSOProductBuildVer">
    <vt:lpwstr>2052-12.1.0.21915</vt:lpwstr>
  </property>
</Properties>
</file>