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2188" windowHeight="8855"/>
  </bookViews>
  <sheets>
    <sheet name="企业研发项目费用预算表" sheetId="1" r:id="rId1"/>
    <sheet name="企业研发项目费用预算表 (2)" sheetId="16" r:id="rId2"/>
    <sheet name="设备采购表" sheetId="2" r:id="rId3"/>
    <sheet name="设备详情表" sheetId="3" r:id="rId4"/>
    <sheet name="材料清单表" sheetId="4" r:id="rId5"/>
    <sheet name="研发人员薪资成本表" sheetId="5" r:id="rId6"/>
    <sheet name="等离子冷床炉折旧表" sheetId="15" r:id="rId7"/>
    <sheet name="参数表" sheetId="7" r:id="rId8"/>
    <sheet name="研发场地租赁" sheetId="8" r:id="rId9"/>
    <sheet name="无形资产摊销明细计算表" sheetId="10" r:id="rId10"/>
    <sheet name="试制模具开发费明细计算表" sheetId="11" r:id="rId11"/>
    <sheet name="成果验收费用明细计算表" sheetId="12" r:id="rId12"/>
    <sheet name="其他研发费用明细计算表" sheetId="13" r:id="rId13"/>
    <sheet name="管理费用表" sheetId="6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<sst xmlns="http://schemas.openxmlformats.org/spreadsheetml/2006/main" count="327" uniqueCount="240">
  <si>
    <t>企业研发项目费用预算表</t>
  </si>
  <si>
    <t>填表日期：</t>
  </si>
  <si>
    <t>项目基本信息：</t>
  </si>
  <si>
    <t>技术开发项目名称：设备工艺更新改造</t>
  </si>
  <si>
    <t>项目编号</t>
  </si>
  <si>
    <t>项目周期</t>
  </si>
  <si>
    <t>持续时间：</t>
  </si>
  <si>
    <t>预算总额</t>
  </si>
  <si>
    <t>企业自筹</t>
  </si>
  <si>
    <t>其他渠道</t>
  </si>
  <si>
    <t>费用预算明细</t>
  </si>
  <si>
    <t>科目</t>
  </si>
  <si>
    <t>政策依据</t>
  </si>
  <si>
    <t>占比</t>
  </si>
  <si>
    <t>预算额(万元)</t>
  </si>
  <si>
    <t>来源表</t>
  </si>
  <si>
    <t>预警</t>
  </si>
  <si>
    <t>一、设备更新改造</t>
  </si>
  <si>
    <t>财税[2018]99号</t>
  </si>
  <si>
    <t>二、材料燃料动力费</t>
  </si>
  <si>
    <t>高新技术企业认定指引</t>
  </si>
  <si>
    <t>三、研发人员费用</t>
  </si>
  <si>
    <t>财税[2015]119号</t>
  </si>
  <si>
    <t>四、研发设备折旧</t>
  </si>
  <si>
    <t>企业所得税法实施条例</t>
  </si>
  <si>
    <t>五、研发场地租赁</t>
  </si>
  <si>
    <t>研发费用加计扣除政策</t>
  </si>
  <si>
    <t>六、无形资产摊销</t>
  </si>
  <si>
    <t>财税[2018]64号</t>
  </si>
  <si>
    <t>七、试制模具开发费</t>
  </si>
  <si>
    <t>国家税务总局公告2017年第40号</t>
  </si>
  <si>
    <t>八、成果验收费用</t>
  </si>
  <si>
    <t>科财税[2020]44号</t>
  </si>
  <si>
    <t>九、其他研发费用</t>
  </si>
  <si>
    <t>加计扣除政策指引</t>
  </si>
  <si>
    <t>合计</t>
  </si>
  <si>
    <t>预算分析</t>
  </si>
  <si>
    <t>可加计扣除金额</t>
  </si>
  <si>
    <t>加计扣除比例</t>
  </si>
  <si>
    <t>税收优惠预估</t>
  </si>
  <si>
    <t>企业负责人：_________</t>
  </si>
  <si>
    <t>财务负责人：_________</t>
  </si>
  <si>
    <t>部门负责人：_________</t>
  </si>
  <si>
    <t>填表人：_________</t>
  </si>
  <si>
    <t>资本化费用化划分</t>
  </si>
  <si>
    <t>设备采购表</t>
  </si>
  <si>
    <t>ID</t>
  </si>
  <si>
    <t>项目名称</t>
  </si>
  <si>
    <t>用途</t>
  </si>
  <si>
    <t>设备名称</t>
  </si>
  <si>
    <t>预算金额(万元）</t>
  </si>
  <si>
    <t>日期</t>
  </si>
  <si>
    <t>EQ001</t>
  </si>
  <si>
    <t>设备工艺更新</t>
  </si>
  <si>
    <t>研发专用</t>
  </si>
  <si>
    <t>等离子冷床炉</t>
  </si>
  <si>
    <t>EQ002</t>
  </si>
  <si>
    <t>五轴机加工设备</t>
  </si>
  <si>
    <t>设备详情表</t>
  </si>
  <si>
    <t>序号</t>
  </si>
  <si>
    <t>设备类型</t>
  </si>
  <si>
    <t>供应商</t>
  </si>
  <si>
    <t>寿命</t>
  </si>
  <si>
    <t>折旧率</t>
  </si>
  <si>
    <t>高温熔炼设备</t>
  </si>
  <si>
    <t>德国西门子</t>
  </si>
  <si>
    <r>
      <rPr>
        <sz val="18"/>
        <color rgb="FF494949"/>
        <rFont val="Courier New"/>
        <charset val="134"/>
      </rPr>
      <t>10</t>
    </r>
    <r>
      <rPr>
        <sz val="18"/>
        <color rgb="FF494949"/>
        <rFont val="宋体"/>
        <charset val="134"/>
      </rPr>
      <t>年</t>
    </r>
  </si>
  <si>
    <t>精密加工中心</t>
  </si>
  <si>
    <t>日本发那科</t>
  </si>
  <si>
    <r>
      <rPr>
        <sz val="18"/>
        <color rgb="FF494949"/>
        <rFont val="Courier New"/>
        <charset val="134"/>
      </rPr>
      <t>8</t>
    </r>
    <r>
      <rPr>
        <sz val="18"/>
        <color rgb="FF494949"/>
        <rFont val="宋体"/>
        <charset val="134"/>
      </rPr>
      <t>年</t>
    </r>
  </si>
  <si>
    <t>材料清单表</t>
  </si>
  <si>
    <t>材料编号</t>
  </si>
  <si>
    <t>材料名称</t>
  </si>
  <si>
    <t>类别</t>
  </si>
  <si>
    <t>单价（元）</t>
  </si>
  <si>
    <t>库存</t>
  </si>
  <si>
    <t>总价（万元）</t>
  </si>
  <si>
    <t>MAT-001</t>
  </si>
  <si>
    <t>特种合金</t>
  </si>
  <si>
    <t>研发材料</t>
  </si>
  <si>
    <t>MAT-002</t>
  </si>
  <si>
    <t>导热硅脂</t>
  </si>
  <si>
    <t>MAT-003</t>
  </si>
  <si>
    <t>电路板</t>
  </si>
  <si>
    <t>MAT-004</t>
  </si>
  <si>
    <t>传感器</t>
  </si>
  <si>
    <t>员工ID</t>
  </si>
  <si>
    <t>姓名</t>
  </si>
  <si>
    <t>岗位层级</t>
  </si>
  <si>
    <t>基本工资(月)</t>
  </si>
  <si>
    <t>绩效奖金(年)</t>
  </si>
  <si>
    <t>专项补贴(年)</t>
  </si>
  <si>
    <t>社保公积金(月)</t>
  </si>
  <si>
    <t>培训福利(年)</t>
  </si>
  <si>
    <t>年总成本(上年)</t>
  </si>
  <si>
    <t>年总成本(本年预算)</t>
  </si>
  <si>
    <t>EMP001</t>
  </si>
  <si>
    <t>周工</t>
  </si>
  <si>
    <t>中级研发人员</t>
  </si>
  <si>
    <t>EMP002</t>
  </si>
  <si>
    <t>吴工</t>
  </si>
  <si>
    <t>高级研发人员</t>
  </si>
  <si>
    <t>EMP003</t>
  </si>
  <si>
    <t>李工</t>
  </si>
  <si>
    <t>EMP004</t>
  </si>
  <si>
    <t>郑主任</t>
  </si>
  <si>
    <t>核心研发人员</t>
  </si>
  <si>
    <t>EMP005</t>
  </si>
  <si>
    <t>王主任</t>
  </si>
  <si>
    <t>MIN(ROUND(H3</t>
  </si>
  <si>
    <t>1.05,0),1612)</t>
  </si>
  <si>
    <t>+</t>
  </si>
  <si>
    <t>MIN(ROUND(I3</t>
  </si>
  <si>
    <t>1.05,0),4836)</t>
  </si>
  <si>
    <t>EMP006</t>
  </si>
  <si>
    <t>赵工</t>
  </si>
  <si>
    <t>初级研发人员</t>
  </si>
  <si>
    <t>MIN(ROUND(H4</t>
  </si>
  <si>
    <t>1.05,0),2257)</t>
  </si>
  <si>
    <t>MIN(ROUND(I4</t>
  </si>
  <si>
    <t>1.05,0),6448)</t>
  </si>
  <si>
    <t>EMP007</t>
  </si>
  <si>
    <t>钱工</t>
  </si>
  <si>
    <t>MIN(ROUND(H5</t>
  </si>
  <si>
    <t>1.05,0),3224)</t>
  </si>
  <si>
    <t>MIN(ROUND(I5</t>
  </si>
  <si>
    <t>1.05,0),16120)</t>
  </si>
  <si>
    <t>EMP008</t>
  </si>
  <si>
    <t>孙工</t>
  </si>
  <si>
    <t>汇总</t>
  </si>
  <si>
    <t>控制指标</t>
  </si>
  <si>
    <t>总预算上限</t>
  </si>
  <si>
    <t>状态</t>
  </si>
  <si>
    <t>等离子冷床炉折旧表（工作量法）</t>
  </si>
  <si>
    <t>设备原值：6,790,000元</t>
  </si>
  <si>
    <t>残值：339,500元（5%）</t>
  </si>
  <si>
    <t>可折旧总额：6,450,500元</t>
  </si>
  <si>
    <t>计提期：2月-12月（共11个月）</t>
  </si>
  <si>
    <t>单位折旧成本：272,600 ÷ 435,000 = 0.6267元/kWh</t>
  </si>
  <si>
    <t>月份</t>
  </si>
  <si>
    <r>
      <rPr>
        <sz val="20"/>
        <color rgb="FF404040"/>
        <rFont val="宋体"/>
        <charset val="134"/>
      </rPr>
      <t>总用电量</t>
    </r>
    <r>
      <rPr>
        <sz val="20"/>
        <color rgb="FF404040"/>
        <rFont val="Segoe UI"/>
        <charset val="134"/>
      </rPr>
      <t xml:space="preserve"> (kWh)</t>
    </r>
  </si>
  <si>
    <r>
      <rPr>
        <sz val="20"/>
        <color rgb="FF404040"/>
        <rFont val="宋体"/>
        <charset val="134"/>
      </rPr>
      <t>生产用电量</t>
    </r>
    <r>
      <rPr>
        <sz val="20"/>
        <color rgb="FF404040"/>
        <rFont val="Segoe UI"/>
        <charset val="134"/>
      </rPr>
      <t xml:space="preserve"> (kWh)</t>
    </r>
  </si>
  <si>
    <r>
      <rPr>
        <sz val="20"/>
        <color rgb="FF404040"/>
        <rFont val="宋体"/>
        <charset val="134"/>
      </rPr>
      <t>研发用电量</t>
    </r>
    <r>
      <rPr>
        <sz val="20"/>
        <color rgb="FF404040"/>
        <rFont val="Segoe UI"/>
        <charset val="134"/>
      </rPr>
      <t xml:space="preserve"> (kWh)</t>
    </r>
  </si>
  <si>
    <r>
      <rPr>
        <sz val="20"/>
        <color rgb="FF404040"/>
        <rFont val="宋体"/>
        <charset val="134"/>
      </rPr>
      <t>生产</t>
    </r>
    <r>
      <rPr>
        <sz val="20"/>
        <color rgb="FF404040"/>
        <rFont val="Segoe UI"/>
        <charset val="134"/>
      </rPr>
      <t>(</t>
    </r>
    <r>
      <rPr>
        <sz val="20"/>
        <color rgb="FF404040"/>
        <rFont val="宋体"/>
        <charset val="134"/>
      </rPr>
      <t>元</t>
    </r>
    <r>
      <rPr>
        <sz val="20"/>
        <color rgb="FF404040"/>
        <rFont val="Segoe UI"/>
        <charset val="134"/>
      </rPr>
      <t>)</t>
    </r>
  </si>
  <si>
    <r>
      <rPr>
        <sz val="20"/>
        <color rgb="FF404040"/>
        <rFont val="宋体"/>
        <charset val="134"/>
      </rPr>
      <t>研发</t>
    </r>
    <r>
      <rPr>
        <sz val="20"/>
        <color rgb="FF404040"/>
        <rFont val="Segoe UI"/>
        <charset val="134"/>
      </rPr>
      <t xml:space="preserve"> (</t>
    </r>
    <r>
      <rPr>
        <sz val="20"/>
        <color rgb="FF404040"/>
        <rFont val="宋体"/>
        <charset val="134"/>
      </rPr>
      <t>元</t>
    </r>
    <r>
      <rPr>
        <sz val="20"/>
        <color rgb="FF404040"/>
        <rFont val="Segoe UI"/>
        <charset val="134"/>
      </rPr>
      <t>)</t>
    </r>
  </si>
  <si>
    <r>
      <rPr>
        <sz val="20"/>
        <color rgb="FF404040"/>
        <rFont val="宋体"/>
        <charset val="134"/>
      </rPr>
      <t>月折旧总额</t>
    </r>
    <r>
      <rPr>
        <sz val="20"/>
        <color rgb="FF404040"/>
        <rFont val="Segoe UI"/>
        <charset val="134"/>
      </rPr>
      <t xml:space="preserve"> (</t>
    </r>
    <r>
      <rPr>
        <sz val="20"/>
        <color rgb="FF404040"/>
        <rFont val="宋体"/>
        <charset val="134"/>
      </rPr>
      <t>元</t>
    </r>
    <r>
      <rPr>
        <sz val="20"/>
        <color rgb="FF404040"/>
        <rFont val="Segoe UI"/>
        <charset val="134"/>
      </rPr>
      <t>)</t>
    </r>
  </si>
  <si>
    <r>
      <rPr>
        <sz val="20"/>
        <color rgb="FF404040"/>
        <rFont val="宋体"/>
        <charset val="134"/>
      </rPr>
      <t>累计折旧</t>
    </r>
    <r>
      <rPr>
        <sz val="20"/>
        <color rgb="FF404040"/>
        <rFont val="Segoe UI"/>
        <charset val="134"/>
      </rPr>
      <t xml:space="preserve"> (</t>
    </r>
    <r>
      <rPr>
        <sz val="20"/>
        <color rgb="FF404040"/>
        <rFont val="宋体"/>
        <charset val="134"/>
      </rPr>
      <t>元</t>
    </r>
    <r>
      <rPr>
        <sz val="20"/>
        <color rgb="FF404040"/>
        <rFont val="Segoe UI"/>
        <charset val="134"/>
      </rPr>
      <t>)</t>
    </r>
  </si>
  <si>
    <r>
      <rPr>
        <sz val="20"/>
        <color rgb="FF404040"/>
        <rFont val="Segoe UI"/>
        <charset val="134"/>
      </rPr>
      <t>1</t>
    </r>
    <r>
      <rPr>
        <sz val="20"/>
        <color rgb="FF404040"/>
        <rFont val="宋体"/>
        <charset val="134"/>
      </rPr>
      <t>月</t>
    </r>
  </si>
  <si>
    <t>42500</t>
  </si>
  <si>
    <r>
      <rPr>
        <sz val="20"/>
        <color rgb="FF404040"/>
        <rFont val="Segoe UI"/>
        <charset val="134"/>
      </rPr>
      <t>2</t>
    </r>
    <r>
      <rPr>
        <sz val="20"/>
        <color rgb="FF404040"/>
        <rFont val="宋体"/>
        <charset val="134"/>
      </rPr>
      <t>月</t>
    </r>
  </si>
  <si>
    <t>45000</t>
  </si>
  <si>
    <r>
      <rPr>
        <sz val="20"/>
        <color rgb="FF404040"/>
        <rFont val="Segoe UI"/>
        <charset val="134"/>
      </rPr>
      <t>3</t>
    </r>
    <r>
      <rPr>
        <sz val="20"/>
        <color rgb="FF404040"/>
        <rFont val="宋体"/>
        <charset val="134"/>
      </rPr>
      <t>月</t>
    </r>
  </si>
  <si>
    <t>466500</t>
  </si>
  <si>
    <r>
      <rPr>
        <sz val="20"/>
        <color rgb="FF404040"/>
        <rFont val="Segoe UI"/>
        <charset val="134"/>
      </rPr>
      <t>4</t>
    </r>
    <r>
      <rPr>
        <sz val="20"/>
        <color rgb="FF404040"/>
        <rFont val="宋体"/>
        <charset val="134"/>
      </rPr>
      <t>月</t>
    </r>
  </si>
  <si>
    <t>47000</t>
  </si>
  <si>
    <r>
      <rPr>
        <sz val="20"/>
        <color rgb="FF404040"/>
        <rFont val="Segoe UI"/>
        <charset val="134"/>
      </rPr>
      <t>5</t>
    </r>
    <r>
      <rPr>
        <sz val="20"/>
        <color rgb="FF404040"/>
        <rFont val="宋体"/>
        <charset val="134"/>
      </rPr>
      <t>月</t>
    </r>
  </si>
  <si>
    <t>48000</t>
  </si>
  <si>
    <r>
      <rPr>
        <sz val="20"/>
        <color rgb="FF404040"/>
        <rFont val="Segoe UI"/>
        <charset val="134"/>
      </rPr>
      <t>6</t>
    </r>
    <r>
      <rPr>
        <sz val="20"/>
        <color rgb="FF404040"/>
        <rFont val="宋体"/>
        <charset val="134"/>
      </rPr>
      <t>月</t>
    </r>
  </si>
  <si>
    <t>46000</t>
  </si>
  <si>
    <r>
      <rPr>
        <sz val="20"/>
        <color rgb="FF404040"/>
        <rFont val="Segoe UI"/>
        <charset val="134"/>
      </rPr>
      <t>7</t>
    </r>
    <r>
      <rPr>
        <sz val="20"/>
        <color rgb="FF404040"/>
        <rFont val="宋体"/>
        <charset val="134"/>
      </rPr>
      <t>月</t>
    </r>
  </si>
  <si>
    <t>49500</t>
  </si>
  <si>
    <r>
      <rPr>
        <sz val="20"/>
        <color rgb="FF404040"/>
        <rFont val="Segoe UI"/>
        <charset val="134"/>
      </rPr>
      <t>8</t>
    </r>
    <r>
      <rPr>
        <sz val="20"/>
        <color rgb="FF404040"/>
        <rFont val="宋体"/>
        <charset val="134"/>
      </rPr>
      <t>月</t>
    </r>
  </si>
  <si>
    <t>50000</t>
  </si>
  <si>
    <r>
      <rPr>
        <sz val="20"/>
        <color rgb="FF404040"/>
        <rFont val="Segoe UI"/>
        <charset val="134"/>
      </rPr>
      <t>9</t>
    </r>
    <r>
      <rPr>
        <sz val="20"/>
        <color rgb="FF404040"/>
        <rFont val="宋体"/>
        <charset val="134"/>
      </rPr>
      <t>月</t>
    </r>
  </si>
  <si>
    <t>51000</t>
  </si>
  <si>
    <r>
      <rPr>
        <sz val="20"/>
        <color rgb="FF404040"/>
        <rFont val="Segoe UI"/>
        <charset val="134"/>
      </rPr>
      <t>10</t>
    </r>
    <r>
      <rPr>
        <sz val="20"/>
        <color rgb="FF404040"/>
        <rFont val="宋体"/>
        <charset val="134"/>
      </rPr>
      <t>月</t>
    </r>
  </si>
  <si>
    <t>52500</t>
  </si>
  <si>
    <r>
      <rPr>
        <sz val="20"/>
        <color rgb="FF404040"/>
        <rFont val="Segoe UI"/>
        <charset val="134"/>
      </rPr>
      <t>11</t>
    </r>
    <r>
      <rPr>
        <sz val="20"/>
        <color rgb="FF404040"/>
        <rFont val="宋体"/>
        <charset val="134"/>
      </rPr>
      <t>月</t>
    </r>
  </si>
  <si>
    <t>53500</t>
  </si>
  <si>
    <r>
      <rPr>
        <sz val="20"/>
        <color rgb="FF404040"/>
        <rFont val="Segoe UI"/>
        <charset val="134"/>
      </rPr>
      <t>12</t>
    </r>
    <r>
      <rPr>
        <sz val="20"/>
        <color rgb="FF404040"/>
        <rFont val="宋体"/>
        <charset val="134"/>
      </rPr>
      <t>月</t>
    </r>
  </si>
  <si>
    <t>48500</t>
  </si>
  <si>
    <t>580000</t>
  </si>
  <si>
    <t>参数表</t>
  </si>
  <si>
    <t>参数名称</t>
  </si>
  <si>
    <t>值</t>
  </si>
  <si>
    <t>说明</t>
  </si>
  <si>
    <t>间接费率</t>
  </si>
  <si>
    <t>研发间接费率</t>
  </si>
  <si>
    <t>预备费率</t>
  </si>
  <si>
    <t>风险预备金率</t>
  </si>
  <si>
    <t>设备加计比例</t>
  </si>
  <si>
    <t>税收优惠政策</t>
  </si>
  <si>
    <t>人工加计比例</t>
  </si>
  <si>
    <t>其他费用上限</t>
  </si>
  <si>
    <t>研发费用占比</t>
  </si>
  <si>
    <t>预警阈值</t>
  </si>
  <si>
    <t>支出预警比例</t>
  </si>
  <si>
    <t>研发场地租赁</t>
  </si>
  <si>
    <t>场地类型</t>
  </si>
  <si>
    <t>面积 (m2)</t>
  </si>
  <si>
    <t>月租金 (万元/m2)</t>
  </si>
  <si>
    <t>月数</t>
  </si>
  <si>
    <t>金额 (万元)</t>
  </si>
  <si>
    <t>研发实验室</t>
  </si>
  <si>
    <t>无形资产摊销明细计算表</t>
  </si>
  <si>
    <t>无形资产名称</t>
  </si>
  <si>
    <t>总成本（万元）</t>
  </si>
  <si>
    <t>摊销年限</t>
  </si>
  <si>
    <t>年摊销额（万元）</t>
  </si>
  <si>
    <t>专利技术</t>
  </si>
  <si>
    <t>试制模具开发费明细计算表</t>
  </si>
  <si>
    <t>项目</t>
  </si>
  <si>
    <t>单价（千元）</t>
  </si>
  <si>
    <t>数量</t>
  </si>
  <si>
    <t>金额（千元）</t>
  </si>
  <si>
    <t>模具设计费</t>
  </si>
  <si>
    <t>材料采购</t>
  </si>
  <si>
    <t>加工制造费</t>
  </si>
  <si>
    <t>成果验收费用明细计算表</t>
  </si>
  <si>
    <t>测试认证费</t>
  </si>
  <si>
    <t>第三方机构测试费用</t>
  </si>
  <si>
    <t>专家评审费</t>
  </si>
  <si>
    <t>验收会议专家劳务费</t>
  </si>
  <si>
    <t>报告编制费</t>
  </si>
  <si>
    <t>验收文档编写和印刷费</t>
  </si>
  <si>
    <t>其他研发费用明细计算表</t>
  </si>
  <si>
    <t>费用类型</t>
  </si>
  <si>
    <t>水电分摊费</t>
  </si>
  <si>
    <t>管理费用表</t>
  </si>
  <si>
    <t>培训分摊费</t>
  </si>
  <si>
    <t>办公用品费</t>
  </si>
  <si>
    <t>其他杂费</t>
  </si>
  <si>
    <t>分摊项目</t>
  </si>
  <si>
    <t>金额</t>
  </si>
  <si>
    <t>季度</t>
  </si>
  <si>
    <t>ADM001</t>
  </si>
  <si>
    <t>水电费</t>
  </si>
  <si>
    <t>研发分摊</t>
  </si>
  <si>
    <t>ADM002</t>
  </si>
  <si>
    <t>办公费</t>
  </si>
  <si>
    <t>行政分摊</t>
  </si>
  <si>
    <t>ADM003</t>
  </si>
  <si>
    <t>物业费</t>
  </si>
  <si>
    <t>ADM004</t>
  </si>
  <si>
    <t>差旅费</t>
  </si>
  <si>
    <t>销售分摊</t>
  </si>
  <si>
    <t>ADM005</t>
  </si>
  <si>
    <t>培训费</t>
  </si>
  <si>
    <t>ADM006</t>
  </si>
  <si>
    <t>咨询费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</si>
</sst>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7" formatCode="&quot;￥&quot;#,##0.00;&quot;￥&quot;\-#,##0.00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</numFmts>
  <fonts count="36">
    <font>
      <sz val="11"/>
      <color theme="1"/>
      <name val="宋体"/>
      <charset val="134"/>
      <scheme val="minor"/>
    </font>
    <font>
      <sz val="36"/>
      <color theme="1"/>
      <name val="宋体"/>
      <charset val="134"/>
      <scheme val="minor"/>
    </font>
    <font>
      <sz val="26"/>
      <color theme="1"/>
      <name val="宋体"/>
      <charset val="134"/>
      <scheme val="minor"/>
    </font>
    <font>
      <sz val="20"/>
      <color rgb="FF404040"/>
      <name val="宋体"/>
      <charset val="134"/>
    </font>
    <font>
      <sz val="20"/>
      <color rgb="FF404040"/>
      <name val="Segoe UI"/>
      <charset val="134"/>
    </font>
    <font>
      <sz val="28"/>
      <color theme="1"/>
      <name val="宋体"/>
      <charset val="134"/>
      <scheme val="minor"/>
    </font>
    <font>
      <sz val="16"/>
      <color rgb="FF404040"/>
      <name val="宋体"/>
      <charset val="134"/>
    </font>
    <font>
      <sz val="16"/>
      <color rgb="FF404040"/>
      <name val="Segoe UI"/>
      <charset val="134"/>
    </font>
    <font>
      <sz val="20"/>
      <color theme="1"/>
      <name val="宋体"/>
      <charset val="134"/>
      <scheme val="minor"/>
    </font>
    <font>
      <sz val="24"/>
      <color theme="1"/>
      <name val="宋体"/>
      <charset val="134"/>
      <scheme val="minor"/>
    </font>
    <font>
      <sz val="18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sz val="48"/>
      <color theme="1"/>
      <name val="宋体"/>
      <charset val="134"/>
      <scheme val="minor"/>
    </font>
    <font>
      <sz val="18"/>
      <color rgb="FF494949"/>
      <name val="宋体"/>
      <charset val="134"/>
    </font>
    <font>
      <sz val="18"/>
      <color rgb="FF494949"/>
      <name val="Courier New"/>
      <charset val="134"/>
    </font>
    <font>
      <b/>
      <sz val="72"/>
      <color theme="1"/>
      <name val="宋体"/>
      <charset val="134"/>
      <scheme val="minor"/>
    </font>
    <font>
      <u/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0.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4" borderId="12" applyNumberFormat="0" applyFon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3" fillId="0" borderId="13" applyNumberFormat="0" applyFill="0" applyAlignment="0" applyProtection="0">
      <alignment vertical="center"/>
    </xf>
    <xf numFmtId="0" fontId="24" fillId="0" borderId="14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5" borderId="15" applyNumberFormat="0" applyAlignment="0" applyProtection="0">
      <alignment vertical="center"/>
    </xf>
    <xf numFmtId="0" fontId="26" fillId="6" borderId="16" applyNumberFormat="0" applyAlignment="0" applyProtection="0">
      <alignment vertical="center"/>
    </xf>
    <xf numFmtId="0" fontId="27" fillId="6" borderId="15" applyNumberFormat="0" applyAlignment="0" applyProtection="0">
      <alignment vertical="center"/>
    </xf>
    <xf numFmtId="0" fontId="28" fillId="7" borderId="17" applyNumberFormat="0" applyAlignment="0" applyProtection="0">
      <alignment vertical="center"/>
    </xf>
    <xf numFmtId="0" fontId="29" fillId="0" borderId="18" applyNumberFormat="0" applyFill="0" applyAlignment="0" applyProtection="0">
      <alignment vertical="center"/>
    </xf>
    <xf numFmtId="0" fontId="30" fillId="0" borderId="19" applyNumberFormat="0" applyFill="0" applyAlignment="0" applyProtection="0">
      <alignment vertical="center"/>
    </xf>
    <xf numFmtId="0" fontId="31" fillId="8" borderId="0" applyNumberFormat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4" fillId="31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</cellStyleXfs>
  <cellXfs count="62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/>
    </xf>
    <xf numFmtId="176" fontId="7" fillId="3" borderId="2" xfId="0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58" fontId="0" fillId="0" borderId="0" xfId="0" applyNumberFormat="1">
      <alignment vertical="center"/>
    </xf>
    <xf numFmtId="0" fontId="11" fillId="0" borderId="0" xfId="0" applyFont="1" applyAlignment="1">
      <alignment horizontal="center" vertical="center"/>
    </xf>
    <xf numFmtId="0" fontId="11" fillId="0" borderId="0" xfId="0" applyFont="1">
      <alignment vertical="center"/>
    </xf>
    <xf numFmtId="0" fontId="5" fillId="2" borderId="0" xfId="0" applyFont="1" applyFill="1" applyAlignment="1">
      <alignment horizontal="center" vertical="center"/>
    </xf>
    <xf numFmtId="0" fontId="12" fillId="2" borderId="3" xfId="0" applyFon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3" fillId="3" borderId="3" xfId="0" applyFont="1" applyFill="1" applyBorder="1" applyAlignment="1">
      <alignment horizontal="left" vertical="center" wrapText="1"/>
    </xf>
    <xf numFmtId="0" fontId="3" fillId="3" borderId="4" xfId="0" applyFont="1" applyFill="1" applyBorder="1" applyAlignment="1">
      <alignment horizontal="left" vertical="center" wrapText="1"/>
    </xf>
    <xf numFmtId="0" fontId="3" fillId="3" borderId="5" xfId="0" applyFont="1" applyFill="1" applyBorder="1" applyAlignment="1">
      <alignment horizontal="left" vertical="center" wrapText="1"/>
    </xf>
    <xf numFmtId="3" fontId="4" fillId="3" borderId="2" xfId="0" applyNumberFormat="1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7" fontId="11" fillId="0" borderId="1" xfId="0" applyNumberFormat="1" applyFont="1" applyBorder="1" applyAlignment="1">
      <alignment horizontal="center" vertical="center"/>
    </xf>
    <xf numFmtId="3" fontId="11" fillId="0" borderId="1" xfId="0" applyNumberFormat="1" applyFont="1" applyBorder="1" applyAlignment="1">
      <alignment horizontal="center" vertical="center"/>
    </xf>
    <xf numFmtId="7" fontId="1" fillId="0" borderId="1" xfId="0" applyNumberFormat="1" applyFont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9" fontId="14" fillId="0" borderId="1" xfId="0" applyNumberFormat="1" applyFont="1" applyBorder="1" applyAlignment="1">
      <alignment horizontal="center" vertical="center"/>
    </xf>
    <xf numFmtId="10" fontId="14" fillId="0" borderId="1" xfId="0" applyNumberFormat="1" applyFont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14" fontId="10" fillId="0" borderId="1" xfId="0" applyNumberFormat="1" applyFont="1" applyBorder="1" applyAlignment="1">
      <alignment horizontal="center" vertical="center"/>
    </xf>
    <xf numFmtId="0" fontId="10" fillId="0" borderId="11" xfId="0" applyFont="1" applyBorder="1" applyAlignment="1">
      <alignment vertical="center"/>
    </xf>
    <xf numFmtId="0" fontId="10" fillId="0" borderId="11" xfId="0" applyFont="1" applyBorder="1" applyAlignment="1">
      <alignment horizontal="center" vertical="center"/>
    </xf>
    <xf numFmtId="0" fontId="15" fillId="2" borderId="8" xfId="0" applyFont="1" applyFill="1" applyBorder="1" applyAlignment="1">
      <alignment horizontal="center" vertical="center"/>
    </xf>
    <xf numFmtId="0" fontId="15" fillId="2" borderId="9" xfId="0" applyFont="1" applyFill="1" applyBorder="1" applyAlignment="1">
      <alignment horizontal="center" vertical="center"/>
    </xf>
    <xf numFmtId="0" fontId="15" fillId="2" borderId="10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8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9" fontId="5" fillId="0" borderId="1" xfId="0" applyNumberFormat="1" applyFont="1" applyBorder="1" applyAlignment="1">
      <alignment horizontal="center" vertical="center"/>
    </xf>
    <xf numFmtId="0" fontId="5" fillId="0" borderId="1" xfId="0" applyNumberFormat="1" applyFont="1" applyBorder="1" applyAlignment="1">
      <alignment horizontal="center" vertical="center"/>
    </xf>
    <xf numFmtId="0" fontId="0" fillId="0" borderId="1" xfId="0" applyBorder="1">
      <alignment vertical="center"/>
    </xf>
    <xf numFmtId="0" fontId="5" fillId="0" borderId="8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16" fillId="0" borderId="0" xfId="0" applyFont="1">
      <alignment vertical="center"/>
    </xf>
    <xf numFmtId="0" fontId="5" fillId="0" borderId="1" xfId="0" applyNumberFormat="1" applyFont="1" applyFill="1" applyBorder="1" applyAlignment="1" applyProtection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7" Type="http://schemas.openxmlformats.org/officeDocument/2006/relationships/styles" Target="styles.xml"/><Relationship Id="rId16" Type="http://schemas.openxmlformats.org/officeDocument/2006/relationships/sharedStrings" Target="sharedStrings.xml"/><Relationship Id="rId15" Type="http://schemas.openxmlformats.org/officeDocument/2006/relationships/theme" Target="theme/theme1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4"/>
  <sheetViews>
    <sheetView tabSelected="1" zoomScale="40" zoomScaleNormal="40" topLeftCell="A5" workbookViewId="0">
      <selection activeCell="F19" sqref="F19"/>
    </sheetView>
  </sheetViews>
  <sheetFormatPr defaultColWidth="9" defaultRowHeight="50" customHeight="1"/>
  <cols>
    <col min="1" max="1" width="79.6018518518518" customWidth="1"/>
    <col min="2" max="2" width="80.2037037037037" customWidth="1"/>
    <col min="3" max="6" width="58.7777777777778" customWidth="1"/>
  </cols>
  <sheetData>
    <row r="1" ht="120" customHeight="1" spans="1:6">
      <c r="A1" s="43" t="s">
        <v>0</v>
      </c>
      <c r="B1" s="44"/>
      <c r="C1" s="44"/>
      <c r="D1" s="44"/>
      <c r="E1" s="44"/>
      <c r="F1" s="45"/>
    </row>
    <row r="2" ht="60" customHeight="1" spans="1:6">
      <c r="A2" s="46" t="s">
        <v>1</v>
      </c>
      <c r="B2" s="47"/>
      <c r="C2" s="48"/>
      <c r="D2" s="47"/>
      <c r="E2" s="49"/>
      <c r="F2" s="50"/>
    </row>
    <row r="3" ht="60" customHeight="1" spans="1:6">
      <c r="A3" s="46" t="s">
        <v>2</v>
      </c>
      <c r="B3" s="47"/>
      <c r="C3" s="47"/>
      <c r="D3" s="47"/>
      <c r="E3" s="47"/>
      <c r="F3" s="48"/>
    </row>
    <row r="4" ht="60" customHeight="1" spans="1:6">
      <c r="A4" s="51" t="s">
        <v>3</v>
      </c>
      <c r="B4" s="47"/>
      <c r="C4" s="47"/>
      <c r="D4" s="47"/>
      <c r="E4" s="47"/>
      <c r="F4" s="48"/>
    </row>
    <row r="5" ht="60" customHeight="1" spans="1:6">
      <c r="A5" s="52" t="s">
        <v>4</v>
      </c>
      <c r="B5" s="52" t="str">
        <f ca="1">TEXT(RIGHT(YEAR(TODAY()),2)&amp;"RD"&amp;ROW()-3,"000")</f>
        <v>25RD2</v>
      </c>
      <c r="C5" s="52"/>
      <c r="D5" s="52"/>
      <c r="E5" s="52"/>
      <c r="F5" s="52"/>
    </row>
    <row r="6" ht="60" customHeight="1" spans="1:6">
      <c r="A6" s="52" t="s">
        <v>5</v>
      </c>
      <c r="B6" s="52"/>
      <c r="C6" s="52" t="s">
        <v>6</v>
      </c>
      <c r="D6" s="49"/>
      <c r="E6" s="49"/>
      <c r="F6" s="50"/>
    </row>
    <row r="7" ht="60" customHeight="1" spans="1:6">
      <c r="A7" s="52" t="s">
        <v>7</v>
      </c>
      <c r="B7" s="61">
        <v>1363</v>
      </c>
      <c r="C7" s="52" t="s">
        <v>8</v>
      </c>
      <c r="D7" s="52"/>
      <c r="E7" s="52" t="s">
        <v>9</v>
      </c>
      <c r="F7" s="52"/>
    </row>
    <row r="8" ht="60" customHeight="1" spans="1:6">
      <c r="A8" s="53" t="s">
        <v>10</v>
      </c>
      <c r="B8" s="49"/>
      <c r="C8" s="49"/>
      <c r="D8" s="49"/>
      <c r="E8" s="49"/>
      <c r="F8" s="50"/>
    </row>
    <row r="9" ht="60" customHeight="1" spans="1:6">
      <c r="A9" s="52" t="s">
        <v>11</v>
      </c>
      <c r="B9" s="52" t="s">
        <v>12</v>
      </c>
      <c r="C9" s="52" t="s">
        <v>13</v>
      </c>
      <c r="D9" s="52" t="s">
        <v>14</v>
      </c>
      <c r="E9" s="52" t="s">
        <v>15</v>
      </c>
      <c r="F9" s="52" t="s">
        <v>16</v>
      </c>
    </row>
    <row r="10" ht="60" customHeight="1" spans="1:10">
      <c r="A10" s="54" t="s">
        <v>17</v>
      </c>
      <c r="B10" s="54" t="s">
        <v>18</v>
      </c>
      <c r="C10" s="55">
        <v>0.65</v>
      </c>
      <c r="D10" s="56">
        <f>SUMIF(设备采购表!C:C,设备采购表!C3,设备采购表!E:E)</f>
        <v>980</v>
      </c>
      <c r="E10" s="54"/>
      <c r="F10" s="54" t="str">
        <f>IF(D10&gt;$B$7,"⚠️超进度","✅")</f>
        <v>✅</v>
      </c>
      <c r="J10" s="60"/>
    </row>
    <row r="11" ht="60" customHeight="1" spans="1:6">
      <c r="A11" s="54" t="s">
        <v>19</v>
      </c>
      <c r="B11" s="54" t="s">
        <v>20</v>
      </c>
      <c r="C11" s="55">
        <v>0.03</v>
      </c>
      <c r="D11" s="56">
        <f>SUMIF(材料清单表!C:C,材料清单表!C4,材料清单表!F:F)</f>
        <v>40.803</v>
      </c>
      <c r="E11" s="54"/>
      <c r="F11" s="54" t="str">
        <f t="shared" ref="F11:F19" si="0">IF(D11&gt;$B$7,"⚠️超进度","✅")</f>
        <v>✅</v>
      </c>
    </row>
    <row r="12" ht="60" customHeight="1" spans="1:6">
      <c r="A12" s="54" t="s">
        <v>21</v>
      </c>
      <c r="B12" s="54" t="s">
        <v>22</v>
      </c>
      <c r="C12" s="55">
        <v>0.15</v>
      </c>
      <c r="D12" s="56">
        <f>VLOOKUP(研发人员薪资成本表!A15,研发人员薪资成本表!A1:J17,10)/10000</f>
        <v>390.1864</v>
      </c>
      <c r="E12" s="54"/>
      <c r="F12" s="54" t="str">
        <f t="shared" si="0"/>
        <v>✅</v>
      </c>
    </row>
    <row r="13" ht="60" customHeight="1" spans="1:6">
      <c r="A13" s="54" t="s">
        <v>23</v>
      </c>
      <c r="B13" s="54" t="s">
        <v>24</v>
      </c>
      <c r="C13" s="55">
        <v>0.02</v>
      </c>
      <c r="D13" s="56">
        <f>VLOOKUP(等离子冷床炉折旧表!A20,等离子冷床炉折旧表!A1:H20,6)/10000</f>
        <v>27</v>
      </c>
      <c r="E13" s="54"/>
      <c r="F13" s="54" t="str">
        <f t="shared" si="0"/>
        <v>✅</v>
      </c>
    </row>
    <row r="14" ht="60" customHeight="1" spans="1:6">
      <c r="A14" s="54" t="s">
        <v>25</v>
      </c>
      <c r="B14" s="54" t="s">
        <v>26</v>
      </c>
      <c r="C14" s="55">
        <v>0.02</v>
      </c>
      <c r="D14" s="56">
        <f>VLOOKUP(研发场地租赁!A3,研发场地租赁!A1:F3,6)</f>
        <v>27.072</v>
      </c>
      <c r="E14" s="54"/>
      <c r="F14" s="54" t="str">
        <f t="shared" si="0"/>
        <v>✅</v>
      </c>
    </row>
    <row r="15" ht="60" customHeight="1" spans="1:6">
      <c r="A15" s="54" t="s">
        <v>27</v>
      </c>
      <c r="B15" s="54" t="s">
        <v>28</v>
      </c>
      <c r="C15" s="55">
        <v>0.03</v>
      </c>
      <c r="D15" s="56">
        <f>SUMIF(无形资产摊销明细计算表!B:B,无形资产摊销明细计算表!B3,无形资产摊销明细计算表!E:E)</f>
        <v>39.5714285714286</v>
      </c>
      <c r="E15" s="54"/>
      <c r="F15" s="54" t="str">
        <f t="shared" si="0"/>
        <v>✅</v>
      </c>
    </row>
    <row r="16" ht="60" customHeight="1" spans="1:6">
      <c r="A16" s="54" t="s">
        <v>29</v>
      </c>
      <c r="B16" s="54" t="s">
        <v>30</v>
      </c>
      <c r="C16" s="55">
        <v>0.06</v>
      </c>
      <c r="D16" s="56">
        <f>VLOOKUP(试制模具开发费明细计算表!A6,试制模具开发费明细计算表!A1:E6,5)</f>
        <v>81.78</v>
      </c>
      <c r="E16" s="54"/>
      <c r="F16" s="54" t="str">
        <f t="shared" si="0"/>
        <v>✅</v>
      </c>
    </row>
    <row r="17" ht="60" customHeight="1" spans="1:6">
      <c r="A17" s="54" t="s">
        <v>31</v>
      </c>
      <c r="B17" s="54" t="s">
        <v>32</v>
      </c>
      <c r="C17" s="55">
        <v>0.02</v>
      </c>
      <c r="D17" s="56">
        <f>VLOOKUP(成果验收费用明细计算表!A6,成果验收费用明细计算表!A1:D6,3)</f>
        <v>27.26</v>
      </c>
      <c r="E17" s="54"/>
      <c r="F17" s="54" t="str">
        <f t="shared" si="0"/>
        <v>✅</v>
      </c>
    </row>
    <row r="18" ht="60" customHeight="1" spans="1:6">
      <c r="A18" s="54" t="s">
        <v>33</v>
      </c>
      <c r="B18" s="54" t="s">
        <v>34</v>
      </c>
      <c r="C18" s="55">
        <v>0.02</v>
      </c>
      <c r="D18" s="56">
        <f>VLOOKUP(其他研发费用明细计算表!A7,其他研发费用明细计算表!A1:D7,3)</f>
        <v>27.26</v>
      </c>
      <c r="E18" s="54"/>
      <c r="F18" s="54" t="str">
        <f t="shared" si="0"/>
        <v>✅</v>
      </c>
    </row>
    <row r="19" ht="60" customHeight="1" spans="1:6">
      <c r="A19" s="54" t="s">
        <v>35</v>
      </c>
      <c r="B19" s="54">
        <f>SUM(A9:A17)</f>
        <v>0</v>
      </c>
      <c r="C19" s="54">
        <f>SUM(B9:B17)</f>
        <v>0</v>
      </c>
      <c r="D19" s="56">
        <f>SUM(D10:D18)</f>
        <v>1640.93282857143</v>
      </c>
      <c r="E19" s="54"/>
      <c r="F19" s="54" t="str">
        <f>IF(D19&gt;$B$7,"⚠️超进度","✅")</f>
        <v>⚠️超进度</v>
      </c>
    </row>
    <row r="20" ht="60" customHeight="1" spans="1:6">
      <c r="A20" s="54" t="s">
        <v>36</v>
      </c>
      <c r="B20" s="54"/>
      <c r="C20" s="54"/>
      <c r="D20" s="54"/>
      <c r="E20" s="54"/>
      <c r="F20" s="54"/>
    </row>
    <row r="21" ht="60" customHeight="1" spans="1:6">
      <c r="A21" s="54" t="s">
        <v>37</v>
      </c>
      <c r="B21" s="54"/>
      <c r="C21" s="54"/>
      <c r="D21" s="54"/>
      <c r="E21" s="54"/>
      <c r="F21" s="54"/>
    </row>
    <row r="22" ht="60" customHeight="1" spans="1:6">
      <c r="A22" s="54" t="s">
        <v>38</v>
      </c>
      <c r="B22" s="55">
        <v>1.2</v>
      </c>
      <c r="C22" s="54"/>
      <c r="D22" s="54"/>
      <c r="E22" s="54"/>
      <c r="F22" s="54"/>
    </row>
    <row r="23" ht="60" customHeight="1" spans="1:6">
      <c r="A23" s="54" t="s">
        <v>39</v>
      </c>
      <c r="B23" s="54"/>
      <c r="C23" s="54"/>
      <c r="D23" s="54"/>
      <c r="E23" s="54"/>
      <c r="F23" s="54"/>
    </row>
    <row r="24" ht="60" customHeight="1" spans="1:6">
      <c r="A24" s="54" t="s">
        <v>40</v>
      </c>
      <c r="B24" s="54" t="s">
        <v>41</v>
      </c>
      <c r="C24" s="58" t="s">
        <v>42</v>
      </c>
      <c r="D24" s="58"/>
      <c r="E24" s="58" t="s">
        <v>43</v>
      </c>
      <c r="F24" s="59"/>
    </row>
  </sheetData>
  <mergeCells count="8">
    <mergeCell ref="A1:F1"/>
    <mergeCell ref="A2:C2"/>
    <mergeCell ref="E2:F2"/>
    <mergeCell ref="A3:F3"/>
    <mergeCell ref="A4:F4"/>
    <mergeCell ref="E6:F6"/>
    <mergeCell ref="A8:F8"/>
    <mergeCell ref="E24:F24"/>
  </mergeCells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"/>
  <sheetViews>
    <sheetView workbookViewId="0">
      <selection activeCell="C11" sqref="C11:C12"/>
    </sheetView>
  </sheetViews>
  <sheetFormatPr defaultColWidth="8.88888888888889" defaultRowHeight="14.4" outlineLevelRow="4" outlineLevelCol="4"/>
  <cols>
    <col min="1" max="1" width="15.7777777777778" customWidth="1"/>
    <col min="2" max="2" width="28.3333333333333" customWidth="1"/>
    <col min="3" max="3" width="30.8888888888889" customWidth="1"/>
    <col min="4" max="4" width="15.7777777777778" customWidth="1"/>
    <col min="5" max="5" width="26.6666666666667" customWidth="1"/>
  </cols>
  <sheetData>
    <row r="1" ht="58" customHeight="1" spans="1:5">
      <c r="A1" s="6" t="s">
        <v>194</v>
      </c>
      <c r="B1" s="6"/>
      <c r="C1" s="6"/>
      <c r="D1" s="6"/>
      <c r="E1" s="6"/>
    </row>
    <row r="2" ht="58" customHeight="1" spans="1:5">
      <c r="A2" s="7" t="s">
        <v>59</v>
      </c>
      <c r="B2" s="7" t="s">
        <v>195</v>
      </c>
      <c r="C2" s="7" t="s">
        <v>196</v>
      </c>
      <c r="D2" s="7" t="s">
        <v>197</v>
      </c>
      <c r="E2" s="7" t="s">
        <v>198</v>
      </c>
    </row>
    <row r="3" ht="58" customHeight="1" spans="1:5">
      <c r="A3" s="8">
        <v>1</v>
      </c>
      <c r="B3" s="7" t="s">
        <v>199</v>
      </c>
      <c r="C3" s="8">
        <v>70</v>
      </c>
      <c r="D3" s="8">
        <v>10</v>
      </c>
      <c r="E3" s="10">
        <f>C3/D3</f>
        <v>7</v>
      </c>
    </row>
    <row r="4" ht="58" customHeight="1" spans="1:5">
      <c r="A4" s="8">
        <v>2</v>
      </c>
      <c r="B4" s="7" t="s">
        <v>199</v>
      </c>
      <c r="C4" s="8">
        <v>120</v>
      </c>
      <c r="D4" s="8">
        <v>5</v>
      </c>
      <c r="E4" s="10">
        <f>C4/D4</f>
        <v>24</v>
      </c>
    </row>
    <row r="5" ht="58" customHeight="1" spans="1:5">
      <c r="A5" s="8">
        <v>3</v>
      </c>
      <c r="B5" s="7" t="s">
        <v>199</v>
      </c>
      <c r="C5" s="8">
        <v>60</v>
      </c>
      <c r="D5" s="8">
        <v>7</v>
      </c>
      <c r="E5" s="10">
        <f>C5/D5</f>
        <v>8.57142857142857</v>
      </c>
    </row>
  </sheetData>
  <mergeCells count="1">
    <mergeCell ref="A1:E1"/>
  </mergeCell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"/>
  <sheetViews>
    <sheetView workbookViewId="0">
      <selection activeCell="E7" sqref="E7"/>
    </sheetView>
  </sheetViews>
  <sheetFormatPr defaultColWidth="8.88888888888889" defaultRowHeight="14.4" outlineLevelRow="5" outlineLevelCol="4"/>
  <cols>
    <col min="1" max="2" width="15.7777777777778" customWidth="1"/>
    <col min="3" max="3" width="25.4444444444444" customWidth="1"/>
    <col min="4" max="4" width="15.7777777777778" customWidth="1"/>
    <col min="5" max="5" width="23" customWidth="1"/>
  </cols>
  <sheetData>
    <row r="1" ht="58" customHeight="1" spans="1:5">
      <c r="A1" s="9" t="s">
        <v>200</v>
      </c>
      <c r="B1" s="9"/>
      <c r="C1" s="9"/>
      <c r="D1" s="9"/>
      <c r="E1" s="9"/>
    </row>
    <row r="2" ht="58" customHeight="1" spans="1:5">
      <c r="A2" s="4" t="s">
        <v>59</v>
      </c>
      <c r="B2" s="4" t="s">
        <v>201</v>
      </c>
      <c r="C2" s="4" t="s">
        <v>202</v>
      </c>
      <c r="D2" s="4" t="s">
        <v>203</v>
      </c>
      <c r="E2" s="4" t="s">
        <v>204</v>
      </c>
    </row>
    <row r="3" ht="58" customHeight="1" spans="1:5">
      <c r="A3" s="5">
        <v>1</v>
      </c>
      <c r="B3" s="4" t="s">
        <v>205</v>
      </c>
      <c r="C3" s="5">
        <v>25</v>
      </c>
      <c r="D3" s="5">
        <v>1</v>
      </c>
      <c r="E3" s="5">
        <v>25</v>
      </c>
    </row>
    <row r="4" ht="58" customHeight="1" spans="1:5">
      <c r="A4" s="5">
        <v>2</v>
      </c>
      <c r="B4" s="4" t="s">
        <v>206</v>
      </c>
      <c r="C4" s="5">
        <v>15</v>
      </c>
      <c r="D4" s="5">
        <v>2</v>
      </c>
      <c r="E4" s="5">
        <v>30</v>
      </c>
    </row>
    <row r="5" ht="58" customHeight="1" spans="1:5">
      <c r="A5" s="5">
        <v>3</v>
      </c>
      <c r="B5" s="4" t="s">
        <v>207</v>
      </c>
      <c r="C5" s="5">
        <v>13.39</v>
      </c>
      <c r="D5" s="5">
        <v>2</v>
      </c>
      <c r="E5" s="5">
        <v>26.78</v>
      </c>
    </row>
    <row r="6" ht="58" customHeight="1" spans="1:5">
      <c r="A6" s="4" t="s">
        <v>35</v>
      </c>
      <c r="B6" s="5"/>
      <c r="C6" s="5"/>
      <c r="D6" s="5"/>
      <c r="E6" s="5">
        <f>SUM(E3:E5)</f>
        <v>81.78</v>
      </c>
    </row>
  </sheetData>
  <mergeCells count="1">
    <mergeCell ref="A1:E1"/>
  </mergeCell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6"/>
  <sheetViews>
    <sheetView workbookViewId="0">
      <selection activeCell="A1" sqref="A1:D1"/>
    </sheetView>
  </sheetViews>
  <sheetFormatPr defaultColWidth="8.88888888888889" defaultRowHeight="14.4" outlineLevelRow="5" outlineLevelCol="3"/>
  <cols>
    <col min="1" max="1" width="15.7777777777778" customWidth="1"/>
    <col min="2" max="2" width="26" customWidth="1"/>
    <col min="3" max="3" width="15.7777777777778" customWidth="1"/>
    <col min="4" max="4" width="29.5555555555556" customWidth="1"/>
  </cols>
  <sheetData>
    <row r="1" ht="58" customHeight="1" spans="1:4">
      <c r="A1" s="6" t="s">
        <v>208</v>
      </c>
      <c r="B1" s="6"/>
      <c r="C1" s="6"/>
      <c r="D1" s="6"/>
    </row>
    <row r="2" ht="58" customHeight="1" spans="1:4">
      <c r="A2" s="7" t="s">
        <v>59</v>
      </c>
      <c r="B2" s="7" t="s">
        <v>201</v>
      </c>
      <c r="C2" s="7" t="s">
        <v>204</v>
      </c>
      <c r="D2" s="7" t="s">
        <v>175</v>
      </c>
    </row>
    <row r="3" ht="58" customHeight="1" spans="1:4">
      <c r="A3" s="8">
        <v>1</v>
      </c>
      <c r="B3" s="7" t="s">
        <v>209</v>
      </c>
      <c r="C3" s="8">
        <v>12</v>
      </c>
      <c r="D3" s="7" t="s">
        <v>210</v>
      </c>
    </row>
    <row r="4" ht="58" customHeight="1" spans="1:4">
      <c r="A4" s="8">
        <v>2</v>
      </c>
      <c r="B4" s="7" t="s">
        <v>211</v>
      </c>
      <c r="C4" s="8">
        <v>10</v>
      </c>
      <c r="D4" s="7" t="s">
        <v>212</v>
      </c>
    </row>
    <row r="5" ht="58" customHeight="1" spans="1:4">
      <c r="A5" s="8">
        <v>3</v>
      </c>
      <c r="B5" s="7" t="s">
        <v>213</v>
      </c>
      <c r="C5" s="8">
        <v>5.26</v>
      </c>
      <c r="D5" s="7" t="s">
        <v>214</v>
      </c>
    </row>
    <row r="6" ht="58" customHeight="1" spans="1:4">
      <c r="A6" s="7" t="s">
        <v>35</v>
      </c>
      <c r="B6" s="8"/>
      <c r="C6" s="8">
        <v>27.26</v>
      </c>
      <c r="D6" s="7"/>
    </row>
  </sheetData>
  <mergeCells count="1">
    <mergeCell ref="A1:D1"/>
  </mergeCell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7"/>
  <sheetViews>
    <sheetView workbookViewId="0">
      <selection activeCell="K15" sqref="K15"/>
    </sheetView>
  </sheetViews>
  <sheetFormatPr defaultColWidth="8.88888888888889" defaultRowHeight="14.4" outlineLevelRow="6" outlineLevelCol="3"/>
  <cols>
    <col min="1" max="1" width="15.7777777777778" customWidth="1"/>
    <col min="2" max="2" width="24.1111111111111" customWidth="1"/>
    <col min="3" max="3" width="29.4444444444444" customWidth="1"/>
    <col min="4" max="4" width="15.7777777777778" customWidth="1"/>
  </cols>
  <sheetData>
    <row r="1" ht="58" customHeight="1" spans="1:4">
      <c r="A1" s="3" t="s">
        <v>215</v>
      </c>
      <c r="B1" s="3"/>
      <c r="C1" s="3"/>
      <c r="D1" s="3"/>
    </row>
    <row r="2" ht="58" customHeight="1" spans="1:4">
      <c r="A2" s="4" t="s">
        <v>59</v>
      </c>
      <c r="B2" s="4" t="s">
        <v>216</v>
      </c>
      <c r="C2" s="4" t="s">
        <v>204</v>
      </c>
      <c r="D2" s="4" t="s">
        <v>15</v>
      </c>
    </row>
    <row r="3" ht="58" customHeight="1" spans="1:4">
      <c r="A3" s="5">
        <v>1</v>
      </c>
      <c r="B3" s="4" t="s">
        <v>217</v>
      </c>
      <c r="C3" s="5">
        <v>10</v>
      </c>
      <c r="D3" s="4" t="s">
        <v>218</v>
      </c>
    </row>
    <row r="4" ht="58" customHeight="1" spans="1:4">
      <c r="A4" s="5">
        <v>2</v>
      </c>
      <c r="B4" s="4" t="s">
        <v>219</v>
      </c>
      <c r="C4" s="5">
        <v>8</v>
      </c>
      <c r="D4" s="4" t="s">
        <v>218</v>
      </c>
    </row>
    <row r="5" ht="58" customHeight="1" spans="1:4">
      <c r="A5" s="5">
        <v>3</v>
      </c>
      <c r="B5" s="4" t="s">
        <v>220</v>
      </c>
      <c r="C5" s="5">
        <v>5</v>
      </c>
      <c r="D5" s="4"/>
    </row>
    <row r="6" ht="58" customHeight="1" spans="1:4">
      <c r="A6" s="5">
        <v>4</v>
      </c>
      <c r="B6" s="4" t="s">
        <v>221</v>
      </c>
      <c r="C6" s="5">
        <v>4.26</v>
      </c>
      <c r="D6" s="4"/>
    </row>
    <row r="7" ht="58" customHeight="1" spans="1:4">
      <c r="A7" s="4" t="s">
        <v>35</v>
      </c>
      <c r="B7" s="5"/>
      <c r="C7" s="5">
        <v>27.26</v>
      </c>
      <c r="D7" s="5"/>
    </row>
  </sheetData>
  <mergeCells count="1">
    <mergeCell ref="A1:D1"/>
  </mergeCells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"/>
  <sheetViews>
    <sheetView workbookViewId="0">
      <selection activeCell="G9" sqref="G9"/>
    </sheetView>
  </sheetViews>
  <sheetFormatPr defaultColWidth="8.88888888888889" defaultRowHeight="14.4" outlineLevelCol="4"/>
  <cols>
    <col min="1" max="5" width="18.7777777777778" customWidth="1"/>
  </cols>
  <sheetData>
    <row r="1" ht="58" customHeight="1" spans="1:5">
      <c r="A1" s="1" t="s">
        <v>218</v>
      </c>
      <c r="B1" s="1"/>
      <c r="C1" s="1"/>
      <c r="D1" s="1"/>
      <c r="E1" s="1"/>
    </row>
    <row r="2" ht="58" customHeight="1" spans="1:5">
      <c r="A2" s="1"/>
      <c r="B2" s="1"/>
      <c r="C2" s="1"/>
      <c r="D2" s="1"/>
      <c r="E2" s="1"/>
    </row>
    <row r="3" ht="58" customHeight="1" spans="1:5">
      <c r="A3" s="2" t="s">
        <v>46</v>
      </c>
      <c r="B3" s="2" t="s">
        <v>216</v>
      </c>
      <c r="C3" s="2" t="s">
        <v>222</v>
      </c>
      <c r="D3" s="2" t="s">
        <v>223</v>
      </c>
      <c r="E3" s="2" t="s">
        <v>224</v>
      </c>
    </row>
    <row r="4" ht="58" customHeight="1" spans="1:5">
      <c r="A4" s="2" t="s">
        <v>225</v>
      </c>
      <c r="B4" s="2" t="s">
        <v>226</v>
      </c>
      <c r="C4" s="2" t="s">
        <v>227</v>
      </c>
      <c r="D4" s="2">
        <v>18</v>
      </c>
      <c r="E4" s="2"/>
    </row>
    <row r="5" ht="58" customHeight="1" spans="1:5">
      <c r="A5" s="2" t="s">
        <v>228</v>
      </c>
      <c r="B5" s="2" t="s">
        <v>229</v>
      </c>
      <c r="C5" s="2" t="s">
        <v>230</v>
      </c>
      <c r="D5" s="2">
        <v>12</v>
      </c>
      <c r="E5" s="2"/>
    </row>
    <row r="6" ht="58" customHeight="1" spans="1:5">
      <c r="A6" s="2" t="s">
        <v>231</v>
      </c>
      <c r="B6" s="2" t="s">
        <v>232</v>
      </c>
      <c r="C6" s="2" t="s">
        <v>227</v>
      </c>
      <c r="D6" s="2">
        <v>22</v>
      </c>
      <c r="E6" s="2"/>
    </row>
    <row r="7" ht="58" customHeight="1" spans="1:5">
      <c r="A7" s="2" t="s">
        <v>233</v>
      </c>
      <c r="B7" s="2" t="s">
        <v>234</v>
      </c>
      <c r="C7" s="2" t="s">
        <v>235</v>
      </c>
      <c r="D7" s="2">
        <v>15</v>
      </c>
      <c r="E7" s="2"/>
    </row>
    <row r="8" ht="58" customHeight="1" spans="1:5">
      <c r="A8" s="2" t="s">
        <v>236</v>
      </c>
      <c r="B8" s="2" t="s">
        <v>237</v>
      </c>
      <c r="C8" s="2" t="s">
        <v>227</v>
      </c>
      <c r="D8" s="2">
        <v>8</v>
      </c>
      <c r="E8" s="2"/>
    </row>
    <row r="9" ht="58" customHeight="1" spans="1:5">
      <c r="A9" s="2" t="s">
        <v>238</v>
      </c>
      <c r="B9" s="2" t="s">
        <v>239</v>
      </c>
      <c r="C9" s="2" t="s">
        <v>227</v>
      </c>
      <c r="D9" s="2">
        <v>30</v>
      </c>
      <c r="E9" s="2"/>
    </row>
  </sheetData>
  <mergeCells count="1">
    <mergeCell ref="A1:E2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4"/>
  <sheetViews>
    <sheetView zoomScale="40" zoomScaleNormal="40" topLeftCell="A3" workbookViewId="0">
      <selection activeCell="G10" sqref="G10:G18"/>
    </sheetView>
  </sheetViews>
  <sheetFormatPr defaultColWidth="9" defaultRowHeight="50" customHeight="1"/>
  <cols>
    <col min="1" max="1" width="79.6018518518518" customWidth="1"/>
    <col min="2" max="2" width="80.2037037037037" hidden="1" customWidth="1"/>
    <col min="3" max="6" width="58.7777777777778" hidden="1" customWidth="1"/>
    <col min="7" max="7" width="59.4444444444444" customWidth="1"/>
  </cols>
  <sheetData>
    <row r="1" ht="120" customHeight="1" spans="1:6">
      <c r="A1" s="43" t="s">
        <v>0</v>
      </c>
      <c r="B1" s="44"/>
      <c r="C1" s="44"/>
      <c r="D1" s="44"/>
      <c r="E1" s="44"/>
      <c r="F1" s="45"/>
    </row>
    <row r="2" ht="60" customHeight="1" spans="1:6">
      <c r="A2" s="46" t="s">
        <v>1</v>
      </c>
      <c r="B2" s="47"/>
      <c r="C2" s="48"/>
      <c r="D2" s="47"/>
      <c r="E2" s="49"/>
      <c r="F2" s="50"/>
    </row>
    <row r="3" ht="60" customHeight="1" spans="1:6">
      <c r="A3" s="46" t="s">
        <v>2</v>
      </c>
      <c r="B3" s="47"/>
      <c r="C3" s="47"/>
      <c r="D3" s="47"/>
      <c r="E3" s="47"/>
      <c r="F3" s="48"/>
    </row>
    <row r="4" ht="60" customHeight="1" spans="1:6">
      <c r="A4" s="51" t="s">
        <v>3</v>
      </c>
      <c r="B4" s="47"/>
      <c r="C4" s="47"/>
      <c r="D4" s="47"/>
      <c r="E4" s="47"/>
      <c r="F4" s="48"/>
    </row>
    <row r="5" ht="60" customHeight="1" spans="1:6">
      <c r="A5" s="52" t="s">
        <v>4</v>
      </c>
      <c r="B5" s="52" t="str">
        <f ca="1">TEXT(RIGHT(YEAR(TODAY()),2)&amp;"RD"&amp;ROW()-3,"000")</f>
        <v>25RD2</v>
      </c>
      <c r="C5" s="52"/>
      <c r="D5" s="52"/>
      <c r="E5" s="52"/>
      <c r="F5" s="52"/>
    </row>
    <row r="6" ht="60" customHeight="1" spans="1:6">
      <c r="A6" s="52" t="s">
        <v>5</v>
      </c>
      <c r="B6" s="52"/>
      <c r="C6" s="52" t="s">
        <v>6</v>
      </c>
      <c r="D6" s="49"/>
      <c r="E6" s="49"/>
      <c r="F6" s="50"/>
    </row>
    <row r="7" ht="60" customHeight="1" spans="1:6">
      <c r="A7" s="52" t="s">
        <v>7</v>
      </c>
      <c r="B7" s="52">
        <v>1360</v>
      </c>
      <c r="C7" s="52" t="s">
        <v>8</v>
      </c>
      <c r="D7" s="52"/>
      <c r="E7" s="52" t="s">
        <v>9</v>
      </c>
      <c r="F7" s="52"/>
    </row>
    <row r="8" ht="60" customHeight="1" spans="1:6">
      <c r="A8" s="53" t="s">
        <v>10</v>
      </c>
      <c r="B8" s="49"/>
      <c r="C8" s="49"/>
      <c r="D8" s="49"/>
      <c r="E8" s="49"/>
      <c r="F8" s="50"/>
    </row>
    <row r="9" ht="60" customHeight="1" spans="1:7">
      <c r="A9" s="52" t="s">
        <v>11</v>
      </c>
      <c r="B9" s="52" t="s">
        <v>12</v>
      </c>
      <c r="C9" s="52" t="s">
        <v>13</v>
      </c>
      <c r="D9" s="52" t="s">
        <v>14</v>
      </c>
      <c r="E9" s="52" t="s">
        <v>15</v>
      </c>
      <c r="F9" s="52" t="s">
        <v>16</v>
      </c>
      <c r="G9" s="52" t="s">
        <v>44</v>
      </c>
    </row>
    <row r="10" ht="60" customHeight="1" spans="1:10">
      <c r="A10" s="54" t="s">
        <v>17</v>
      </c>
      <c r="B10" s="54" t="s">
        <v>18</v>
      </c>
      <c r="C10" s="55">
        <v>0.65</v>
      </c>
      <c r="D10" s="56">
        <f>SUMIF(设备采购表!B:B,设备采购表!B3,设备采购表!E:E)</f>
        <v>980</v>
      </c>
      <c r="E10" s="54"/>
      <c r="F10" s="54" t="str">
        <f t="shared" ref="F10:F19" si="0">IF(D10&gt;$B$7,"⚠️超进度","✅")</f>
        <v>✅</v>
      </c>
      <c r="G10" s="54"/>
      <c r="J10" s="60"/>
    </row>
    <row r="11" ht="60" customHeight="1" spans="1:7">
      <c r="A11" s="54" t="s">
        <v>19</v>
      </c>
      <c r="B11" s="54" t="s">
        <v>20</v>
      </c>
      <c r="C11" s="55">
        <v>0.03</v>
      </c>
      <c r="D11" s="56">
        <f>SUMIF(材料清单表!C:C,材料清单表!C4,材料清单表!F:F)</f>
        <v>40.803</v>
      </c>
      <c r="E11" s="54"/>
      <c r="F11" s="54" t="str">
        <f t="shared" si="0"/>
        <v>✅</v>
      </c>
      <c r="G11" s="54"/>
    </row>
    <row r="12" ht="60" customHeight="1" spans="1:7">
      <c r="A12" s="54" t="s">
        <v>21</v>
      </c>
      <c r="B12" s="54" t="s">
        <v>22</v>
      </c>
      <c r="C12" s="55">
        <v>0.15</v>
      </c>
      <c r="D12" s="56" t="e">
        <f>VLOOKUP(研发人员薪资成本表!A14,研发人员薪资成本表!A1:J16,10)/10000</f>
        <v>#N/A</v>
      </c>
      <c r="E12" s="54"/>
      <c r="F12" s="54" t="e">
        <f t="shared" si="0"/>
        <v>#N/A</v>
      </c>
      <c r="G12" s="54"/>
    </row>
    <row r="13" ht="60" customHeight="1" spans="1:7">
      <c r="A13" s="54" t="s">
        <v>23</v>
      </c>
      <c r="B13" s="54" t="s">
        <v>24</v>
      </c>
      <c r="C13" s="55">
        <v>0.02</v>
      </c>
      <c r="D13" s="56">
        <f>VLOOKUP(等离子冷床炉折旧表!A20,等离子冷床炉折旧表!A1:H20,8)/10000</f>
        <v>65.8146</v>
      </c>
      <c r="E13" s="54"/>
      <c r="F13" s="54" t="str">
        <f t="shared" si="0"/>
        <v>✅</v>
      </c>
      <c r="G13" s="54"/>
    </row>
    <row r="14" ht="60" customHeight="1" spans="1:7">
      <c r="A14" s="54" t="s">
        <v>25</v>
      </c>
      <c r="B14" s="54" t="s">
        <v>26</v>
      </c>
      <c r="C14" s="55">
        <v>0.02</v>
      </c>
      <c r="D14" s="56">
        <f>VLOOKUP(研发场地租赁!A3,研发场地租赁!A1:F3,6)</f>
        <v>27.072</v>
      </c>
      <c r="E14" s="54"/>
      <c r="F14" s="54" t="str">
        <f t="shared" si="0"/>
        <v>✅</v>
      </c>
      <c r="G14" s="54"/>
    </row>
    <row r="15" ht="60" customHeight="1" spans="1:7">
      <c r="A15" s="54" t="s">
        <v>27</v>
      </c>
      <c r="B15" s="54" t="s">
        <v>28</v>
      </c>
      <c r="C15" s="55">
        <v>0.03</v>
      </c>
      <c r="D15" s="56">
        <f>SUMIF(无形资产摊销明细计算表!B:B,无形资产摊销明细计算表!B3,无形资产摊销明细计算表!E:E)</f>
        <v>39.5714285714286</v>
      </c>
      <c r="E15" s="54"/>
      <c r="F15" s="54" t="str">
        <f t="shared" si="0"/>
        <v>✅</v>
      </c>
      <c r="G15" s="54"/>
    </row>
    <row r="16" ht="60" customHeight="1" spans="1:7">
      <c r="A16" s="54" t="s">
        <v>29</v>
      </c>
      <c r="B16" s="54" t="s">
        <v>30</v>
      </c>
      <c r="C16" s="55">
        <v>0.06</v>
      </c>
      <c r="D16" s="56">
        <f>VLOOKUP(试制模具开发费明细计算表!A6,试制模具开发费明细计算表!A1:E6,5)</f>
        <v>81.78</v>
      </c>
      <c r="E16" s="54"/>
      <c r="F16" s="54" t="str">
        <f t="shared" si="0"/>
        <v>✅</v>
      </c>
      <c r="G16" s="54"/>
    </row>
    <row r="17" ht="60" customHeight="1" spans="1:7">
      <c r="A17" s="54" t="s">
        <v>31</v>
      </c>
      <c r="B17" s="54" t="s">
        <v>32</v>
      </c>
      <c r="C17" s="55">
        <v>0.02</v>
      </c>
      <c r="D17" s="56">
        <f>VLOOKUP(成果验收费用明细计算表!A6,成果验收费用明细计算表!A1:D6,3)</f>
        <v>27.26</v>
      </c>
      <c r="E17" s="54"/>
      <c r="F17" s="54" t="str">
        <f t="shared" si="0"/>
        <v>✅</v>
      </c>
      <c r="G17" s="54"/>
    </row>
    <row r="18" ht="60" customHeight="1" spans="1:7">
      <c r="A18" s="54" t="s">
        <v>33</v>
      </c>
      <c r="B18" s="54" t="s">
        <v>34</v>
      </c>
      <c r="C18" s="55">
        <v>0.02</v>
      </c>
      <c r="D18" s="56">
        <f>VLOOKUP(其他研发费用明细计算表!A7,其他研发费用明细计算表!A1:D7,3)</f>
        <v>27.26</v>
      </c>
      <c r="E18" s="54"/>
      <c r="F18" s="54" t="str">
        <f t="shared" si="0"/>
        <v>✅</v>
      </c>
      <c r="G18" s="54"/>
    </row>
    <row r="19" ht="60" customHeight="1" spans="1:7">
      <c r="A19" s="54" t="s">
        <v>35</v>
      </c>
      <c r="B19" s="54">
        <f>SUM(A9:A17)</f>
        <v>0</v>
      </c>
      <c r="C19" s="54">
        <f>SUM(B9:B17)</f>
        <v>0</v>
      </c>
      <c r="D19" s="56" t="e">
        <f>SUM(D10:D18)</f>
        <v>#N/A</v>
      </c>
      <c r="E19" s="54"/>
      <c r="F19" s="54" t="e">
        <f t="shared" si="0"/>
        <v>#N/A</v>
      </c>
      <c r="G19" s="57"/>
    </row>
    <row r="20" ht="60" customHeight="1" spans="1:7">
      <c r="A20" s="54" t="s">
        <v>36</v>
      </c>
      <c r="B20" s="54"/>
      <c r="C20" s="54"/>
      <c r="D20" s="54"/>
      <c r="E20" s="54"/>
      <c r="F20" s="54"/>
      <c r="G20" s="57"/>
    </row>
    <row r="21" ht="60" customHeight="1" spans="1:7">
      <c r="A21" s="54" t="s">
        <v>37</v>
      </c>
      <c r="B21" s="54"/>
      <c r="C21" s="54"/>
      <c r="D21" s="54"/>
      <c r="E21" s="54"/>
      <c r="F21" s="54"/>
      <c r="G21" s="57"/>
    </row>
    <row r="22" ht="60" customHeight="1" spans="1:7">
      <c r="A22" s="54" t="s">
        <v>38</v>
      </c>
      <c r="B22" s="55">
        <v>1.2</v>
      </c>
      <c r="C22" s="54"/>
      <c r="D22" s="54"/>
      <c r="E22" s="54"/>
      <c r="F22" s="54"/>
      <c r="G22" s="57"/>
    </row>
    <row r="23" ht="60" customHeight="1" spans="1:7">
      <c r="A23" s="54" t="s">
        <v>39</v>
      </c>
      <c r="B23" s="54"/>
      <c r="C23" s="54"/>
      <c r="D23" s="54"/>
      <c r="E23" s="54"/>
      <c r="F23" s="54"/>
      <c r="G23" s="57"/>
    </row>
    <row r="24" ht="60" customHeight="1" spans="1:7">
      <c r="A24" s="54" t="s">
        <v>40</v>
      </c>
      <c r="B24" s="54" t="s">
        <v>41</v>
      </c>
      <c r="C24" s="58" t="s">
        <v>42</v>
      </c>
      <c r="D24" s="58"/>
      <c r="E24" s="58" t="s">
        <v>43</v>
      </c>
      <c r="F24" s="59"/>
      <c r="G24" s="57"/>
    </row>
  </sheetData>
  <mergeCells count="8">
    <mergeCell ref="A1:F1"/>
    <mergeCell ref="A2:C2"/>
    <mergeCell ref="E2:F2"/>
    <mergeCell ref="A3:F3"/>
    <mergeCell ref="A4:F4"/>
    <mergeCell ref="E6:F6"/>
    <mergeCell ref="A8:F8"/>
    <mergeCell ref="E24:F24"/>
  </mergeCells>
  <dataValidations count="1">
    <dataValidation type="list" allowBlank="1" showInputMessage="1" showErrorMessage="1" sqref="G10:G18">
      <formula1>"资本化,费用化"</formula1>
    </dataValidation>
  </dataValidation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"/>
  <sheetViews>
    <sheetView workbookViewId="0">
      <selection activeCell="E2" sqref="E$1:E$1048576"/>
    </sheetView>
  </sheetViews>
  <sheetFormatPr defaultColWidth="9" defaultRowHeight="58" customHeight="1" outlineLevelRow="4" outlineLevelCol="5"/>
  <cols>
    <col min="1" max="3" width="20.7777777777778" customWidth="1"/>
    <col min="4" max="4" width="32.1111111111111" customWidth="1"/>
    <col min="5" max="5" width="31.2222222222222" customWidth="1"/>
    <col min="6" max="6" width="20.7777777777778" customWidth="1"/>
  </cols>
  <sheetData>
    <row r="1" customHeight="1" spans="1:6">
      <c r="A1" s="37" t="s">
        <v>45</v>
      </c>
      <c r="B1" s="38"/>
      <c r="C1" s="38"/>
      <c r="D1" s="38"/>
      <c r="E1" s="38"/>
      <c r="F1" s="39"/>
    </row>
    <row r="2" customHeight="1" spans="1:6">
      <c r="A2" s="12" t="s">
        <v>46</v>
      </c>
      <c r="B2" s="12" t="s">
        <v>47</v>
      </c>
      <c r="C2" s="12" t="s">
        <v>48</v>
      </c>
      <c r="D2" s="12" t="s">
        <v>49</v>
      </c>
      <c r="E2" s="12" t="s">
        <v>50</v>
      </c>
      <c r="F2" s="12" t="s">
        <v>51</v>
      </c>
    </row>
    <row r="3" customHeight="1" spans="1:6">
      <c r="A3" s="12" t="s">
        <v>52</v>
      </c>
      <c r="B3" s="12" t="s">
        <v>53</v>
      </c>
      <c r="C3" s="12" t="s">
        <v>54</v>
      </c>
      <c r="D3" s="12" t="s">
        <v>55</v>
      </c>
      <c r="E3" s="12">
        <v>687</v>
      </c>
      <c r="F3" s="40">
        <v>45265</v>
      </c>
    </row>
    <row r="4" customHeight="1" spans="1:6">
      <c r="A4" s="12" t="s">
        <v>56</v>
      </c>
      <c r="B4" s="12" t="s">
        <v>53</v>
      </c>
      <c r="C4" s="12" t="s">
        <v>54</v>
      </c>
      <c r="D4" s="12" t="s">
        <v>57</v>
      </c>
      <c r="E4" s="12">
        <v>293</v>
      </c>
      <c r="F4" s="40">
        <v>45268</v>
      </c>
    </row>
    <row r="5" customHeight="1" spans="1:6">
      <c r="A5" s="41"/>
      <c r="B5" s="41"/>
      <c r="C5" s="41"/>
      <c r="D5" s="41"/>
      <c r="E5" s="42"/>
      <c r="F5" s="42"/>
    </row>
  </sheetData>
  <mergeCells count="1">
    <mergeCell ref="A1:F1"/>
  </mergeCells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"/>
  <sheetViews>
    <sheetView workbookViewId="0">
      <selection activeCell="B14" sqref="B14"/>
    </sheetView>
  </sheetViews>
  <sheetFormatPr defaultColWidth="9" defaultRowHeight="14.4" outlineLevelRow="4" outlineLevelCol="5"/>
  <cols>
    <col min="2" max="2" width="37.6666666666667" customWidth="1"/>
    <col min="3" max="3" width="36.2222222222222" customWidth="1"/>
    <col min="4" max="4" width="37.4444444444444" customWidth="1"/>
    <col min="5" max="6" width="18.7777777777778" customWidth="1"/>
  </cols>
  <sheetData>
    <row r="1" ht="58" customHeight="1" spans="1:6">
      <c r="A1" s="32" t="s">
        <v>58</v>
      </c>
      <c r="B1" s="32"/>
      <c r="C1" s="32"/>
      <c r="D1" s="32"/>
      <c r="E1" s="32"/>
      <c r="F1" s="32"/>
    </row>
    <row r="2" ht="58" customHeight="1" spans="1:6">
      <c r="A2" s="32"/>
      <c r="B2" s="32"/>
      <c r="C2" s="32"/>
      <c r="D2" s="32"/>
      <c r="E2" s="32"/>
      <c r="F2" s="32"/>
    </row>
    <row r="3" ht="58" customHeight="1" spans="1:6">
      <c r="A3" s="12" t="s">
        <v>59</v>
      </c>
      <c r="B3" s="12" t="s">
        <v>49</v>
      </c>
      <c r="C3" s="12" t="s">
        <v>60</v>
      </c>
      <c r="D3" s="12" t="s">
        <v>61</v>
      </c>
      <c r="E3" s="12" t="s">
        <v>62</v>
      </c>
      <c r="F3" s="12" t="s">
        <v>63</v>
      </c>
    </row>
    <row r="4" ht="58" customHeight="1" spans="1:6">
      <c r="A4" s="33">
        <v>1</v>
      </c>
      <c r="B4" s="33" t="s">
        <v>55</v>
      </c>
      <c r="C4" s="33" t="s">
        <v>64</v>
      </c>
      <c r="D4" s="33" t="s">
        <v>65</v>
      </c>
      <c r="E4" s="34" t="s">
        <v>66</v>
      </c>
      <c r="F4" s="35">
        <v>0.1</v>
      </c>
    </row>
    <row r="5" ht="58" customHeight="1" spans="1:6">
      <c r="A5" s="33">
        <v>2</v>
      </c>
      <c r="B5" s="33" t="s">
        <v>57</v>
      </c>
      <c r="C5" s="33" t="s">
        <v>67</v>
      </c>
      <c r="D5" s="33" t="s">
        <v>68</v>
      </c>
      <c r="E5" s="34" t="s">
        <v>69</v>
      </c>
      <c r="F5" s="36">
        <v>0.125</v>
      </c>
    </row>
  </sheetData>
  <mergeCells count="1">
    <mergeCell ref="A1:F2"/>
  </mergeCells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7"/>
  <sheetViews>
    <sheetView workbookViewId="0">
      <selection activeCell="G4" sqref="G4"/>
    </sheetView>
  </sheetViews>
  <sheetFormatPr defaultColWidth="8.88888888888889" defaultRowHeight="14.4" outlineLevelRow="6" outlineLevelCol="5"/>
  <cols>
    <col min="1" max="5" width="20.7777777777778" customWidth="1"/>
    <col min="6" max="6" width="28.7777777777778" customWidth="1"/>
  </cols>
  <sheetData>
    <row r="1" ht="58" customHeight="1" spans="1:6">
      <c r="A1" s="28" t="s">
        <v>70</v>
      </c>
      <c r="B1" s="29"/>
      <c r="C1" s="29"/>
      <c r="D1" s="29"/>
      <c r="E1" s="29"/>
      <c r="F1" s="29"/>
    </row>
    <row r="2" ht="58" customHeight="1" spans="1:6">
      <c r="A2" s="28"/>
      <c r="B2" s="29"/>
      <c r="C2" s="29"/>
      <c r="D2" s="29"/>
      <c r="E2" s="29"/>
      <c r="F2" s="29"/>
    </row>
    <row r="3" ht="58" customHeight="1" spans="1:6">
      <c r="A3" s="30" t="s">
        <v>71</v>
      </c>
      <c r="B3" s="30" t="s">
        <v>72</v>
      </c>
      <c r="C3" s="30" t="s">
        <v>73</v>
      </c>
      <c r="D3" s="30" t="s">
        <v>74</v>
      </c>
      <c r="E3" s="30" t="s">
        <v>75</v>
      </c>
      <c r="F3" s="30" t="s">
        <v>76</v>
      </c>
    </row>
    <row r="4" ht="58" customHeight="1" spans="1:6">
      <c r="A4" s="31" t="s">
        <v>77</v>
      </c>
      <c r="B4" s="31" t="s">
        <v>78</v>
      </c>
      <c r="C4" s="31" t="s">
        <v>79</v>
      </c>
      <c r="D4" s="31">
        <v>15.8</v>
      </c>
      <c r="E4" s="31">
        <v>8600</v>
      </c>
      <c r="F4" s="31">
        <f>135880/10000</f>
        <v>13.588</v>
      </c>
    </row>
    <row r="5" ht="58" customHeight="1" spans="1:6">
      <c r="A5" s="31" t="s">
        <v>80</v>
      </c>
      <c r="B5" s="31" t="s">
        <v>81</v>
      </c>
      <c r="C5" s="31" t="s">
        <v>79</v>
      </c>
      <c r="D5" s="31">
        <v>8.5</v>
      </c>
      <c r="E5" s="31">
        <v>21500</v>
      </c>
      <c r="F5" s="31">
        <f>182750/10000</f>
        <v>18.275</v>
      </c>
    </row>
    <row r="6" ht="58" customHeight="1" spans="1:6">
      <c r="A6" s="31" t="s">
        <v>82</v>
      </c>
      <c r="B6" s="31" t="s">
        <v>83</v>
      </c>
      <c r="C6" s="31" t="s">
        <v>79</v>
      </c>
      <c r="D6" s="31">
        <v>22.3</v>
      </c>
      <c r="E6" s="31">
        <v>3000</v>
      </c>
      <c r="F6" s="31">
        <f>66900/10000</f>
        <v>6.69</v>
      </c>
    </row>
    <row r="7" ht="58" customHeight="1" spans="1:6">
      <c r="A7" s="31" t="s">
        <v>84</v>
      </c>
      <c r="B7" s="31" t="s">
        <v>85</v>
      </c>
      <c r="C7" s="31" t="s">
        <v>79</v>
      </c>
      <c r="D7" s="31">
        <v>45</v>
      </c>
      <c r="E7" s="31">
        <v>500</v>
      </c>
      <c r="F7" s="31">
        <f>22500/10000</f>
        <v>2.25</v>
      </c>
    </row>
  </sheetData>
  <mergeCells count="1">
    <mergeCell ref="A1:F2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17"/>
  <sheetViews>
    <sheetView zoomScale="85" zoomScaleNormal="85" topLeftCell="A14" workbookViewId="0">
      <selection activeCell="D24" sqref="D24"/>
    </sheetView>
  </sheetViews>
  <sheetFormatPr defaultColWidth="8.88888888888889" defaultRowHeight="14.4"/>
  <cols>
    <col min="1" max="2" width="18.7777777777778" customWidth="1"/>
    <col min="3" max="3" width="23.1111111111111" customWidth="1"/>
    <col min="4" max="5" width="22.212962962963" customWidth="1"/>
    <col min="6" max="6" width="24.6944444444444" customWidth="1"/>
    <col min="7" max="7" width="25.1111111111111" customWidth="1"/>
    <col min="8" max="8" width="26.6574074074074" customWidth="1"/>
    <col min="9" max="9" width="24.6666666666667" customWidth="1"/>
    <col min="10" max="10" width="27.4444444444444" customWidth="1"/>
  </cols>
  <sheetData>
    <row r="1" ht="58" customHeight="1" spans="1:10">
      <c r="A1" s="24" t="s">
        <v>86</v>
      </c>
      <c r="B1" s="24" t="s">
        <v>87</v>
      </c>
      <c r="C1" s="24" t="s">
        <v>88</v>
      </c>
      <c r="D1" s="24" t="s">
        <v>89</v>
      </c>
      <c r="E1" s="24" t="s">
        <v>90</v>
      </c>
      <c r="F1" s="24" t="s">
        <v>91</v>
      </c>
      <c r="G1" s="24" t="s">
        <v>92</v>
      </c>
      <c r="H1" s="24" t="s">
        <v>93</v>
      </c>
      <c r="I1" s="24" t="s">
        <v>94</v>
      </c>
      <c r="J1" s="24" t="s">
        <v>95</v>
      </c>
    </row>
    <row r="2" ht="58" customHeight="1" spans="1:10">
      <c r="A2" s="24" t="s">
        <v>96</v>
      </c>
      <c r="B2" s="24" t="s">
        <v>97</v>
      </c>
      <c r="C2" s="24" t="s">
        <v>98</v>
      </c>
      <c r="D2" s="25">
        <v>18000</v>
      </c>
      <c r="E2" s="25">
        <v>10000</v>
      </c>
      <c r="F2" s="25">
        <v>10000</v>
      </c>
      <c r="G2" s="25">
        <v>1500</v>
      </c>
      <c r="H2" s="25">
        <v>4000</v>
      </c>
      <c r="I2" s="25">
        <f t="shared" ref="I2:I9" si="0">12*D2+E2+F2+12*G2+H2</f>
        <v>258000</v>
      </c>
      <c r="J2" s="25">
        <f t="shared" ref="J2:J9" si="1">MIN(ROUND(D2*1.05,0),19243)*12+MIN(ROUND(E2*1.05,0),11284)+MIN(ROUND(F2*1.05,0),11284)+12*MIN(ROUND(H2*1.05,0),1612)+MIN(ROUND(I2*1.05,0),4836)</f>
        <v>271980</v>
      </c>
    </row>
    <row r="3" ht="58" customHeight="1" spans="1:10">
      <c r="A3" s="24" t="s">
        <v>99</v>
      </c>
      <c r="B3" s="24" t="s">
        <v>100</v>
      </c>
      <c r="C3" s="24" t="s">
        <v>101</v>
      </c>
      <c r="D3" s="25">
        <v>21000</v>
      </c>
      <c r="E3" s="25">
        <v>14000</v>
      </c>
      <c r="F3" s="25">
        <v>12000</v>
      </c>
      <c r="G3" s="25">
        <v>2000</v>
      </c>
      <c r="H3" s="25">
        <v>6000</v>
      </c>
      <c r="I3" s="25">
        <f t="shared" si="0"/>
        <v>308000</v>
      </c>
      <c r="J3" s="25">
        <f t="shared" si="1"/>
        <v>277664</v>
      </c>
    </row>
    <row r="4" ht="58" customHeight="1" spans="1:10">
      <c r="A4" s="24" t="s">
        <v>102</v>
      </c>
      <c r="B4" s="24" t="s">
        <v>103</v>
      </c>
      <c r="C4" s="24" t="s">
        <v>101</v>
      </c>
      <c r="D4" s="25">
        <v>21000</v>
      </c>
      <c r="E4" s="25">
        <v>14000</v>
      </c>
      <c r="F4" s="25">
        <v>12000</v>
      </c>
      <c r="G4" s="25">
        <v>2000</v>
      </c>
      <c r="H4" s="25">
        <v>6000</v>
      </c>
      <c r="I4" s="25">
        <f t="shared" si="0"/>
        <v>308000</v>
      </c>
      <c r="J4" s="25">
        <f t="shared" si="1"/>
        <v>277664</v>
      </c>
    </row>
    <row r="5" ht="58" customHeight="1" spans="1:10">
      <c r="A5" s="24" t="s">
        <v>104</v>
      </c>
      <c r="B5" s="24" t="s">
        <v>105</v>
      </c>
      <c r="C5" s="24" t="s">
        <v>106</v>
      </c>
      <c r="D5" s="25">
        <v>27000</v>
      </c>
      <c r="E5" s="25">
        <v>30000</v>
      </c>
      <c r="F5" s="25">
        <v>15000</v>
      </c>
      <c r="G5" s="25">
        <v>3000</v>
      </c>
      <c r="H5" s="25">
        <v>15000</v>
      </c>
      <c r="I5" s="25">
        <f t="shared" si="0"/>
        <v>420000</v>
      </c>
      <c r="J5" s="25">
        <f t="shared" si="1"/>
        <v>277664</v>
      </c>
    </row>
    <row r="6" ht="58" customHeight="1" spans="1:27">
      <c r="A6" s="24" t="s">
        <v>107</v>
      </c>
      <c r="B6" s="24" t="s">
        <v>108</v>
      </c>
      <c r="C6" s="24" t="s">
        <v>106</v>
      </c>
      <c r="D6" s="25">
        <v>27000</v>
      </c>
      <c r="E6" s="25">
        <v>30000</v>
      </c>
      <c r="F6" s="25">
        <v>15000</v>
      </c>
      <c r="G6" s="25">
        <v>3000</v>
      </c>
      <c r="H6" s="25">
        <v>15000</v>
      </c>
      <c r="I6" s="25">
        <f t="shared" si="0"/>
        <v>420000</v>
      </c>
      <c r="J6" s="25">
        <f t="shared" si="1"/>
        <v>277664</v>
      </c>
      <c r="V6">
        <v>12</v>
      </c>
      <c r="W6" t="s">
        <v>109</v>
      </c>
      <c r="X6" t="s">
        <v>110</v>
      </c>
      <c r="Y6" t="s">
        <v>111</v>
      </c>
      <c r="Z6" t="s">
        <v>112</v>
      </c>
      <c r="AA6" t="s">
        <v>113</v>
      </c>
    </row>
    <row r="7" ht="58" customHeight="1" spans="1:27">
      <c r="A7" s="24" t="s">
        <v>114</v>
      </c>
      <c r="B7" s="24" t="s">
        <v>115</v>
      </c>
      <c r="C7" s="24" t="s">
        <v>116</v>
      </c>
      <c r="D7" s="25">
        <v>16625</v>
      </c>
      <c r="E7" s="25">
        <v>6448</v>
      </c>
      <c r="F7" s="25">
        <v>9027</v>
      </c>
      <c r="G7" s="25">
        <v>1128</v>
      </c>
      <c r="H7" s="25">
        <v>3224</v>
      </c>
      <c r="I7" s="25">
        <f t="shared" si="0"/>
        <v>231735</v>
      </c>
      <c r="J7" s="25">
        <f t="shared" si="1"/>
        <v>249900</v>
      </c>
      <c r="V7">
        <v>12</v>
      </c>
      <c r="W7" t="s">
        <v>117</v>
      </c>
      <c r="X7" t="s">
        <v>118</v>
      </c>
      <c r="Y7" t="s">
        <v>111</v>
      </c>
      <c r="Z7" t="s">
        <v>119</v>
      </c>
      <c r="AA7" t="s">
        <v>120</v>
      </c>
    </row>
    <row r="8" ht="58" customHeight="1" spans="1:27">
      <c r="A8" s="24" t="s">
        <v>121</v>
      </c>
      <c r="B8" s="24" t="s">
        <v>122</v>
      </c>
      <c r="C8" s="24" t="s">
        <v>98</v>
      </c>
      <c r="D8" s="25">
        <v>19243</v>
      </c>
      <c r="E8" s="25">
        <v>11284</v>
      </c>
      <c r="F8" s="25">
        <v>11284</v>
      </c>
      <c r="G8" s="25">
        <v>1612</v>
      </c>
      <c r="H8" s="25">
        <v>4836</v>
      </c>
      <c r="I8" s="25">
        <f t="shared" si="0"/>
        <v>277664</v>
      </c>
      <c r="J8" s="25">
        <f t="shared" si="1"/>
        <v>277664</v>
      </c>
      <c r="V8">
        <v>12</v>
      </c>
      <c r="W8" t="s">
        <v>123</v>
      </c>
      <c r="X8" t="s">
        <v>124</v>
      </c>
      <c r="Y8" t="s">
        <v>111</v>
      </c>
      <c r="Z8" t="s">
        <v>125</v>
      </c>
      <c r="AA8" t="s">
        <v>126</v>
      </c>
    </row>
    <row r="9" ht="58" customHeight="1" spans="1:10">
      <c r="A9" s="24" t="s">
        <v>127</v>
      </c>
      <c r="B9" s="24" t="s">
        <v>128</v>
      </c>
      <c r="C9" s="24" t="s">
        <v>101</v>
      </c>
      <c r="D9" s="25">
        <v>22275</v>
      </c>
      <c r="E9" s="25">
        <v>15475</v>
      </c>
      <c r="F9" s="25">
        <v>13541</v>
      </c>
      <c r="G9" s="25">
        <v>2257</v>
      </c>
      <c r="H9" s="25">
        <v>6448</v>
      </c>
      <c r="I9" s="25">
        <f t="shared" si="0"/>
        <v>329848</v>
      </c>
      <c r="J9" s="25">
        <f t="shared" si="1"/>
        <v>277664</v>
      </c>
    </row>
    <row r="10" ht="58" customHeight="1" spans="1:10">
      <c r="A10" s="24"/>
      <c r="B10" s="24"/>
      <c r="C10" s="24" t="s">
        <v>98</v>
      </c>
      <c r="D10" s="25">
        <v>18000</v>
      </c>
      <c r="E10" s="25">
        <v>10000</v>
      </c>
      <c r="F10" s="25">
        <v>10000</v>
      </c>
      <c r="G10" s="25">
        <v>1500</v>
      </c>
      <c r="H10" s="25">
        <v>4000</v>
      </c>
      <c r="I10" s="25"/>
      <c r="J10" s="25">
        <f>D10*12+E10+F10+G10*12+H10</f>
        <v>258000</v>
      </c>
    </row>
    <row r="11" ht="58" customHeight="1" spans="1:10">
      <c r="A11" s="24"/>
      <c r="B11" s="24"/>
      <c r="C11" s="24" t="s">
        <v>101</v>
      </c>
      <c r="D11" s="25">
        <v>21000</v>
      </c>
      <c r="E11" s="25">
        <v>14000</v>
      </c>
      <c r="F11" s="25">
        <v>12000</v>
      </c>
      <c r="G11" s="25">
        <v>2000</v>
      </c>
      <c r="H11" s="25">
        <v>6000</v>
      </c>
      <c r="I11" s="25"/>
      <c r="J11" s="25">
        <f>D11*12+E11+F11+G11*12+H11</f>
        <v>308000</v>
      </c>
    </row>
    <row r="12" ht="58" customHeight="1" spans="1:10">
      <c r="A12" s="24"/>
      <c r="B12" s="24"/>
      <c r="C12" s="24" t="s">
        <v>101</v>
      </c>
      <c r="D12" s="25">
        <v>21000</v>
      </c>
      <c r="E12" s="25">
        <v>14000</v>
      </c>
      <c r="F12" s="25">
        <v>12000</v>
      </c>
      <c r="G12" s="25">
        <v>2000</v>
      </c>
      <c r="H12" s="25">
        <v>6000</v>
      </c>
      <c r="I12" s="25"/>
      <c r="J12" s="25">
        <f>D12*12+E12+F12+G12*12+H12</f>
        <v>308000</v>
      </c>
    </row>
    <row r="13" ht="58" customHeight="1" spans="1:10">
      <c r="A13" s="24"/>
      <c r="B13" s="24"/>
      <c r="C13" s="24" t="s">
        <v>106</v>
      </c>
      <c r="D13" s="25">
        <v>27000</v>
      </c>
      <c r="E13" s="25">
        <v>30000</v>
      </c>
      <c r="F13" s="25">
        <v>15000</v>
      </c>
      <c r="G13" s="25">
        <v>3000</v>
      </c>
      <c r="H13" s="25">
        <v>15000</v>
      </c>
      <c r="I13" s="25"/>
      <c r="J13" s="25">
        <f>D13*12+E13+F13+G13*12+H13</f>
        <v>420000</v>
      </c>
    </row>
    <row r="14" ht="58" customHeight="1" spans="1:10">
      <c r="A14" s="24"/>
      <c r="B14" s="24"/>
      <c r="C14" s="24" t="s">
        <v>106</v>
      </c>
      <c r="D14" s="25">
        <v>27000</v>
      </c>
      <c r="E14" s="25">
        <v>30000</v>
      </c>
      <c r="F14" s="25">
        <v>15000</v>
      </c>
      <c r="G14" s="25">
        <v>3000</v>
      </c>
      <c r="H14" s="25">
        <v>15000</v>
      </c>
      <c r="I14" s="25"/>
      <c r="J14" s="25">
        <f>D14*12+E14+F14+G14*12+H14</f>
        <v>420000</v>
      </c>
    </row>
    <row r="15" ht="58" customHeight="1" spans="1:10">
      <c r="A15" s="24" t="s">
        <v>129</v>
      </c>
      <c r="B15" s="24"/>
      <c r="C15" s="24"/>
      <c r="D15" s="25">
        <f>SUM(D2:D14)</f>
        <v>286143</v>
      </c>
      <c r="E15" s="25">
        <f>SUM(E2:E14)</f>
        <v>229207</v>
      </c>
      <c r="F15" s="25">
        <f>SUM(F2:F14)</f>
        <v>161852</v>
      </c>
      <c r="G15" s="25">
        <f>SUM(G2:G14)</f>
        <v>27997</v>
      </c>
      <c r="H15" s="25">
        <f>SUM(H2:H14)</f>
        <v>106508</v>
      </c>
      <c r="I15" s="25">
        <f>SUM(I2:I9)</f>
        <v>2553247</v>
      </c>
      <c r="J15" s="25">
        <f>SUM(J2:J14)</f>
        <v>3901864</v>
      </c>
    </row>
    <row r="16" ht="58" customHeight="1" spans="1:10">
      <c r="A16" s="24" t="s">
        <v>130</v>
      </c>
      <c r="B16" s="26" t="s">
        <v>131</v>
      </c>
      <c r="C16" s="26"/>
      <c r="D16" s="26"/>
      <c r="E16" s="26"/>
      <c r="F16" s="25">
        <v>2000000</v>
      </c>
      <c r="G16" s="25"/>
      <c r="H16" s="25"/>
      <c r="I16" s="25"/>
      <c r="J16" s="25"/>
    </row>
    <row r="17" ht="61" customHeight="1" spans="1:10">
      <c r="A17" s="24" t="s">
        <v>132</v>
      </c>
      <c r="B17" s="27" t="str">
        <f>IF(J15&lt;=F16,"✅预算合规","❌超预算"&amp;ROUND(J15-F16,1)&amp;"万")</f>
        <v>❌超预算1901864万</v>
      </c>
      <c r="C17" s="27"/>
      <c r="D17" s="27"/>
      <c r="E17" s="27"/>
      <c r="F17" s="27"/>
      <c r="G17" s="27"/>
      <c r="H17" s="27"/>
      <c r="I17" s="27"/>
      <c r="J17" s="27"/>
    </row>
  </sheetData>
  <mergeCells count="3">
    <mergeCell ref="B16:E16"/>
    <mergeCell ref="F16:J16"/>
    <mergeCell ref="B17:J17"/>
  </mergeCells>
  <pageMargins left="0.75" right="0.75" top="1" bottom="1" header="0.5" footer="0.5"/>
  <headerFooter/>
  <ignoredErrors>
    <ignoredError sqref="I15" formula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0"/>
  <sheetViews>
    <sheetView topLeftCell="A16" workbookViewId="0">
      <selection activeCell="D9" sqref="D9"/>
    </sheetView>
  </sheetViews>
  <sheetFormatPr defaultColWidth="8.88888888888889" defaultRowHeight="14.4" outlineLevelCol="7"/>
  <cols>
    <col min="1" max="8" width="20.7777777777778" customWidth="1"/>
  </cols>
  <sheetData>
    <row r="1" ht="80" customHeight="1" spans="1:8">
      <c r="A1" s="17" t="s">
        <v>133</v>
      </c>
      <c r="B1" s="18"/>
      <c r="C1" s="18"/>
      <c r="D1" s="18"/>
      <c r="E1" s="18"/>
      <c r="F1" s="18"/>
      <c r="G1" s="18"/>
      <c r="H1" s="19"/>
    </row>
    <row r="2" ht="58" customHeight="1" spans="1:8">
      <c r="A2" s="20" t="s">
        <v>134</v>
      </c>
      <c r="B2" s="21"/>
      <c r="C2" s="21"/>
      <c r="D2" s="21"/>
      <c r="E2" s="21"/>
      <c r="F2" s="21"/>
      <c r="G2" s="21"/>
      <c r="H2" s="22"/>
    </row>
    <row r="3" ht="58" customHeight="1" spans="1:8">
      <c r="A3" s="20" t="s">
        <v>135</v>
      </c>
      <c r="B3" s="21"/>
      <c r="C3" s="21"/>
      <c r="D3" s="21"/>
      <c r="E3" s="21"/>
      <c r="F3" s="21"/>
      <c r="G3" s="21"/>
      <c r="H3" s="22"/>
    </row>
    <row r="4" ht="58" customHeight="1" spans="1:8">
      <c r="A4" s="20" t="s">
        <v>136</v>
      </c>
      <c r="B4" s="21"/>
      <c r="C4" s="21"/>
      <c r="D4" s="21"/>
      <c r="E4" s="21"/>
      <c r="F4" s="21"/>
      <c r="G4" s="21"/>
      <c r="H4" s="22"/>
    </row>
    <row r="5" ht="58" customHeight="1" spans="1:8">
      <c r="A5" s="20" t="s">
        <v>137</v>
      </c>
      <c r="B5" s="21"/>
      <c r="C5" s="21"/>
      <c r="D5" s="21"/>
      <c r="E5" s="21"/>
      <c r="F5" s="21"/>
      <c r="G5" s="21"/>
      <c r="H5" s="22"/>
    </row>
    <row r="6" ht="58" customHeight="1" spans="1:8">
      <c r="A6" s="20" t="s">
        <v>138</v>
      </c>
      <c r="B6" s="21"/>
      <c r="C6" s="21"/>
      <c r="D6" s="21"/>
      <c r="E6" s="21"/>
      <c r="F6" s="21"/>
      <c r="G6" s="21"/>
      <c r="H6" s="22"/>
    </row>
    <row r="7" ht="58" customHeight="1" spans="1:8">
      <c r="A7" s="4" t="s">
        <v>139</v>
      </c>
      <c r="B7" s="4" t="s">
        <v>140</v>
      </c>
      <c r="C7" s="4" t="s">
        <v>141</v>
      </c>
      <c r="D7" s="4" t="s">
        <v>142</v>
      </c>
      <c r="E7" s="4" t="s">
        <v>143</v>
      </c>
      <c r="F7" s="4" t="s">
        <v>144</v>
      </c>
      <c r="G7" s="4" t="s">
        <v>145</v>
      </c>
      <c r="H7" s="4" t="s">
        <v>146</v>
      </c>
    </row>
    <row r="8" ht="58" customHeight="1" spans="1:8">
      <c r="A8" s="5" t="s">
        <v>147</v>
      </c>
      <c r="B8" s="23" t="s">
        <v>148</v>
      </c>
      <c r="C8" s="23">
        <v>40800</v>
      </c>
      <c r="D8" s="23">
        <v>1700</v>
      </c>
      <c r="E8" s="23"/>
      <c r="F8" s="23"/>
      <c r="G8" s="23"/>
      <c r="H8" s="23"/>
    </row>
    <row r="9" ht="58" customHeight="1" spans="1:8">
      <c r="A9" s="5" t="s">
        <v>149</v>
      </c>
      <c r="B9" s="23" t="s">
        <v>150</v>
      </c>
      <c r="C9" s="23">
        <v>43125</v>
      </c>
      <c r="D9" s="23">
        <v>1875</v>
      </c>
      <c r="E9" s="23">
        <v>52734</v>
      </c>
      <c r="F9" s="23">
        <v>2291</v>
      </c>
      <c r="G9" s="23">
        <v>55025</v>
      </c>
      <c r="H9" s="23">
        <v>55025</v>
      </c>
    </row>
    <row r="10" ht="58" customHeight="1" spans="1:8">
      <c r="A10" s="5" t="s">
        <v>151</v>
      </c>
      <c r="B10" s="23" t="s">
        <v>152</v>
      </c>
      <c r="C10" s="23">
        <v>44640</v>
      </c>
      <c r="D10" s="23">
        <v>1860</v>
      </c>
      <c r="E10" s="23">
        <v>54582</v>
      </c>
      <c r="F10" s="23">
        <v>2274</v>
      </c>
      <c r="G10" s="23">
        <v>56856</v>
      </c>
      <c r="H10" s="23">
        <v>111881</v>
      </c>
    </row>
    <row r="11" ht="58" customHeight="1" spans="1:8">
      <c r="A11" s="5" t="s">
        <v>153</v>
      </c>
      <c r="B11" s="23" t="s">
        <v>154</v>
      </c>
      <c r="C11" s="23">
        <v>45120</v>
      </c>
      <c r="D11" s="23">
        <v>1880</v>
      </c>
      <c r="E11" s="23">
        <v>55193</v>
      </c>
      <c r="F11" s="23">
        <v>2299</v>
      </c>
      <c r="G11" s="23">
        <v>57492</v>
      </c>
      <c r="H11" s="23">
        <v>169373</v>
      </c>
    </row>
    <row r="12" ht="58" customHeight="1" spans="1:8">
      <c r="A12" s="5" t="s">
        <v>155</v>
      </c>
      <c r="B12" s="23" t="s">
        <v>156</v>
      </c>
      <c r="C12" s="23">
        <v>46080</v>
      </c>
      <c r="D12" s="23">
        <v>1920</v>
      </c>
      <c r="E12" s="23">
        <v>56380</v>
      </c>
      <c r="F12" s="23">
        <v>2348</v>
      </c>
      <c r="G12" s="23">
        <v>58728</v>
      </c>
      <c r="H12" s="23">
        <v>228101</v>
      </c>
    </row>
    <row r="13" ht="58" customHeight="1" spans="1:8">
      <c r="A13" s="5" t="s">
        <v>157</v>
      </c>
      <c r="B13" s="23" t="s">
        <v>158</v>
      </c>
      <c r="C13" s="23">
        <v>44160</v>
      </c>
      <c r="D13" s="23">
        <v>1840</v>
      </c>
      <c r="E13" s="23">
        <v>54042</v>
      </c>
      <c r="F13" s="23">
        <v>2250</v>
      </c>
      <c r="G13" s="23">
        <v>56292</v>
      </c>
      <c r="H13" s="23">
        <v>284393</v>
      </c>
    </row>
    <row r="14" ht="58" customHeight="1" spans="1:8">
      <c r="A14" s="5" t="s">
        <v>159</v>
      </c>
      <c r="B14" s="23" t="s">
        <v>160</v>
      </c>
      <c r="C14" s="23">
        <v>47520</v>
      </c>
      <c r="D14" s="23">
        <v>1980</v>
      </c>
      <c r="E14" s="23">
        <v>58155</v>
      </c>
      <c r="F14" s="23">
        <v>2421</v>
      </c>
      <c r="G14" s="23">
        <v>60576</v>
      </c>
      <c r="H14" s="23">
        <v>344969</v>
      </c>
    </row>
    <row r="15" ht="58" customHeight="1" spans="1:8">
      <c r="A15" s="5" t="s">
        <v>161</v>
      </c>
      <c r="B15" s="23" t="s">
        <v>162</v>
      </c>
      <c r="C15" s="23">
        <v>48000</v>
      </c>
      <c r="D15" s="23">
        <v>2000</v>
      </c>
      <c r="E15" s="23">
        <v>58752</v>
      </c>
      <c r="F15" s="23">
        <v>2445</v>
      </c>
      <c r="G15" s="23">
        <v>61197</v>
      </c>
      <c r="H15" s="23">
        <v>406166</v>
      </c>
    </row>
    <row r="16" ht="58" customHeight="1" spans="1:8">
      <c r="A16" s="5" t="s">
        <v>163</v>
      </c>
      <c r="B16" s="23" t="s">
        <v>164</v>
      </c>
      <c r="C16" s="23">
        <v>48960</v>
      </c>
      <c r="D16" s="23">
        <v>2040</v>
      </c>
      <c r="E16" s="23">
        <v>59926</v>
      </c>
      <c r="F16" s="23">
        <v>2494</v>
      </c>
      <c r="G16" s="23">
        <v>62420</v>
      </c>
      <c r="H16" s="23">
        <v>468586</v>
      </c>
    </row>
    <row r="17" ht="58" customHeight="1" spans="1:8">
      <c r="A17" s="5" t="s">
        <v>165</v>
      </c>
      <c r="B17" s="23" t="s">
        <v>166</v>
      </c>
      <c r="C17" s="23">
        <v>50400</v>
      </c>
      <c r="D17" s="23">
        <v>2100</v>
      </c>
      <c r="E17" s="23">
        <v>61718</v>
      </c>
      <c r="F17" s="23">
        <v>2567</v>
      </c>
      <c r="G17" s="23">
        <v>64285</v>
      </c>
      <c r="H17" s="23">
        <v>532871</v>
      </c>
    </row>
    <row r="18" ht="58" customHeight="1" spans="1:8">
      <c r="A18" s="5" t="s">
        <v>167</v>
      </c>
      <c r="B18" s="23" t="s">
        <v>168</v>
      </c>
      <c r="C18" s="23">
        <v>51360</v>
      </c>
      <c r="D18" s="23">
        <v>2140</v>
      </c>
      <c r="E18" s="23">
        <v>62933</v>
      </c>
      <c r="F18" s="23">
        <v>2616</v>
      </c>
      <c r="G18" s="23">
        <v>65549</v>
      </c>
      <c r="H18" s="23">
        <v>598420</v>
      </c>
    </row>
    <row r="19" ht="58" customHeight="1" spans="1:8">
      <c r="A19" s="5" t="s">
        <v>169</v>
      </c>
      <c r="B19" s="23" t="s">
        <v>170</v>
      </c>
      <c r="C19" s="23">
        <v>46435</v>
      </c>
      <c r="D19" s="23">
        <v>2065</v>
      </c>
      <c r="E19" s="23">
        <v>57131</v>
      </c>
      <c r="F19" s="23">
        <v>2595</v>
      </c>
      <c r="G19" s="23">
        <v>59726</v>
      </c>
      <c r="H19" s="23">
        <v>658146</v>
      </c>
    </row>
    <row r="20" ht="58" customHeight="1" spans="1:8">
      <c r="A20" s="4" t="s">
        <v>35</v>
      </c>
      <c r="B20" s="23" t="s">
        <v>171</v>
      </c>
      <c r="C20" s="23">
        <v>555600</v>
      </c>
      <c r="D20" s="23">
        <v>24400</v>
      </c>
      <c r="E20" s="23">
        <v>631546</v>
      </c>
      <c r="F20" s="23">
        <v>270000</v>
      </c>
      <c r="G20" s="23">
        <v>901546</v>
      </c>
      <c r="H20" s="23">
        <v>658146</v>
      </c>
    </row>
  </sheetData>
  <mergeCells count="6">
    <mergeCell ref="A1:H1"/>
    <mergeCell ref="A2:H2"/>
    <mergeCell ref="A3:H3"/>
    <mergeCell ref="A4:H4"/>
    <mergeCell ref="A5:H5"/>
    <mergeCell ref="A6:H6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9"/>
  <sheetViews>
    <sheetView workbookViewId="0">
      <selection activeCell="L5" sqref="L5"/>
    </sheetView>
  </sheetViews>
  <sheetFormatPr defaultColWidth="8.88888888888889" defaultRowHeight="14.4" outlineLevelCol="3"/>
  <cols>
    <col min="1" max="1" width="28.4444444444444" customWidth="1"/>
    <col min="2" max="4" width="18.7777777777778" customWidth="1"/>
  </cols>
  <sheetData>
    <row r="1" ht="58" customHeight="1" spans="1:4">
      <c r="A1" s="16" t="s">
        <v>172</v>
      </c>
      <c r="B1" s="16"/>
      <c r="C1" s="16"/>
      <c r="D1" s="16"/>
    </row>
    <row r="2" ht="58" customHeight="1" spans="1:4">
      <c r="A2" s="16"/>
      <c r="B2" s="16"/>
      <c r="C2" s="16"/>
      <c r="D2" s="16"/>
    </row>
    <row r="3" ht="58" customHeight="1" spans="1:4">
      <c r="A3" s="14" t="s">
        <v>173</v>
      </c>
      <c r="B3" s="14" t="s">
        <v>174</v>
      </c>
      <c r="C3" s="14" t="s">
        <v>175</v>
      </c>
      <c r="D3" s="14"/>
    </row>
    <row r="4" ht="58" customHeight="1" spans="1:4">
      <c r="A4" s="14" t="s">
        <v>176</v>
      </c>
      <c r="B4" s="14">
        <v>0.12</v>
      </c>
      <c r="C4" s="14" t="s">
        <v>177</v>
      </c>
      <c r="D4" s="14"/>
    </row>
    <row r="5" ht="58" customHeight="1" spans="1:4">
      <c r="A5" s="14" t="s">
        <v>178</v>
      </c>
      <c r="B5" s="14">
        <v>0.08</v>
      </c>
      <c r="C5" s="14" t="s">
        <v>179</v>
      </c>
      <c r="D5" s="14"/>
    </row>
    <row r="6" ht="58" customHeight="1" spans="1:4">
      <c r="A6" s="14" t="s">
        <v>180</v>
      </c>
      <c r="B6" s="14">
        <v>0.5</v>
      </c>
      <c r="C6" s="14" t="s">
        <v>181</v>
      </c>
      <c r="D6" s="14"/>
    </row>
    <row r="7" ht="58" customHeight="1" spans="1:4">
      <c r="A7" s="14" t="s">
        <v>182</v>
      </c>
      <c r="B7" s="14">
        <v>1.2</v>
      </c>
      <c r="C7" s="14" t="s">
        <v>181</v>
      </c>
      <c r="D7" s="14"/>
    </row>
    <row r="8" ht="58" customHeight="1" spans="1:4">
      <c r="A8" s="14" t="s">
        <v>183</v>
      </c>
      <c r="B8" s="14">
        <v>0.1</v>
      </c>
      <c r="C8" s="14" t="s">
        <v>184</v>
      </c>
      <c r="D8" s="14"/>
    </row>
    <row r="9" ht="58" customHeight="1" spans="1:4">
      <c r="A9" s="14" t="s">
        <v>185</v>
      </c>
      <c r="B9" s="14">
        <v>0.9</v>
      </c>
      <c r="C9" s="14" t="s">
        <v>186</v>
      </c>
      <c r="D9" s="14"/>
    </row>
  </sheetData>
  <mergeCells count="8">
    <mergeCell ref="C3:D3"/>
    <mergeCell ref="C4:D4"/>
    <mergeCell ref="C5:D5"/>
    <mergeCell ref="C6:D6"/>
    <mergeCell ref="C7:D7"/>
    <mergeCell ref="C8:D8"/>
    <mergeCell ref="C9:D9"/>
    <mergeCell ref="A1:D2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"/>
  <sheetViews>
    <sheetView workbookViewId="0">
      <selection activeCell="A1" sqref="A1:F1"/>
    </sheetView>
  </sheetViews>
  <sheetFormatPr defaultColWidth="8.88888888888889" defaultRowHeight="59" customHeight="1" outlineLevelRow="4" outlineLevelCol="6"/>
  <cols>
    <col min="1" max="1" width="15.7777777777778" customWidth="1"/>
    <col min="2" max="2" width="24.8888888888889" customWidth="1"/>
    <col min="3" max="3" width="23.6666666666667" customWidth="1"/>
    <col min="4" max="4" width="36.4444444444444" customWidth="1"/>
    <col min="5" max="5" width="31.8888888888889" customWidth="1"/>
    <col min="6" max="6" width="25.3333333333333" customWidth="1"/>
  </cols>
  <sheetData>
    <row r="1" customHeight="1" spans="1:6">
      <c r="A1" s="11" t="s">
        <v>187</v>
      </c>
      <c r="B1" s="11"/>
      <c r="C1" s="11"/>
      <c r="D1" s="11"/>
      <c r="E1" s="11"/>
      <c r="F1" s="11"/>
    </row>
    <row r="2" customHeight="1" spans="1:6">
      <c r="A2" s="12" t="s">
        <v>59</v>
      </c>
      <c r="B2" s="12" t="s">
        <v>188</v>
      </c>
      <c r="C2" s="12" t="s">
        <v>189</v>
      </c>
      <c r="D2" s="12" t="s">
        <v>190</v>
      </c>
      <c r="E2" s="12" t="s">
        <v>191</v>
      </c>
      <c r="F2" s="12" t="s">
        <v>192</v>
      </c>
    </row>
    <row r="3" customHeight="1" spans="1:7">
      <c r="A3" s="12">
        <v>1</v>
      </c>
      <c r="B3" s="12" t="s">
        <v>193</v>
      </c>
      <c r="C3" s="12">
        <v>75.2</v>
      </c>
      <c r="D3" s="12">
        <v>0.03</v>
      </c>
      <c r="E3" s="12">
        <v>12</v>
      </c>
      <c r="F3" s="12">
        <f>C3*D3*E3</f>
        <v>27.072</v>
      </c>
      <c r="G3" s="13"/>
    </row>
    <row r="4" customHeight="1" spans="1:7">
      <c r="A4" s="14"/>
      <c r="B4" s="14"/>
      <c r="C4" s="14"/>
      <c r="D4" s="14"/>
      <c r="E4" s="14"/>
      <c r="G4" s="13"/>
    </row>
    <row r="5" customHeight="1" spans="1:5">
      <c r="A5" s="15"/>
      <c r="B5" s="15"/>
      <c r="C5" s="15"/>
      <c r="D5" s="15"/>
      <c r="E5" s="15"/>
    </row>
  </sheetData>
  <mergeCells count="1">
    <mergeCell ref="A1:F1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企业研发项目费用预算表</vt:lpstr>
      <vt:lpstr>企业研发项目费用预算表 (2)</vt:lpstr>
      <vt:lpstr>设备采购表</vt:lpstr>
      <vt:lpstr>设备详情表</vt:lpstr>
      <vt:lpstr>材料清单表</vt:lpstr>
      <vt:lpstr>研发人员薪资成本表</vt:lpstr>
      <vt:lpstr>等离子冷床炉折旧表</vt:lpstr>
      <vt:lpstr>参数表</vt:lpstr>
      <vt:lpstr>研发场地租赁</vt:lpstr>
      <vt:lpstr>无形资产摊销明细计算表</vt:lpstr>
      <vt:lpstr>试制模具开发费明细计算表</vt:lpstr>
      <vt:lpstr>成果验收费用明细计算表</vt:lpstr>
      <vt:lpstr>其他研发费用明细计算表</vt:lpstr>
      <vt:lpstr>管理费用表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业务会计</dc:creator>
  <cp:lastModifiedBy>重庆野玫瑰</cp:lastModifiedBy>
  <dcterms:created xsi:type="dcterms:W3CDTF">2023-05-12T11:15:00Z</dcterms:created>
  <dcterms:modified xsi:type="dcterms:W3CDTF">2025-07-22T09:20:41Z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2052-12.1.0.21915</vt:lpwstr>
  </property>
  <property fmtid="{D5CDD505-2E9C-101B-9397-08002B2CF9AE}" pid="3" name="ICV">
    <vt:lpwstr>0CBFE2061C114C31A61DB6B6C15B6BD5_12</vt:lpwstr>
  </property>
</Properties>
</file>