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2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3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4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harts/chart4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charts/chart4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5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6.xml" ContentType="application/vnd.openxmlformats-officedocument.drawingml.chart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2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63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64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charts/chart65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6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7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7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7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7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charts/chart7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7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5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8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79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80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charts/chart81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82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83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86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87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88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3.xml" ContentType="application/vnd.openxmlformats-officedocument.drawing+xml"/>
  <Override PartName="/xl/comments11.xml" ContentType="application/vnd.openxmlformats-officedocument.spreadsheetml.comments+xml"/>
  <Override PartName="/xl/charts/chart89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90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91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94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95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96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14.xml" ContentType="application/vnd.openxmlformats-officedocument.drawing+xml"/>
  <Override PartName="/xl/comments12.xml" ContentType="application/vnd.openxmlformats-officedocument.spreadsheetml.comments+xml"/>
  <Override PartName="/xl/charts/chart97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98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99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102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103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104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15.xml" ContentType="application/vnd.openxmlformats-officedocument.drawing+xml"/>
  <Override PartName="/xl/comments13.xml" ContentType="application/vnd.openxmlformats-officedocument.spreadsheetml.comments+xml"/>
  <Override PartName="/xl/charts/chart105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106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107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110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111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112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6.xml" ContentType="application/vnd.openxmlformats-officedocument.drawing+xml"/>
  <Override PartName="/xl/comments14.xml" ContentType="application/vnd.openxmlformats-officedocument.spreadsheetml.comments+xml"/>
  <Override PartName="/xl/charts/chart113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114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15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1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1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2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17.xml" ContentType="application/vnd.openxmlformats-officedocument.drawing+xml"/>
  <Override PartName="/xl/comments15.xml" ContentType="application/vnd.openxmlformats-officedocument.spreadsheetml.comments+xml"/>
  <Override PartName="/xl/charts/chart12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2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2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26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27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28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18.xml" ContentType="application/vnd.openxmlformats-officedocument.drawing+xml"/>
  <Override PartName="/xl/comments16.xml" ContentType="application/vnd.openxmlformats-officedocument.spreadsheetml.comments+xml"/>
  <Override PartName="/xl/charts/chart129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30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31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34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35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36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19.xml" ContentType="application/vnd.openxmlformats-officedocument.drawing+xml"/>
  <Override PartName="/xl/comments17.xml" ContentType="application/vnd.openxmlformats-officedocument.spreadsheetml.comments+xml"/>
  <Override PartName="/xl/charts/chart137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38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39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42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43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44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drawings/drawing20.xml" ContentType="application/vnd.openxmlformats-officedocument.drawing+xml"/>
  <Override PartName="/xl/comments18.xml" ContentType="application/vnd.openxmlformats-officedocument.spreadsheetml.comments+xml"/>
  <Override PartName="/xl/charts/chart145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46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47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50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51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52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drawings/drawing21.xml" ContentType="application/vnd.openxmlformats-officedocument.drawing+xml"/>
  <Override PartName="/xl/comments19.xml" ContentType="application/vnd.openxmlformats-officedocument.spreadsheetml.comments+xml"/>
  <Override PartName="/xl/charts/chart153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54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55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58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59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60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drawings/drawing22.xml" ContentType="application/vnd.openxmlformats-officedocument.drawing+xml"/>
  <Override PartName="/xl/comments20.xml" ContentType="application/vnd.openxmlformats-officedocument.spreadsheetml.comments+xml"/>
  <Override PartName="/xl/charts/chart161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62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63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66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67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68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drawings/drawing23.xml" ContentType="application/vnd.openxmlformats-officedocument.drawing+xml"/>
  <Override PartName="/xl/comments21.xml" ContentType="application/vnd.openxmlformats-officedocument.spreadsheetml.comments+xml"/>
  <Override PartName="/xl/charts/chart169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70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71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74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75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76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drawings/drawing24.xml" ContentType="application/vnd.openxmlformats-officedocument.drawing+xml"/>
  <Override PartName="/xl/comments22.xml" ContentType="application/vnd.openxmlformats-officedocument.spreadsheetml.comments+xml"/>
  <Override PartName="/xl/charts/chart177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78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79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82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83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84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85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88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89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90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drawings/drawing25.xml" ContentType="application/vnd.openxmlformats-officedocument.drawing+xml"/>
  <Override PartName="/xl/comments23.xml" ContentType="application/vnd.openxmlformats-officedocument.spreadsheetml.comments+xml"/>
  <Override PartName="/xl/charts/chart191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92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93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9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9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9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drawings/drawing26.xml" ContentType="application/vnd.openxmlformats-officedocument.drawing+xml"/>
  <Override PartName="/xl/comments24.xml" ContentType="application/vnd.openxmlformats-officedocument.spreadsheetml.comments+xml"/>
  <Override PartName="/xl/charts/chart19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202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203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204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205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208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209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drawings/drawing27.xml" ContentType="application/vnd.openxmlformats-officedocument.drawing+xml"/>
  <Override PartName="/xl/comments25.xml" ContentType="application/vnd.openxmlformats-officedocument.spreadsheetml.comments+xml"/>
  <Override PartName="/xl/charts/chart210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211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214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215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216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217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drawings/drawing28.xml" ContentType="application/vnd.openxmlformats-officedocument.drawing+xml"/>
  <Override PartName="/xl/comments26.xml" ContentType="application/vnd.openxmlformats-officedocument.spreadsheetml.comments+xml"/>
  <Override PartName="/xl/charts/chart218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219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220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223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224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225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drawings/drawing29.xml" ContentType="application/vnd.openxmlformats-officedocument.drawing+xml"/>
  <Override PartName="/xl/comments27.xml" ContentType="application/vnd.openxmlformats-officedocument.spreadsheetml.comments+xml"/>
  <Override PartName="/xl/charts/chart226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229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230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231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232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233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drawings/drawing30.xml" ContentType="application/vnd.openxmlformats-officedocument.drawing+xml"/>
  <Override PartName="/xl/comments28.xml" ContentType="application/vnd.openxmlformats-officedocument.spreadsheetml.comments+xml"/>
  <Override PartName="/xl/charts/chart234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35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36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39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40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41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drawings/drawing31.xml" ContentType="application/vnd.openxmlformats-officedocument.drawing+xml"/>
  <Override PartName="/xl/comments29.xml" ContentType="application/vnd.openxmlformats-officedocument.spreadsheetml.comments+xml"/>
  <Override PartName="/xl/charts/chart242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43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44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47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48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49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drawings/drawing32.xml" ContentType="application/vnd.openxmlformats-officedocument.drawing+xml"/>
  <Override PartName="/xl/comments30.xml" ContentType="application/vnd.openxmlformats-officedocument.spreadsheetml.comments+xml"/>
  <Override PartName="/xl/charts/chart250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51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54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55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56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57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drawings/drawing33.xml" ContentType="application/vnd.openxmlformats-officedocument.drawing+xml"/>
  <Override PartName="/xl/comments31.xml" ContentType="application/vnd.openxmlformats-officedocument.spreadsheetml.comments+xml"/>
  <Override PartName="/xl/charts/chart258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59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60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63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64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65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drawings/drawing34.xml" ContentType="application/vnd.openxmlformats-officedocument.drawing+xml"/>
  <Override PartName="/xl/charts/chart266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67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charts/chart268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charts/chart269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charts/chart270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drawings/drawing35.xml" ContentType="application/vnd.openxmlformats-officedocument.drawing+xml"/>
  <Override PartName="/xl/comments32.xml" ContentType="application/vnd.openxmlformats-officedocument.spreadsheetml.comments+xml"/>
  <Override PartName="/xl/charts/chart271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charts/chart272.xml" ContentType="application/vnd.openxmlformats-officedocument.drawingml.chart+xml"/>
  <Override PartName="/xl/charts/style233.xml" ContentType="application/vnd.ms-office.chartstyle+xml"/>
  <Override PartName="/xl/charts/colors233.xml" ContentType="application/vnd.ms-office.chartcolorstyle+xml"/>
  <Override PartName="/xl/charts/chart273.xml" ContentType="application/vnd.openxmlformats-officedocument.drawingml.chart+xml"/>
  <Override PartName="/xl/charts/style234.xml" ContentType="application/vnd.ms-office.chartstyle+xml"/>
  <Override PartName="/xl/charts/colors234.xml" ContentType="application/vnd.ms-office.chartcolorstyle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style235.xml" ContentType="application/vnd.ms-office.chartstyle+xml"/>
  <Override PartName="/xl/charts/colors235.xml" ContentType="application/vnd.ms-office.chartcolorstyle+xml"/>
  <Override PartName="/xl/charts/chart276.xml" ContentType="application/vnd.openxmlformats-officedocument.drawingml.chart+xml"/>
  <Override PartName="/xl/charts/style236.xml" ContentType="application/vnd.ms-office.chartstyle+xml"/>
  <Override PartName="/xl/charts/colors236.xml" ContentType="application/vnd.ms-office.chartcolorstyle+xml"/>
  <Override PartName="/xl/charts/chart277.xml" ContentType="application/vnd.openxmlformats-officedocument.drawingml.chart+xml"/>
  <Override PartName="/xl/charts/style237.xml" ContentType="application/vnd.ms-office.chartstyle+xml"/>
  <Override PartName="/xl/charts/colors237.xml" ContentType="application/vnd.ms-office.chartcolorstyle+xml"/>
  <Override PartName="/xl/charts/chart278.xml" ContentType="application/vnd.openxmlformats-officedocument.drawingml.chart+xml"/>
  <Override PartName="/xl/charts/style238.xml" ContentType="application/vnd.ms-office.chartstyle+xml"/>
  <Override PartName="/xl/charts/colors23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DF_New-master\Tracker\"/>
    </mc:Choice>
  </mc:AlternateContent>
  <xr:revisionPtr revIDLastSave="0" documentId="13_ncr:1_{C03E8671-A66C-427F-BB49-AE7BEB5CBA91}" xr6:coauthVersionLast="47" xr6:coauthVersionMax="47" xr10:uidLastSave="{00000000-0000-0000-0000-000000000000}"/>
  <bookViews>
    <workbookView xWindow="-110" yWindow="-110" windowWidth="19420" windowHeight="10300" firstSheet="10" activeTab="12" xr2:uid="{00000000-000D-0000-FFFF-FFFF00000000}"/>
  </bookViews>
  <sheets>
    <sheet name="Readme" sheetId="25" r:id="rId1"/>
    <sheet name="EffortSavings 2021" sheetId="41" r:id="rId2"/>
    <sheet name="Cumulative Metrics 2022" sheetId="19" r:id="rId3"/>
    <sheet name="SAMPLE" sheetId="51" state="hidden" r:id="rId4"/>
    <sheet name="Magic" sheetId="164" r:id="rId5"/>
    <sheet name="GTM" sheetId="118" r:id="rId6"/>
    <sheet name="Linearschedule_BulkCreate" sheetId="163" r:id="rId7"/>
    <sheet name="CompassRePlatform" sheetId="116" r:id="rId8"/>
    <sheet name="Finance" sheetId="131" r:id="rId9"/>
    <sheet name="USH OmniBasket" sheetId="140" r:id="rId10"/>
    <sheet name="ALF" sheetId="148" r:id="rId11"/>
    <sheet name="UO OmniBasket" sheetId="144" r:id="rId12"/>
    <sheet name="DigitalForce" sheetId="165" r:id="rId13"/>
    <sheet name="RF_Mercury" sheetId="145" r:id="rId14"/>
    <sheet name="POP" sheetId="149" r:id="rId15"/>
    <sheet name="TicketingPOS" sheetId="139" r:id="rId16"/>
    <sheet name="USH_EzRez" sheetId="124" r:id="rId17"/>
    <sheet name="Medea" sheetId="101" r:id="rId18"/>
    <sheet name="CAR" sheetId="126" r:id="rId19"/>
    <sheet name="KAM" sheetId="128" r:id="rId20"/>
    <sheet name="Recap" sheetId="100" r:id="rId21"/>
    <sheet name="TBT" sheetId="99" r:id="rId22"/>
    <sheet name="ReleaseForce" sheetId="122" r:id="rId23"/>
    <sheet name="WideOrbit" sheetId="127" r:id="rId24"/>
    <sheet name="Score" sheetId="153" r:id="rId25"/>
    <sheet name="DeptSystems" sheetId="154" r:id="rId26"/>
    <sheet name="Sphere" sheetId="155" r:id="rId27"/>
    <sheet name="CAFE" sheetId="156" r:id="rId28"/>
    <sheet name="SAFE" sheetId="157" r:id="rId29"/>
    <sheet name="ProM" sheetId="158" state="hidden" r:id="rId30"/>
    <sheet name="TVROCS" sheetId="159" r:id="rId31"/>
    <sheet name="PDM" sheetId="160" state="hidden" r:id="rId32"/>
    <sheet name="AssetTracker" sheetId="161" state="hidden" r:id="rId33"/>
    <sheet name="APAR" sheetId="162" state="hidden" r:id="rId34"/>
    <sheet name="Sheet2" sheetId="146" r:id="rId35"/>
    <sheet name="Producer Dashboard" sheetId="64" state="hidden" r:id="rId36"/>
    <sheet name="Sheet1" sheetId="42" state="hidden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'Cumulative Metrics 2022'!$A$2:$AE$30</definedName>
    <definedName name="Month" localSheetId="13">[1]MonthlyEffortSavings!$B$2:$M$2</definedName>
    <definedName name="Month" localSheetId="15">[1]MonthlyEffortSavings!$B$2:$M$2</definedName>
    <definedName name="Month" localSheetId="11">[1]MonthlyEffortSavings!$B$2:$M$2</definedName>
    <definedName name="Month" localSheetId="9">[1]MonthlyEffortSavings!$B$2:$M$2</definedName>
    <definedName name="Month">[1]MonthlyEffortSavings!$B$2:$M$2</definedName>
    <definedName name="Month1" localSheetId="15">'[2]MonthlyEffortSavings 2018'!$B$2:$M$2</definedName>
    <definedName name="Month1" localSheetId="11">'[2]MonthlyEffortSavings 2018'!$B$2:$M$2</definedName>
    <definedName name="Month1" localSheetId="9">'[2]MonthlyEffortSavings 2018'!$B$2:$M$2</definedName>
    <definedName name="Month1">'[2]MonthlyEffortSavings 2018'!$B$2:$M$2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65" l="1"/>
  <c r="S47" i="165"/>
  <c r="Q47" i="165"/>
  <c r="R47" i="165" s="1"/>
  <c r="P47" i="165"/>
  <c r="AC4" i="165"/>
  <c r="AB4" i="165"/>
  <c r="AA4" i="165"/>
  <c r="X4" i="165"/>
  <c r="R4" i="165"/>
  <c r="Y4" i="165" s="1"/>
  <c r="S47" i="164"/>
  <c r="Q47" i="164"/>
  <c r="P47" i="164"/>
  <c r="AE4" i="165" l="1"/>
  <c r="AD4" i="165"/>
  <c r="AC4" i="164"/>
  <c r="AB4" i="164"/>
  <c r="AA4" i="164"/>
  <c r="X4" i="164"/>
  <c r="R4" i="164"/>
  <c r="Y4" i="164" s="1"/>
  <c r="P47" i="118"/>
  <c r="Q47" i="118"/>
  <c r="R47" i="118" s="1"/>
  <c r="S47" i="118"/>
  <c r="AC4" i="118"/>
  <c r="AB4" i="118"/>
  <c r="AA4" i="118"/>
  <c r="X4" i="118"/>
  <c r="R4" i="118"/>
  <c r="Y4" i="118" s="1"/>
  <c r="X3" i="163"/>
  <c r="Y3" i="163" s="1"/>
  <c r="AD3" i="163" s="1"/>
  <c r="AA3" i="163"/>
  <c r="AB3" i="163"/>
  <c r="AC3" i="163"/>
  <c r="R3" i="116"/>
  <c r="X3" i="116"/>
  <c r="Y3" i="116" s="1"/>
  <c r="AA3" i="116"/>
  <c r="AB3" i="116"/>
  <c r="AC3" i="116"/>
  <c r="M6" i="118"/>
  <c r="AE4" i="164" l="1"/>
  <c r="AD4" i="164"/>
  <c r="AE4" i="118"/>
  <c r="AD4" i="118"/>
  <c r="AD3" i="116"/>
  <c r="AE3" i="116"/>
  <c r="AC4" i="116" l="1"/>
  <c r="AB4" i="116"/>
  <c r="AA4" i="116"/>
  <c r="X4" i="116"/>
  <c r="R4" i="116"/>
  <c r="Y4" i="116" s="1"/>
  <c r="AC4" i="163"/>
  <c r="AB4" i="163"/>
  <c r="AA4" i="163"/>
  <c r="X4" i="163"/>
  <c r="Y4" i="163" s="1"/>
  <c r="AD4" i="163" s="1"/>
  <c r="S57" i="165"/>
  <c r="Q57" i="165"/>
  <c r="P57" i="165"/>
  <c r="S56" i="165"/>
  <c r="Q56" i="165"/>
  <c r="P56" i="165"/>
  <c r="S55" i="165"/>
  <c r="Q55" i="165"/>
  <c r="P55" i="165"/>
  <c r="S54" i="165"/>
  <c r="Q54" i="165"/>
  <c r="P54" i="165"/>
  <c r="S53" i="165"/>
  <c r="Q53" i="165"/>
  <c r="P53" i="165"/>
  <c r="S52" i="165"/>
  <c r="Q52" i="165"/>
  <c r="P52" i="165"/>
  <c r="S51" i="165"/>
  <c r="Q51" i="165"/>
  <c r="P51" i="165"/>
  <c r="S50" i="165"/>
  <c r="Q50" i="165"/>
  <c r="P50" i="165"/>
  <c r="S49" i="165"/>
  <c r="Q49" i="165"/>
  <c r="P49" i="165"/>
  <c r="U6" i="165"/>
  <c r="T6" i="165"/>
  <c r="S6" i="165"/>
  <c r="AC5" i="165"/>
  <c r="AB5" i="165"/>
  <c r="AA5" i="165"/>
  <c r="X5" i="165"/>
  <c r="R5" i="165"/>
  <c r="P48" i="165" s="1"/>
  <c r="AC3" i="165"/>
  <c r="AB3" i="165"/>
  <c r="AA3" i="165"/>
  <c r="X3" i="165"/>
  <c r="R3" i="165"/>
  <c r="S57" i="164"/>
  <c r="Q57" i="164"/>
  <c r="P57" i="164"/>
  <c r="S56" i="164"/>
  <c r="Q56" i="164"/>
  <c r="P56" i="164"/>
  <c r="S55" i="164"/>
  <c r="Q55" i="164"/>
  <c r="P55" i="164"/>
  <c r="S54" i="164"/>
  <c r="Q54" i="164"/>
  <c r="R54" i="164" s="1"/>
  <c r="P54" i="164"/>
  <c r="S53" i="164"/>
  <c r="Q53" i="164"/>
  <c r="P53" i="164"/>
  <c r="S52" i="164"/>
  <c r="Q52" i="164"/>
  <c r="P52" i="164"/>
  <c r="S51" i="164"/>
  <c r="Q51" i="164"/>
  <c r="P51" i="164"/>
  <c r="S50" i="164"/>
  <c r="Q50" i="164"/>
  <c r="R50" i="164" s="1"/>
  <c r="P50" i="164"/>
  <c r="S49" i="164"/>
  <c r="Q49" i="164"/>
  <c r="P49" i="164"/>
  <c r="S48" i="164"/>
  <c r="Q48" i="164"/>
  <c r="P48" i="164"/>
  <c r="U6" i="164"/>
  <c r="T6" i="164"/>
  <c r="S6" i="164"/>
  <c r="AC5" i="164"/>
  <c r="AB5" i="164"/>
  <c r="AA5" i="164"/>
  <c r="X5" i="164"/>
  <c r="R5" i="164"/>
  <c r="AC3" i="164"/>
  <c r="AB3" i="164"/>
  <c r="AA3" i="164"/>
  <c r="X3" i="164"/>
  <c r="R3" i="164"/>
  <c r="P46" i="164" s="1"/>
  <c r="W6" i="164"/>
  <c r="J6" i="164"/>
  <c r="R6" i="165"/>
  <c r="O6" i="164"/>
  <c r="O6" i="165"/>
  <c r="P6" i="164"/>
  <c r="P6" i="165"/>
  <c r="I6" i="164"/>
  <c r="L6" i="165"/>
  <c r="N6" i="164"/>
  <c r="V6" i="164"/>
  <c r="X6" i="164"/>
  <c r="H6" i="164"/>
  <c r="Z6" i="165"/>
  <c r="M6" i="165"/>
  <c r="M6" i="164"/>
  <c r="W6" i="165"/>
  <c r="I6" i="165"/>
  <c r="L6" i="164"/>
  <c r="K6" i="164"/>
  <c r="X6" i="165"/>
  <c r="D6" i="165"/>
  <c r="H6" i="165"/>
  <c r="J6" i="165"/>
  <c r="N6" i="165"/>
  <c r="Q6" i="165"/>
  <c r="V6" i="165"/>
  <c r="K6" i="165"/>
  <c r="D6" i="164"/>
  <c r="R6" i="164"/>
  <c r="Z6" i="164"/>
  <c r="Q6" i="164"/>
  <c r="R50" i="165" l="1"/>
  <c r="R56" i="165"/>
  <c r="R51" i="165"/>
  <c r="R52" i="165"/>
  <c r="R49" i="164"/>
  <c r="R53" i="164"/>
  <c r="AE4" i="116"/>
  <c r="AD4" i="116"/>
  <c r="Y5" i="165"/>
  <c r="R55" i="165"/>
  <c r="R53" i="165"/>
  <c r="R54" i="165"/>
  <c r="R49" i="165"/>
  <c r="R57" i="165"/>
  <c r="Y3" i="165"/>
  <c r="AC6" i="165"/>
  <c r="AA6" i="165"/>
  <c r="AB6" i="165"/>
  <c r="Q46" i="165"/>
  <c r="AE3" i="165"/>
  <c r="AD3" i="165"/>
  <c r="P46" i="165"/>
  <c r="R51" i="164"/>
  <c r="R55" i="164"/>
  <c r="R52" i="164"/>
  <c r="P58" i="164"/>
  <c r="R48" i="164"/>
  <c r="R56" i="164"/>
  <c r="R57" i="164"/>
  <c r="Y5" i="164"/>
  <c r="AE5" i="164" s="1"/>
  <c r="AC6" i="164"/>
  <c r="AA6" i="164"/>
  <c r="AB6" i="164"/>
  <c r="R47" i="164"/>
  <c r="Y3" i="164"/>
  <c r="Y6" i="165"/>
  <c r="Y6" i="164"/>
  <c r="P58" i="165" l="1"/>
  <c r="AE5" i="165"/>
  <c r="Q48" i="165"/>
  <c r="R48" i="165" s="1"/>
  <c r="AD5" i="165"/>
  <c r="AD6" i="165"/>
  <c r="R46" i="165"/>
  <c r="S46" i="165"/>
  <c r="AD5" i="164"/>
  <c r="AD6" i="164"/>
  <c r="AE3" i="164"/>
  <c r="Q46" i="164"/>
  <c r="AD3" i="164"/>
  <c r="AE6" i="165"/>
  <c r="AE6" i="164"/>
  <c r="Q58" i="165" l="1"/>
  <c r="R58" i="165" s="1"/>
  <c r="S48" i="165"/>
  <c r="R46" i="164"/>
  <c r="Q58" i="164"/>
  <c r="R58" i="164" s="1"/>
  <c r="S46" i="164"/>
  <c r="S58" i="164" s="1"/>
  <c r="S58" i="165" l="1"/>
  <c r="Q46" i="118"/>
  <c r="P46" i="118"/>
  <c r="AC3" i="118"/>
  <c r="AB3" i="118"/>
  <c r="AA3" i="118"/>
  <c r="X3" i="118"/>
  <c r="R3" i="118"/>
  <c r="Y3" i="118" s="1"/>
  <c r="AC3" i="145"/>
  <c r="AE3" i="118" l="1"/>
  <c r="S46" i="118" s="1"/>
  <c r="AD3" i="118"/>
  <c r="AC3" i="131"/>
  <c r="AB3" i="131"/>
  <c r="AA3" i="131"/>
  <c r="X3" i="131"/>
  <c r="R3" i="131"/>
  <c r="Y3" i="131" l="1"/>
  <c r="AE3" i="131"/>
  <c r="AD3" i="131"/>
  <c r="AC5" i="118" l="1"/>
  <c r="AB5" i="118"/>
  <c r="AA5" i="118"/>
  <c r="X5" i="118"/>
  <c r="R5" i="118"/>
  <c r="P48" i="118" s="1"/>
  <c r="P44" i="131"/>
  <c r="P56" i="118"/>
  <c r="P57" i="118"/>
  <c r="Y5" i="118" l="1"/>
  <c r="Q48" i="118" s="1"/>
  <c r="R48" i="118" s="1"/>
  <c r="S56" i="118"/>
  <c r="Q56" i="118"/>
  <c r="R56" i="118" s="1"/>
  <c r="Q57" i="118"/>
  <c r="R57" i="118" s="1"/>
  <c r="S55" i="145"/>
  <c r="Q55" i="145"/>
  <c r="P55" i="145"/>
  <c r="S54" i="145"/>
  <c r="Q54" i="145"/>
  <c r="P54" i="145"/>
  <c r="R55" i="145" l="1"/>
  <c r="R54" i="145"/>
  <c r="AE5" i="118"/>
  <c r="S48" i="118" s="1"/>
  <c r="AD5" i="118"/>
  <c r="S57" i="118"/>
  <c r="P6" i="145" l="1"/>
  <c r="P55" i="118"/>
  <c r="Q53" i="118" l="1"/>
  <c r="Q54" i="118"/>
  <c r="P53" i="118"/>
  <c r="P54" i="118"/>
  <c r="S52" i="145"/>
  <c r="S53" i="118"/>
  <c r="S5" i="116"/>
  <c r="T4" i="131"/>
  <c r="S4" i="131"/>
  <c r="T5" i="116"/>
  <c r="U5" i="116"/>
  <c r="U4" i="131"/>
  <c r="S54" i="118" l="1"/>
  <c r="R54" i="118"/>
  <c r="R53" i="118"/>
  <c r="S51" i="145"/>
  <c r="S55" i="118"/>
  <c r="Q55" i="118"/>
  <c r="R55" i="118" s="1"/>
  <c r="S46" i="145" l="1"/>
  <c r="Q46" i="145"/>
  <c r="P46" i="145"/>
  <c r="S45" i="145"/>
  <c r="Q45" i="145"/>
  <c r="P45" i="145"/>
  <c r="R46" i="145" l="1"/>
  <c r="S49" i="145"/>
  <c r="S48" i="145"/>
  <c r="S47" i="145"/>
  <c r="Q49" i="145"/>
  <c r="P49" i="145"/>
  <c r="Q48" i="145"/>
  <c r="P48" i="145"/>
  <c r="Q47" i="145"/>
  <c r="P47" i="145"/>
  <c r="R45" i="145"/>
  <c r="P51" i="101"/>
  <c r="P52" i="101"/>
  <c r="P47" i="101"/>
  <c r="Q47" i="101"/>
  <c r="R47" i="101" s="1"/>
  <c r="S47" i="101"/>
  <c r="P48" i="101"/>
  <c r="Q48" i="101"/>
  <c r="R48" i="101" s="1"/>
  <c r="S48" i="101"/>
  <c r="P49" i="101"/>
  <c r="Q49" i="101"/>
  <c r="R49" i="101" s="1"/>
  <c r="S49" i="101"/>
  <c r="P50" i="101"/>
  <c r="Q50" i="101"/>
  <c r="R50" i="101" s="1"/>
  <c r="S50" i="101"/>
  <c r="S6" i="118"/>
  <c r="T6" i="118"/>
  <c r="U6" i="118"/>
  <c r="U6" i="101"/>
  <c r="N6" i="101"/>
  <c r="S6" i="101"/>
  <c r="T6" i="101"/>
  <c r="R47" i="145" l="1"/>
  <c r="R49" i="145"/>
  <c r="R48" i="145"/>
  <c r="AC4" i="101" l="1"/>
  <c r="AB4" i="101"/>
  <c r="AA4" i="101"/>
  <c r="X4" i="101"/>
  <c r="Y4" i="101" s="1"/>
  <c r="Q51" i="101" s="1"/>
  <c r="R51" i="101" s="1"/>
  <c r="AE4" i="101" l="1"/>
  <c r="S51" i="101" s="1"/>
  <c r="AD4" i="101"/>
  <c r="P52" i="145" l="1"/>
  <c r="P53" i="145"/>
  <c r="P50" i="145"/>
  <c r="P51" i="145"/>
  <c r="Q53" i="145"/>
  <c r="R53" i="145" s="1"/>
  <c r="Q51" i="145" l="1"/>
  <c r="R51" i="145" s="1"/>
  <c r="Q52" i="145"/>
  <c r="R52" i="145" s="1"/>
  <c r="Q50" i="145"/>
  <c r="R50" i="145" s="1"/>
  <c r="S53" i="145"/>
  <c r="AC3" i="101"/>
  <c r="AB3" i="101"/>
  <c r="AA3" i="101"/>
  <c r="X3" i="101"/>
  <c r="Y3" i="101" l="1"/>
  <c r="S50" i="145"/>
  <c r="AE3" i="101"/>
  <c r="AD3" i="101"/>
  <c r="P45" i="116" l="1"/>
  <c r="P49" i="163" l="1"/>
  <c r="P46" i="163"/>
  <c r="P47" i="163"/>
  <c r="P48" i="163" l="1"/>
  <c r="S47" i="163"/>
  <c r="S48" i="163"/>
  <c r="Q48" i="163"/>
  <c r="R48" i="163" l="1"/>
  <c r="Q47" i="163"/>
  <c r="R47" i="163" s="1"/>
  <c r="Q46" i="163"/>
  <c r="R46" i="163" s="1"/>
  <c r="S46" i="163"/>
  <c r="Q49" i="163"/>
  <c r="R49" i="163" s="1"/>
  <c r="S49" i="163"/>
  <c r="Q4" i="145" l="1"/>
  <c r="N4" i="145"/>
  <c r="M4" i="145"/>
  <c r="L4" i="145"/>
  <c r="P53" i="101" l="1"/>
  <c r="Q53" i="101"/>
  <c r="S53" i="101"/>
  <c r="P54" i="101"/>
  <c r="Q54" i="101"/>
  <c r="S54" i="101"/>
  <c r="P55" i="101"/>
  <c r="Q55" i="101"/>
  <c r="S55" i="101"/>
  <c r="P56" i="101"/>
  <c r="Q56" i="101"/>
  <c r="S56" i="101"/>
  <c r="P57" i="101"/>
  <c r="Q57" i="101"/>
  <c r="S57" i="101"/>
  <c r="N6" i="118"/>
  <c r="R57" i="101" l="1"/>
  <c r="R54" i="101"/>
  <c r="R56" i="101"/>
  <c r="R53" i="101"/>
  <c r="R55" i="101"/>
  <c r="U4" i="145" l="1"/>
  <c r="T4" i="145"/>
  <c r="S4" i="145"/>
  <c r="P4" i="145"/>
  <c r="P44" i="145"/>
  <c r="D4" i="145"/>
  <c r="W4" i="145"/>
  <c r="V4" i="145"/>
  <c r="Z4" i="145"/>
  <c r="P52" i="118" l="1"/>
  <c r="P50" i="118"/>
  <c r="P51" i="118"/>
  <c r="P49" i="118"/>
  <c r="Q52" i="118" l="1"/>
  <c r="R52" i="118" s="1"/>
  <c r="Q50" i="118"/>
  <c r="Q51" i="118"/>
  <c r="R51" i="118" s="1"/>
  <c r="Q49" i="118"/>
  <c r="R49" i="118" s="1"/>
  <c r="S44" i="145"/>
  <c r="Q44" i="145"/>
  <c r="S51" i="118" l="1"/>
  <c r="S52" i="118"/>
  <c r="S49" i="118"/>
  <c r="S50" i="118"/>
  <c r="P6" i="118"/>
  <c r="S55" i="64" l="1"/>
  <c r="Q55" i="64"/>
  <c r="R55" i="64" s="1"/>
  <c r="P55" i="64"/>
  <c r="S54" i="64"/>
  <c r="Q54" i="64"/>
  <c r="P54" i="64"/>
  <c r="R54" i="64" s="1"/>
  <c r="S53" i="64"/>
  <c r="Q53" i="64"/>
  <c r="P53" i="64"/>
  <c r="R53" i="64" s="1"/>
  <c r="S52" i="64"/>
  <c r="Q52" i="64"/>
  <c r="P52" i="64"/>
  <c r="S51" i="64"/>
  <c r="Q51" i="64"/>
  <c r="P51" i="64"/>
  <c r="S50" i="64"/>
  <c r="Q50" i="64"/>
  <c r="P50" i="64"/>
  <c r="R50" i="64" s="1"/>
  <c r="P49" i="64"/>
  <c r="S48" i="64"/>
  <c r="Q48" i="64"/>
  <c r="P48" i="64"/>
  <c r="R48" i="64" s="1"/>
  <c r="S47" i="64"/>
  <c r="Q47" i="64"/>
  <c r="P47" i="64"/>
  <c r="S46" i="64"/>
  <c r="Q46" i="64"/>
  <c r="P46" i="64"/>
  <c r="S45" i="64"/>
  <c r="Q45" i="64"/>
  <c r="P45" i="64"/>
  <c r="P56" i="64" s="1"/>
  <c r="S44" i="64"/>
  <c r="Q44" i="64"/>
  <c r="P44" i="64"/>
  <c r="R44" i="64" s="1"/>
  <c r="AD3" i="64"/>
  <c r="AD4" i="64" s="1"/>
  <c r="AC3" i="64"/>
  <c r="AB3" i="64"/>
  <c r="V3" i="64"/>
  <c r="R3" i="64"/>
  <c r="Y3" i="64" s="1"/>
  <c r="S57" i="162"/>
  <c r="Q57" i="162"/>
  <c r="P57" i="162"/>
  <c r="S56" i="162"/>
  <c r="Q56" i="162"/>
  <c r="P56" i="162"/>
  <c r="S55" i="162"/>
  <c r="Q55" i="162"/>
  <c r="P55" i="162"/>
  <c r="S54" i="162"/>
  <c r="Q54" i="162"/>
  <c r="P54" i="162"/>
  <c r="S53" i="162"/>
  <c r="Q53" i="162"/>
  <c r="P53" i="162"/>
  <c r="S52" i="162"/>
  <c r="Q52" i="162"/>
  <c r="P52" i="162"/>
  <c r="S51" i="162"/>
  <c r="Q51" i="162"/>
  <c r="P51" i="162"/>
  <c r="S50" i="162"/>
  <c r="Q50" i="162"/>
  <c r="P50" i="162"/>
  <c r="S49" i="162"/>
  <c r="Q49" i="162"/>
  <c r="P49" i="162"/>
  <c r="S48" i="162"/>
  <c r="Q48" i="162"/>
  <c r="P48" i="162"/>
  <c r="S47" i="162"/>
  <c r="Q47" i="162"/>
  <c r="P47" i="162"/>
  <c r="A6" i="162"/>
  <c r="AD5" i="162"/>
  <c r="AC5" i="162"/>
  <c r="AB5" i="162"/>
  <c r="X5" i="162"/>
  <c r="R5" i="162"/>
  <c r="Y5" i="162" s="1"/>
  <c r="AD4" i="162"/>
  <c r="AC4" i="162"/>
  <c r="AB4" i="162"/>
  <c r="X4" i="162"/>
  <c r="R4" i="162"/>
  <c r="AD3" i="162"/>
  <c r="AC3" i="162"/>
  <c r="AB3" i="162"/>
  <c r="X3" i="162"/>
  <c r="R3" i="162"/>
  <c r="P46" i="162" s="1"/>
  <c r="S57" i="161"/>
  <c r="Q57" i="161"/>
  <c r="P57" i="161"/>
  <c r="R57" i="161" s="1"/>
  <c r="S56" i="161"/>
  <c r="Q56" i="161"/>
  <c r="P56" i="161"/>
  <c r="R56" i="161" s="1"/>
  <c r="S55" i="161"/>
  <c r="Q55" i="161"/>
  <c r="P55" i="161"/>
  <c r="R55" i="161" s="1"/>
  <c r="S54" i="161"/>
  <c r="Q54" i="161"/>
  <c r="P54" i="161"/>
  <c r="S53" i="161"/>
  <c r="Q53" i="161"/>
  <c r="P53" i="161"/>
  <c r="R53" i="161" s="1"/>
  <c r="S52" i="161"/>
  <c r="Q52" i="161"/>
  <c r="P52" i="161"/>
  <c r="R52" i="161" s="1"/>
  <c r="S51" i="161"/>
  <c r="Q51" i="161"/>
  <c r="P51" i="161"/>
  <c r="R51" i="161" s="1"/>
  <c r="S50" i="161"/>
  <c r="Q50" i="161"/>
  <c r="P50" i="161"/>
  <c r="S49" i="161"/>
  <c r="Q49" i="161"/>
  <c r="P49" i="161"/>
  <c r="R49" i="161" s="1"/>
  <c r="S48" i="161"/>
  <c r="Q48" i="161"/>
  <c r="P48" i="161"/>
  <c r="R48" i="161" s="1"/>
  <c r="S47" i="161"/>
  <c r="Q47" i="161"/>
  <c r="P47" i="161"/>
  <c r="R47" i="161" s="1"/>
  <c r="A6" i="161"/>
  <c r="AD5" i="161"/>
  <c r="AC5" i="161"/>
  <c r="AB5" i="161"/>
  <c r="X5" i="161"/>
  <c r="R5" i="161"/>
  <c r="Y5" i="161" s="1"/>
  <c r="AD4" i="161"/>
  <c r="AC4" i="161"/>
  <c r="AB4" i="161"/>
  <c r="X4" i="161"/>
  <c r="R4" i="161"/>
  <c r="AD3" i="161"/>
  <c r="AC3" i="161"/>
  <c r="AB3" i="161"/>
  <c r="X3" i="161"/>
  <c r="R3" i="161"/>
  <c r="P46" i="161" s="1"/>
  <c r="S57" i="160"/>
  <c r="Q57" i="160"/>
  <c r="P57" i="160"/>
  <c r="S56" i="160"/>
  <c r="Q56" i="160"/>
  <c r="L25" i="41" s="1"/>
  <c r="P56" i="160"/>
  <c r="S55" i="160"/>
  <c r="Q55" i="160"/>
  <c r="P55" i="160"/>
  <c r="R55" i="160" s="1"/>
  <c r="S54" i="160"/>
  <c r="Q54" i="160"/>
  <c r="P54" i="160"/>
  <c r="R54" i="160" s="1"/>
  <c r="S53" i="160"/>
  <c r="Q53" i="160"/>
  <c r="P53" i="160"/>
  <c r="S52" i="160"/>
  <c r="Q52" i="160"/>
  <c r="P52" i="160"/>
  <c r="S51" i="160"/>
  <c r="Q51" i="160"/>
  <c r="P51" i="160"/>
  <c r="R51" i="160" s="1"/>
  <c r="S50" i="160"/>
  <c r="Q50" i="160"/>
  <c r="P50" i="160"/>
  <c r="R50" i="160" s="1"/>
  <c r="S49" i="160"/>
  <c r="Q49" i="160"/>
  <c r="P49" i="160"/>
  <c r="S48" i="160"/>
  <c r="Q48" i="160"/>
  <c r="P48" i="160"/>
  <c r="S47" i="160"/>
  <c r="Q47" i="160"/>
  <c r="P47" i="160"/>
  <c r="A6" i="160"/>
  <c r="AD5" i="160"/>
  <c r="AC5" i="160"/>
  <c r="AB5" i="160"/>
  <c r="X5" i="160"/>
  <c r="Y5" i="160" s="1"/>
  <c r="AF5" i="160" s="1"/>
  <c r="AD4" i="160"/>
  <c r="AC4" i="160"/>
  <c r="AB4" i="160"/>
  <c r="S4" i="160"/>
  <c r="X4" i="160" s="1"/>
  <c r="R4" i="160"/>
  <c r="AD3" i="160"/>
  <c r="AC3" i="160"/>
  <c r="AB3" i="160"/>
  <c r="S3" i="160"/>
  <c r="X3" i="160" s="1"/>
  <c r="Y3" i="160" s="1"/>
  <c r="R3" i="160"/>
  <c r="P46" i="160" s="1"/>
  <c r="S61" i="159"/>
  <c r="Q61" i="159"/>
  <c r="R61" i="159" s="1"/>
  <c r="P61" i="159"/>
  <c r="S60" i="159"/>
  <c r="Q60" i="159"/>
  <c r="P60" i="159"/>
  <c r="S59" i="159"/>
  <c r="Q59" i="159"/>
  <c r="R59" i="159" s="1"/>
  <c r="P59" i="159"/>
  <c r="S58" i="159"/>
  <c r="Q58" i="159"/>
  <c r="P58" i="159"/>
  <c r="S57" i="159"/>
  <c r="Q57" i="159"/>
  <c r="R57" i="159" s="1"/>
  <c r="P57" i="159"/>
  <c r="S56" i="159"/>
  <c r="Q56" i="159"/>
  <c r="P56" i="159"/>
  <c r="S55" i="159"/>
  <c r="Q55" i="159"/>
  <c r="R55" i="159" s="1"/>
  <c r="P55" i="159"/>
  <c r="S54" i="159"/>
  <c r="Q54" i="159"/>
  <c r="P54" i="159"/>
  <c r="S53" i="159"/>
  <c r="Q53" i="159"/>
  <c r="R53" i="159" s="1"/>
  <c r="P53" i="159"/>
  <c r="S52" i="159"/>
  <c r="Q52" i="159"/>
  <c r="P52" i="159"/>
  <c r="S51" i="159"/>
  <c r="Q51" i="159"/>
  <c r="R51" i="159" s="1"/>
  <c r="P51" i="159"/>
  <c r="P50" i="159"/>
  <c r="A10" i="159"/>
  <c r="AF9" i="159"/>
  <c r="AD9" i="159"/>
  <c r="AB9" i="159"/>
  <c r="X9" i="159"/>
  <c r="Y9" i="159" s="1"/>
  <c r="AE9" i="159" s="1"/>
  <c r="O9" i="159"/>
  <c r="K9" i="159"/>
  <c r="J9" i="159"/>
  <c r="AC9" i="159" s="1"/>
  <c r="I9" i="159"/>
  <c r="X8" i="159"/>
  <c r="Y8" i="159" s="1"/>
  <c r="O8" i="159"/>
  <c r="AD8" i="159" s="1"/>
  <c r="K8" i="159"/>
  <c r="J8" i="159"/>
  <c r="I8" i="159"/>
  <c r="X7" i="159"/>
  <c r="Y7" i="159" s="1"/>
  <c r="AE7" i="159" s="1"/>
  <c r="O7" i="159"/>
  <c r="AD7" i="159" s="1"/>
  <c r="K7" i="159"/>
  <c r="J7" i="159"/>
  <c r="AC7" i="159" s="1"/>
  <c r="I7" i="159"/>
  <c r="AB7" i="159" s="1"/>
  <c r="Y6" i="159"/>
  <c r="X6" i="159"/>
  <c r="O6" i="159"/>
  <c r="AD6" i="159" s="1"/>
  <c r="K6" i="159"/>
  <c r="J6" i="159"/>
  <c r="I6" i="159"/>
  <c r="AF5" i="159"/>
  <c r="AD5" i="159"/>
  <c r="X5" i="159"/>
  <c r="Y5" i="159" s="1"/>
  <c r="AE5" i="159" s="1"/>
  <c r="O5" i="159"/>
  <c r="K5" i="159"/>
  <c r="J5" i="159"/>
  <c r="AC5" i="159" s="1"/>
  <c r="I5" i="159"/>
  <c r="AE4" i="159"/>
  <c r="Y4" i="159"/>
  <c r="AF4" i="159" s="1"/>
  <c r="X4" i="159"/>
  <c r="O4" i="159"/>
  <c r="AD4" i="159" s="1"/>
  <c r="K4" i="159"/>
  <c r="J4" i="159"/>
  <c r="I4" i="159"/>
  <c r="X3" i="159"/>
  <c r="Y3" i="159" s="1"/>
  <c r="AE3" i="159" s="1"/>
  <c r="O3" i="159"/>
  <c r="AD3" i="159" s="1"/>
  <c r="K3" i="159"/>
  <c r="J3" i="159"/>
  <c r="AC3" i="159" s="1"/>
  <c r="I3" i="159"/>
  <c r="S56" i="158"/>
  <c r="Q56" i="158"/>
  <c r="P56" i="158"/>
  <c r="R56" i="158" s="1"/>
  <c r="S55" i="158"/>
  <c r="Q55" i="158"/>
  <c r="P55" i="158"/>
  <c r="R55" i="158" s="1"/>
  <c r="S54" i="158"/>
  <c r="Q54" i="158"/>
  <c r="P54" i="158"/>
  <c r="S53" i="158"/>
  <c r="Q53" i="158"/>
  <c r="P53" i="158"/>
  <c r="S52" i="158"/>
  <c r="Q52" i="158"/>
  <c r="P52" i="158"/>
  <c r="R52" i="158" s="1"/>
  <c r="S51" i="158"/>
  <c r="Q51" i="158"/>
  <c r="P51" i="158"/>
  <c r="R51" i="158" s="1"/>
  <c r="S50" i="158"/>
  <c r="Q50" i="158"/>
  <c r="P50" i="158"/>
  <c r="S49" i="158"/>
  <c r="Q49" i="158"/>
  <c r="P49" i="158"/>
  <c r="S48" i="158"/>
  <c r="Q48" i="158"/>
  <c r="P48" i="158"/>
  <c r="R48" i="158" s="1"/>
  <c r="S47" i="158"/>
  <c r="Q47" i="158"/>
  <c r="P47" i="158"/>
  <c r="R47" i="158" s="1"/>
  <c r="S46" i="158"/>
  <c r="Q46" i="158"/>
  <c r="P46" i="158"/>
  <c r="A5" i="158"/>
  <c r="A26" i="41" s="1"/>
  <c r="A57" i="41" s="1"/>
  <c r="AD4" i="158"/>
  <c r="S4" i="158"/>
  <c r="X4" i="158" s="1"/>
  <c r="R4" i="158"/>
  <c r="Y4" i="158" s="1"/>
  <c r="J4" i="158"/>
  <c r="AB4" i="158" s="1"/>
  <c r="I4" i="158"/>
  <c r="AD3" i="158"/>
  <c r="S3" i="158"/>
  <c r="X3" i="158" s="1"/>
  <c r="R3" i="158"/>
  <c r="J3" i="158"/>
  <c r="AC3" i="158" s="1"/>
  <c r="I3" i="158"/>
  <c r="AB3" i="158" s="1"/>
  <c r="S64" i="157"/>
  <c r="Q64" i="157"/>
  <c r="P64" i="157"/>
  <c r="R64" i="157" s="1"/>
  <c r="S63" i="157"/>
  <c r="Q63" i="157"/>
  <c r="P63" i="157"/>
  <c r="S62" i="157"/>
  <c r="Q62" i="157"/>
  <c r="P62" i="157"/>
  <c r="R62" i="157" s="1"/>
  <c r="S61" i="157"/>
  <c r="Q61" i="157"/>
  <c r="P61" i="157"/>
  <c r="R61" i="157" s="1"/>
  <c r="S60" i="157"/>
  <c r="Q60" i="157"/>
  <c r="P60" i="157"/>
  <c r="R60" i="157" s="1"/>
  <c r="S59" i="157"/>
  <c r="Q59" i="157"/>
  <c r="P59" i="157"/>
  <c r="S58" i="157"/>
  <c r="Q58" i="157"/>
  <c r="P58" i="157"/>
  <c r="R58" i="157" s="1"/>
  <c r="S57" i="157"/>
  <c r="Q57" i="157"/>
  <c r="P57" i="157"/>
  <c r="R57" i="157" s="1"/>
  <c r="S56" i="157"/>
  <c r="Q56" i="157"/>
  <c r="P56" i="157"/>
  <c r="R56" i="157" s="1"/>
  <c r="S55" i="157"/>
  <c r="Q55" i="157"/>
  <c r="P55" i="157"/>
  <c r="S54" i="157"/>
  <c r="Q54" i="157"/>
  <c r="P54" i="157"/>
  <c r="R54" i="157" s="1"/>
  <c r="P53" i="157"/>
  <c r="A13" i="157"/>
  <c r="AD12" i="157"/>
  <c r="S12" i="157"/>
  <c r="X12" i="157" s="1"/>
  <c r="R12" i="157"/>
  <c r="K12" i="157"/>
  <c r="J12" i="157"/>
  <c r="AC12" i="157" s="1"/>
  <c r="I12" i="157"/>
  <c r="AD11" i="157"/>
  <c r="X11" i="157"/>
  <c r="S11" i="157"/>
  <c r="R11" i="157"/>
  <c r="Y11" i="157" s="1"/>
  <c r="K11" i="157"/>
  <c r="J11" i="157"/>
  <c r="I11" i="157"/>
  <c r="AD10" i="157"/>
  <c r="S10" i="157"/>
  <c r="X10" i="157" s="1"/>
  <c r="R10" i="157"/>
  <c r="K10" i="157"/>
  <c r="J10" i="157"/>
  <c r="AC10" i="157" s="1"/>
  <c r="I10" i="157"/>
  <c r="AD9" i="157"/>
  <c r="S9" i="157"/>
  <c r="X9" i="157" s="1"/>
  <c r="R9" i="157"/>
  <c r="K9" i="157"/>
  <c r="J9" i="157"/>
  <c r="I9" i="157"/>
  <c r="AD8" i="157"/>
  <c r="AB8" i="157"/>
  <c r="S8" i="157"/>
  <c r="X8" i="157" s="1"/>
  <c r="R8" i="157"/>
  <c r="K8" i="157"/>
  <c r="J8" i="157"/>
  <c r="AC8" i="157" s="1"/>
  <c r="I8" i="157"/>
  <c r="AD7" i="157"/>
  <c r="S7" i="157"/>
  <c r="X7" i="157" s="1"/>
  <c r="R7" i="157"/>
  <c r="K7" i="157"/>
  <c r="J7" i="157"/>
  <c r="I7" i="157"/>
  <c r="AD6" i="157"/>
  <c r="S6" i="157"/>
  <c r="X6" i="157" s="1"/>
  <c r="R6" i="157"/>
  <c r="K6" i="157"/>
  <c r="J6" i="157"/>
  <c r="AC6" i="157" s="1"/>
  <c r="I6" i="157"/>
  <c r="AD5" i="157"/>
  <c r="X5" i="157"/>
  <c r="S5" i="157"/>
  <c r="R5" i="157"/>
  <c r="Y5" i="157" s="1"/>
  <c r="K5" i="157"/>
  <c r="J5" i="157"/>
  <c r="I5" i="157"/>
  <c r="S4" i="157"/>
  <c r="X4" i="157" s="1"/>
  <c r="R4" i="157"/>
  <c r="O4" i="157"/>
  <c r="AD4" i="157" s="1"/>
  <c r="K4" i="157"/>
  <c r="J4" i="157"/>
  <c r="AC4" i="157" s="1"/>
  <c r="I4" i="157"/>
  <c r="S3" i="157"/>
  <c r="X3" i="157" s="1"/>
  <c r="R3" i="157"/>
  <c r="Y3" i="157" s="1"/>
  <c r="O3" i="157"/>
  <c r="AD3" i="157" s="1"/>
  <c r="K3" i="157"/>
  <c r="J3" i="157"/>
  <c r="I3" i="157"/>
  <c r="S61" i="156"/>
  <c r="Q61" i="156"/>
  <c r="P61" i="156"/>
  <c r="S60" i="156"/>
  <c r="Q60" i="156"/>
  <c r="P60" i="156"/>
  <c r="S59" i="156"/>
  <c r="Q59" i="156"/>
  <c r="P59" i="156"/>
  <c r="S58" i="156"/>
  <c r="Q58" i="156"/>
  <c r="P58" i="156"/>
  <c r="S57" i="156"/>
  <c r="Q57" i="156"/>
  <c r="P57" i="156"/>
  <c r="S56" i="156"/>
  <c r="Q56" i="156"/>
  <c r="P56" i="156"/>
  <c r="S55" i="156"/>
  <c r="Q55" i="156"/>
  <c r="P55" i="156"/>
  <c r="S54" i="156"/>
  <c r="Q54" i="156"/>
  <c r="P54" i="156"/>
  <c r="S53" i="156"/>
  <c r="Q53" i="156"/>
  <c r="P53" i="156"/>
  <c r="S52" i="156"/>
  <c r="Q52" i="156"/>
  <c r="P52" i="156"/>
  <c r="S51" i="156"/>
  <c r="Q51" i="156"/>
  <c r="P51" i="156"/>
  <c r="P50" i="156"/>
  <c r="A10" i="156"/>
  <c r="AD9" i="156"/>
  <c r="AC9" i="156"/>
  <c r="AB9" i="156"/>
  <c r="X9" i="156"/>
  <c r="Y9" i="156" s="1"/>
  <c r="AE9" i="156" s="1"/>
  <c r="K9" i="156"/>
  <c r="AD8" i="156"/>
  <c r="AC8" i="156"/>
  <c r="AB8" i="156"/>
  <c r="X8" i="156"/>
  <c r="Y8" i="156" s="1"/>
  <c r="AE8" i="156" s="1"/>
  <c r="K8" i="156"/>
  <c r="AC7" i="156"/>
  <c r="AB7" i="156"/>
  <c r="X7" i="156"/>
  <c r="Y7" i="156" s="1"/>
  <c r="AE7" i="156" s="1"/>
  <c r="O7" i="156"/>
  <c r="AD7" i="156" s="1"/>
  <c r="K7" i="156"/>
  <c r="AC6" i="156"/>
  <c r="AB6" i="156"/>
  <c r="X6" i="156"/>
  <c r="Y6" i="156" s="1"/>
  <c r="O6" i="156"/>
  <c r="AD6" i="156" s="1"/>
  <c r="K6" i="156"/>
  <c r="AC5" i="156"/>
  <c r="AB5" i="156"/>
  <c r="X5" i="156"/>
  <c r="Y5" i="156" s="1"/>
  <c r="AE5" i="156" s="1"/>
  <c r="O5" i="156"/>
  <c r="AD5" i="156" s="1"/>
  <c r="K5" i="156"/>
  <c r="AE4" i="156"/>
  <c r="AC4" i="156"/>
  <c r="AB4" i="156"/>
  <c r="Y4" i="156"/>
  <c r="AF4" i="156" s="1"/>
  <c r="X4" i="156"/>
  <c r="O4" i="156"/>
  <c r="AD4" i="156" s="1"/>
  <c r="K4" i="156"/>
  <c r="AC3" i="156"/>
  <c r="AB3" i="156"/>
  <c r="X3" i="156"/>
  <c r="Y3" i="156" s="1"/>
  <c r="AE3" i="156" s="1"/>
  <c r="O3" i="156"/>
  <c r="AD3" i="156" s="1"/>
  <c r="S61" i="155"/>
  <c r="Q61" i="155"/>
  <c r="P61" i="155"/>
  <c r="S60" i="155"/>
  <c r="Q60" i="155"/>
  <c r="P60" i="155"/>
  <c r="S59" i="155"/>
  <c r="Q59" i="155"/>
  <c r="P59" i="155"/>
  <c r="S58" i="155"/>
  <c r="Q58" i="155"/>
  <c r="P58" i="155"/>
  <c r="S57" i="155"/>
  <c r="Q57" i="155"/>
  <c r="P57" i="155"/>
  <c r="S56" i="155"/>
  <c r="Q56" i="155"/>
  <c r="P56" i="155"/>
  <c r="S55" i="155"/>
  <c r="Q55" i="155"/>
  <c r="P55" i="155"/>
  <c r="S54" i="155"/>
  <c r="Q54" i="155"/>
  <c r="P54" i="155"/>
  <c r="S53" i="155"/>
  <c r="Q53" i="155"/>
  <c r="P53" i="155"/>
  <c r="S52" i="155"/>
  <c r="Q52" i="155"/>
  <c r="P52" i="155"/>
  <c r="S51" i="155"/>
  <c r="Q51" i="155"/>
  <c r="P51" i="155"/>
  <c r="P50" i="155"/>
  <c r="A11" i="155"/>
  <c r="A22" i="41" s="1"/>
  <c r="A53" i="41" s="1"/>
  <c r="AD10" i="155"/>
  <c r="X10" i="155"/>
  <c r="Y10" i="155" s="1"/>
  <c r="O10" i="155"/>
  <c r="K10" i="155"/>
  <c r="J10" i="155"/>
  <c r="AC10" i="155" s="1"/>
  <c r="I10" i="155"/>
  <c r="X9" i="155"/>
  <c r="Y9" i="155" s="1"/>
  <c r="AF9" i="155" s="1"/>
  <c r="O9" i="155"/>
  <c r="AD9" i="155" s="1"/>
  <c r="K9" i="155"/>
  <c r="J9" i="155"/>
  <c r="AB9" i="155" s="1"/>
  <c r="I9" i="155"/>
  <c r="X8" i="155"/>
  <c r="Y8" i="155" s="1"/>
  <c r="O8" i="155"/>
  <c r="AD8" i="155" s="1"/>
  <c r="K8" i="155"/>
  <c r="J8" i="155"/>
  <c r="AC8" i="155" s="1"/>
  <c r="I8" i="155"/>
  <c r="AB8" i="155" s="1"/>
  <c r="X7" i="155"/>
  <c r="Y7" i="155" s="1"/>
  <c r="AF7" i="155" s="1"/>
  <c r="O7" i="155"/>
  <c r="AD7" i="155" s="1"/>
  <c r="K7" i="155"/>
  <c r="J7" i="155"/>
  <c r="AB7" i="155" s="1"/>
  <c r="I7" i="155"/>
  <c r="X6" i="155"/>
  <c r="Y6" i="155" s="1"/>
  <c r="O6" i="155"/>
  <c r="AD6" i="155" s="1"/>
  <c r="K6" i="155"/>
  <c r="J6" i="155"/>
  <c r="AC6" i="155" s="1"/>
  <c r="I6" i="155"/>
  <c r="AC5" i="155"/>
  <c r="Y5" i="155"/>
  <c r="AF5" i="155" s="1"/>
  <c r="X5" i="155"/>
  <c r="O5" i="155"/>
  <c r="AD5" i="155" s="1"/>
  <c r="K5" i="155"/>
  <c r="J5" i="155"/>
  <c r="AB5" i="155" s="1"/>
  <c r="I5" i="155"/>
  <c r="AD4" i="155"/>
  <c r="X4" i="155"/>
  <c r="Y4" i="155" s="1"/>
  <c r="O4" i="155"/>
  <c r="K4" i="155"/>
  <c r="J4" i="155"/>
  <c r="AC4" i="155" s="1"/>
  <c r="I4" i="155"/>
  <c r="AB4" i="155" s="1"/>
  <c r="AC3" i="155"/>
  <c r="X3" i="155"/>
  <c r="Y3" i="155" s="1"/>
  <c r="AF3" i="155" s="1"/>
  <c r="S50" i="155" s="1"/>
  <c r="S62" i="155" s="1"/>
  <c r="O3" i="155"/>
  <c r="AD3" i="155" s="1"/>
  <c r="K3" i="155"/>
  <c r="J3" i="155"/>
  <c r="I3" i="155"/>
  <c r="S62" i="154"/>
  <c r="Q62" i="154"/>
  <c r="P62" i="154"/>
  <c r="S61" i="154"/>
  <c r="Q61" i="154"/>
  <c r="P61" i="154"/>
  <c r="S60" i="154"/>
  <c r="Q60" i="154"/>
  <c r="K21" i="41" s="1"/>
  <c r="E52" i="41" s="1"/>
  <c r="P60" i="154"/>
  <c r="S59" i="154"/>
  <c r="Q59" i="154"/>
  <c r="P59" i="154"/>
  <c r="S58" i="154"/>
  <c r="Q58" i="154"/>
  <c r="P58" i="154"/>
  <c r="S57" i="154"/>
  <c r="Q57" i="154"/>
  <c r="P57" i="154"/>
  <c r="S56" i="154"/>
  <c r="Q56" i="154"/>
  <c r="G21" i="41" s="1"/>
  <c r="P56" i="154"/>
  <c r="S55" i="154"/>
  <c r="Q55" i="154"/>
  <c r="P55" i="154"/>
  <c r="S54" i="154"/>
  <c r="Q54" i="154"/>
  <c r="P54" i="154"/>
  <c r="S53" i="154"/>
  <c r="Q53" i="154"/>
  <c r="P53" i="154"/>
  <c r="S52" i="154"/>
  <c r="Q52" i="154"/>
  <c r="P52" i="154"/>
  <c r="A12" i="154"/>
  <c r="X11" i="154"/>
  <c r="Y11" i="154" s="1"/>
  <c r="AE11" i="154" s="1"/>
  <c r="O11" i="154"/>
  <c r="K11" i="154"/>
  <c r="J11" i="154"/>
  <c r="I11" i="154"/>
  <c r="Y10" i="154"/>
  <c r="AE10" i="154" s="1"/>
  <c r="X10" i="154"/>
  <c r="O10" i="154"/>
  <c r="K10" i="154"/>
  <c r="J10" i="154"/>
  <c r="I10" i="154"/>
  <c r="X9" i="154"/>
  <c r="Y9" i="154" s="1"/>
  <c r="AE9" i="154" s="1"/>
  <c r="O9" i="154"/>
  <c r="K9" i="154"/>
  <c r="J9" i="154"/>
  <c r="I9" i="154"/>
  <c r="X8" i="154"/>
  <c r="Y8" i="154" s="1"/>
  <c r="O8" i="154"/>
  <c r="K8" i="154"/>
  <c r="J8" i="154"/>
  <c r="I8" i="154"/>
  <c r="Y7" i="154"/>
  <c r="AE7" i="154" s="1"/>
  <c r="X7" i="154"/>
  <c r="O7" i="154"/>
  <c r="K7" i="154"/>
  <c r="J7" i="154"/>
  <c r="I7" i="154"/>
  <c r="Y6" i="154"/>
  <c r="AE6" i="154" s="1"/>
  <c r="X6" i="154"/>
  <c r="O6" i="154"/>
  <c r="K6" i="154"/>
  <c r="J6" i="154"/>
  <c r="I6" i="154"/>
  <c r="Y5" i="154"/>
  <c r="AE5" i="154" s="1"/>
  <c r="X5" i="154"/>
  <c r="O5" i="154"/>
  <c r="K5" i="154"/>
  <c r="J5" i="154"/>
  <c r="I5" i="154"/>
  <c r="AF4" i="154"/>
  <c r="Y4" i="154"/>
  <c r="AE4" i="154" s="1"/>
  <c r="X4" i="154"/>
  <c r="O4" i="154"/>
  <c r="K4" i="154"/>
  <c r="J4" i="154"/>
  <c r="I4" i="154"/>
  <c r="S3" i="154"/>
  <c r="X3" i="154" s="1"/>
  <c r="R3" i="154"/>
  <c r="O3" i="154"/>
  <c r="AD3" i="154" s="1"/>
  <c r="K3" i="154"/>
  <c r="J3" i="154"/>
  <c r="AC3" i="154" s="1"/>
  <c r="I3" i="154"/>
  <c r="S62" i="153"/>
  <c r="Q62" i="153"/>
  <c r="P62" i="153"/>
  <c r="S61" i="153"/>
  <c r="Q61" i="153"/>
  <c r="P61" i="153"/>
  <c r="R61" i="153" s="1"/>
  <c r="S60" i="153"/>
  <c r="Q60" i="153"/>
  <c r="P60" i="153"/>
  <c r="R60" i="153" s="1"/>
  <c r="S59" i="153"/>
  <c r="Q59" i="153"/>
  <c r="P59" i="153"/>
  <c r="S58" i="153"/>
  <c r="Q58" i="153"/>
  <c r="P58" i="153"/>
  <c r="S57" i="153"/>
  <c r="Q57" i="153"/>
  <c r="P57" i="153"/>
  <c r="R57" i="153" s="1"/>
  <c r="S56" i="153"/>
  <c r="Q56" i="153"/>
  <c r="P56" i="153"/>
  <c r="R56" i="153" s="1"/>
  <c r="S55" i="153"/>
  <c r="Q55" i="153"/>
  <c r="P55" i="153"/>
  <c r="S54" i="153"/>
  <c r="Q54" i="153"/>
  <c r="P54" i="153"/>
  <c r="S53" i="153"/>
  <c r="Q53" i="153"/>
  <c r="P53" i="153"/>
  <c r="R53" i="153" s="1"/>
  <c r="S52" i="153"/>
  <c r="Q52" i="153"/>
  <c r="P52" i="153"/>
  <c r="R52" i="153" s="1"/>
  <c r="P51" i="153"/>
  <c r="A11" i="153"/>
  <c r="AF10" i="153"/>
  <c r="AE10" i="153"/>
  <c r="AC10" i="153"/>
  <c r="X10" i="153"/>
  <c r="O10" i="153"/>
  <c r="AD10" i="153" s="1"/>
  <c r="I10" i="153"/>
  <c r="AB10" i="153" s="1"/>
  <c r="AF9" i="153"/>
  <c r="AE9" i="153"/>
  <c r="AC9" i="153"/>
  <c r="X9" i="153"/>
  <c r="O9" i="153"/>
  <c r="AD9" i="153" s="1"/>
  <c r="I9" i="153"/>
  <c r="AB9" i="153" s="1"/>
  <c r="AF8" i="153"/>
  <c r="AE8" i="153"/>
  <c r="AC8" i="153"/>
  <c r="X8" i="153"/>
  <c r="O8" i="153"/>
  <c r="AD8" i="153" s="1"/>
  <c r="I8" i="153"/>
  <c r="AB8" i="153" s="1"/>
  <c r="AC7" i="153"/>
  <c r="X7" i="153"/>
  <c r="O7" i="153"/>
  <c r="AD7" i="153" s="1"/>
  <c r="I7" i="153"/>
  <c r="AB7" i="153" s="1"/>
  <c r="AC6" i="153"/>
  <c r="X6" i="153"/>
  <c r="Y6" i="153" s="1"/>
  <c r="AE6" i="153" s="1"/>
  <c r="O6" i="153"/>
  <c r="AD6" i="153" s="1"/>
  <c r="I6" i="153"/>
  <c r="AB6" i="153" s="1"/>
  <c r="AC5" i="153"/>
  <c r="Y5" i="153"/>
  <c r="AF5" i="153" s="1"/>
  <c r="X5" i="153"/>
  <c r="O5" i="153"/>
  <c r="AD5" i="153" s="1"/>
  <c r="I5" i="153"/>
  <c r="AB5" i="153" s="1"/>
  <c r="AD4" i="153"/>
  <c r="AC4" i="153"/>
  <c r="X4" i="153"/>
  <c r="Y4" i="153" s="1"/>
  <c r="AE4" i="153" s="1"/>
  <c r="O4" i="153"/>
  <c r="I4" i="153"/>
  <c r="AB4" i="153" s="1"/>
  <c r="AC3" i="153"/>
  <c r="X3" i="153"/>
  <c r="Y3" i="153" s="1"/>
  <c r="O3" i="153"/>
  <c r="AD3" i="153" s="1"/>
  <c r="I3" i="153"/>
  <c r="AB3" i="153" s="1"/>
  <c r="S67" i="127"/>
  <c r="Q67" i="127"/>
  <c r="R67" i="127" s="1"/>
  <c r="P67" i="127"/>
  <c r="S66" i="127"/>
  <c r="Q66" i="127"/>
  <c r="R66" i="127" s="1"/>
  <c r="P66" i="127"/>
  <c r="S65" i="127"/>
  <c r="Q65" i="127"/>
  <c r="R65" i="127" s="1"/>
  <c r="P65" i="127"/>
  <c r="S64" i="127"/>
  <c r="Q64" i="127"/>
  <c r="R64" i="127" s="1"/>
  <c r="P64" i="127"/>
  <c r="S63" i="127"/>
  <c r="Q63" i="127"/>
  <c r="R63" i="127" s="1"/>
  <c r="P63" i="127"/>
  <c r="S62" i="127"/>
  <c r="Q62" i="127"/>
  <c r="R62" i="127" s="1"/>
  <c r="P62" i="127"/>
  <c r="S61" i="127"/>
  <c r="Q61" i="127"/>
  <c r="R61" i="127" s="1"/>
  <c r="P61" i="127"/>
  <c r="P56" i="127"/>
  <c r="AC15" i="127"/>
  <c r="AB15" i="127"/>
  <c r="AA15" i="127"/>
  <c r="V15" i="127"/>
  <c r="X15" i="127" s="1"/>
  <c r="Y15" i="127" s="1"/>
  <c r="R15" i="127"/>
  <c r="AC14" i="127"/>
  <c r="AB14" i="127"/>
  <c r="AA14" i="127"/>
  <c r="X14" i="127"/>
  <c r="V14" i="127"/>
  <c r="R14" i="127"/>
  <c r="AC13" i="127"/>
  <c r="AB13" i="127"/>
  <c r="AA13" i="127"/>
  <c r="V13" i="127"/>
  <c r="X13" i="127" s="1"/>
  <c r="Y13" i="127" s="1"/>
  <c r="R13" i="127"/>
  <c r="AC12" i="127"/>
  <c r="AB12" i="127"/>
  <c r="AA12" i="127"/>
  <c r="X12" i="127"/>
  <c r="V12" i="127"/>
  <c r="R12" i="127"/>
  <c r="AC11" i="127"/>
  <c r="AB11" i="127"/>
  <c r="AA11" i="127"/>
  <c r="V11" i="127"/>
  <c r="X11" i="127" s="1"/>
  <c r="R11" i="127"/>
  <c r="AC10" i="127"/>
  <c r="AB10" i="127"/>
  <c r="AA10" i="127"/>
  <c r="X10" i="127"/>
  <c r="V10" i="127"/>
  <c r="R10" i="127"/>
  <c r="AC9" i="127"/>
  <c r="AB9" i="127"/>
  <c r="AA9" i="127"/>
  <c r="V9" i="127"/>
  <c r="X9" i="127" s="1"/>
  <c r="Y9" i="127" s="1"/>
  <c r="R9" i="127"/>
  <c r="P60" i="127" s="1"/>
  <c r="AC8" i="127"/>
  <c r="AB8" i="127"/>
  <c r="AA8" i="127"/>
  <c r="V8" i="127"/>
  <c r="X8" i="127" s="1"/>
  <c r="R8" i="127"/>
  <c r="AC7" i="127"/>
  <c r="AB7" i="127"/>
  <c r="AA7" i="127"/>
  <c r="V7" i="127"/>
  <c r="X7" i="127" s="1"/>
  <c r="Y7" i="127" s="1"/>
  <c r="R7" i="127"/>
  <c r="AC6" i="127"/>
  <c r="AB6" i="127"/>
  <c r="AA6" i="127"/>
  <c r="V6" i="127"/>
  <c r="R6" i="127"/>
  <c r="AC5" i="127"/>
  <c r="AB5" i="127"/>
  <c r="AA5" i="127"/>
  <c r="V5" i="127"/>
  <c r="R5" i="127"/>
  <c r="Y5" i="127" s="1"/>
  <c r="AD5" i="127" s="1"/>
  <c r="AC4" i="127"/>
  <c r="AB4" i="127"/>
  <c r="AA4" i="127"/>
  <c r="X4" i="127"/>
  <c r="V4" i="127"/>
  <c r="R4" i="127"/>
  <c r="AC3" i="127"/>
  <c r="AB3" i="127"/>
  <c r="AA3" i="127"/>
  <c r="V3" i="127"/>
  <c r="X3" i="127" s="1"/>
  <c r="Y3" i="127" s="1"/>
  <c r="S55" i="122"/>
  <c r="Q55" i="122"/>
  <c r="P55" i="122"/>
  <c r="S54" i="122"/>
  <c r="Q54" i="122"/>
  <c r="P54" i="122"/>
  <c r="S53" i="122"/>
  <c r="Q53" i="122"/>
  <c r="P53" i="122"/>
  <c r="R53" i="122" s="1"/>
  <c r="S52" i="122"/>
  <c r="Q52" i="122"/>
  <c r="P52" i="122"/>
  <c r="R52" i="122" s="1"/>
  <c r="S51" i="122"/>
  <c r="Q51" i="122"/>
  <c r="P51" i="122"/>
  <c r="S50" i="122"/>
  <c r="Q50" i="122"/>
  <c r="P50" i="122"/>
  <c r="S49" i="122"/>
  <c r="Q49" i="122"/>
  <c r="P49" i="122"/>
  <c r="R49" i="122" s="1"/>
  <c r="S48" i="122"/>
  <c r="Q48" i="122"/>
  <c r="P48" i="122"/>
  <c r="R48" i="122" s="1"/>
  <c r="S47" i="122"/>
  <c r="Q47" i="122"/>
  <c r="P47" i="122"/>
  <c r="S45" i="122"/>
  <c r="Q45" i="122"/>
  <c r="P45" i="122"/>
  <c r="S44" i="122"/>
  <c r="Q44" i="122"/>
  <c r="P44" i="122"/>
  <c r="A4" i="122"/>
  <c r="AC3" i="122"/>
  <c r="AB3" i="122"/>
  <c r="AA3" i="122"/>
  <c r="V3" i="122"/>
  <c r="X3" i="122" s="1"/>
  <c r="R3" i="122"/>
  <c r="Y3" i="122" s="1"/>
  <c r="S57" i="99"/>
  <c r="Q57" i="99"/>
  <c r="P57" i="99"/>
  <c r="S56" i="99"/>
  <c r="Q56" i="99"/>
  <c r="R56" i="99" s="1"/>
  <c r="P56" i="99"/>
  <c r="S55" i="99"/>
  <c r="Q55" i="99"/>
  <c r="P55" i="99"/>
  <c r="S54" i="99"/>
  <c r="Q54" i="99"/>
  <c r="P54" i="99"/>
  <c r="S53" i="99"/>
  <c r="Q53" i="99"/>
  <c r="P53" i="99"/>
  <c r="S52" i="99"/>
  <c r="Q52" i="99"/>
  <c r="R52" i="99" s="1"/>
  <c r="P52" i="99"/>
  <c r="S51" i="99"/>
  <c r="Q51" i="99"/>
  <c r="P51" i="99"/>
  <c r="S50" i="99"/>
  <c r="Q50" i="99"/>
  <c r="P50" i="99"/>
  <c r="S49" i="99"/>
  <c r="Q49" i="99"/>
  <c r="R49" i="99" s="1"/>
  <c r="P49" i="99"/>
  <c r="S46" i="99"/>
  <c r="Q46" i="99"/>
  <c r="P46" i="99"/>
  <c r="AC5" i="99"/>
  <c r="AB5" i="99"/>
  <c r="AA5" i="99"/>
  <c r="X5" i="99"/>
  <c r="R5" i="99"/>
  <c r="Y5" i="99" s="1"/>
  <c r="AC4" i="99"/>
  <c r="AB4" i="99"/>
  <c r="AA4" i="99"/>
  <c r="X4" i="99"/>
  <c r="R4" i="99"/>
  <c r="P48" i="99" s="1"/>
  <c r="AC3" i="99"/>
  <c r="AB3" i="99"/>
  <c r="AA3" i="99"/>
  <c r="X3" i="99"/>
  <c r="R3" i="99"/>
  <c r="P47" i="99" s="1"/>
  <c r="S55" i="100"/>
  <c r="Q55" i="100"/>
  <c r="P55" i="100"/>
  <c r="R55" i="100" s="1"/>
  <c r="S54" i="100"/>
  <c r="Q54" i="100"/>
  <c r="P54" i="100"/>
  <c r="S53" i="100"/>
  <c r="Q53" i="100"/>
  <c r="P53" i="100"/>
  <c r="S52" i="100"/>
  <c r="Q52" i="100"/>
  <c r="P52" i="100"/>
  <c r="R52" i="100" s="1"/>
  <c r="S51" i="100"/>
  <c r="Q51" i="100"/>
  <c r="P51" i="100"/>
  <c r="R51" i="100" s="1"/>
  <c r="S50" i="100"/>
  <c r="Q50" i="100"/>
  <c r="P50" i="100"/>
  <c r="S49" i="100"/>
  <c r="Q49" i="100"/>
  <c r="P49" i="100"/>
  <c r="S48" i="100"/>
  <c r="Q48" i="100"/>
  <c r="P48" i="100"/>
  <c r="R48" i="100" s="1"/>
  <c r="S47" i="100"/>
  <c r="Q47" i="100"/>
  <c r="P47" i="100"/>
  <c r="R47" i="100" s="1"/>
  <c r="S46" i="100"/>
  <c r="Q46" i="100"/>
  <c r="P46" i="100"/>
  <c r="S45" i="100"/>
  <c r="Q45" i="100"/>
  <c r="P45" i="100"/>
  <c r="S44" i="100"/>
  <c r="S56" i="100" s="1"/>
  <c r="Q44" i="100"/>
  <c r="Q56" i="100" s="1"/>
  <c r="P44" i="100"/>
  <c r="P56" i="100" s="1"/>
  <c r="AC3" i="100"/>
  <c r="AB3" i="100"/>
  <c r="AA3" i="100"/>
  <c r="V3" i="100"/>
  <c r="X3" i="100" s="1"/>
  <c r="R3" i="100"/>
  <c r="S55" i="128"/>
  <c r="Q55" i="128"/>
  <c r="R55" i="128" s="1"/>
  <c r="P55" i="128"/>
  <c r="S54" i="128"/>
  <c r="Q54" i="128"/>
  <c r="R54" i="128" s="1"/>
  <c r="P54" i="128"/>
  <c r="S53" i="128"/>
  <c r="Q53" i="128"/>
  <c r="P53" i="128"/>
  <c r="S52" i="128"/>
  <c r="Q52" i="128"/>
  <c r="R52" i="128" s="1"/>
  <c r="P52" i="128"/>
  <c r="S51" i="128"/>
  <c r="Q51" i="128"/>
  <c r="R51" i="128" s="1"/>
  <c r="P51" i="128"/>
  <c r="S50" i="128"/>
  <c r="Q50" i="128"/>
  <c r="R50" i="128" s="1"/>
  <c r="P50" i="128"/>
  <c r="S49" i="128"/>
  <c r="Q49" i="128"/>
  <c r="P49" i="128"/>
  <c r="S48" i="128"/>
  <c r="Q48" i="128"/>
  <c r="R48" i="128" s="1"/>
  <c r="P48" i="128"/>
  <c r="S47" i="128"/>
  <c r="Q47" i="128"/>
  <c r="R47" i="128" s="1"/>
  <c r="P47" i="128"/>
  <c r="S46" i="128"/>
  <c r="Q46" i="128"/>
  <c r="R46" i="128" s="1"/>
  <c r="P46" i="128"/>
  <c r="S45" i="128"/>
  <c r="Q45" i="128"/>
  <c r="P45" i="128"/>
  <c r="S44" i="128"/>
  <c r="S56" i="128" s="1"/>
  <c r="Q44" i="128"/>
  <c r="P44" i="128"/>
  <c r="AC3" i="128"/>
  <c r="AB3" i="128"/>
  <c r="AA3" i="128"/>
  <c r="V3" i="128"/>
  <c r="X3" i="128" s="1"/>
  <c r="R3" i="128"/>
  <c r="S55" i="126"/>
  <c r="Q55" i="126"/>
  <c r="R55" i="126" s="1"/>
  <c r="P55" i="126"/>
  <c r="S54" i="126"/>
  <c r="Q54" i="126"/>
  <c r="R54" i="126" s="1"/>
  <c r="P54" i="126"/>
  <c r="S53" i="126"/>
  <c r="Q53" i="126"/>
  <c r="P53" i="126"/>
  <c r="S52" i="126"/>
  <c r="Q52" i="126"/>
  <c r="P52" i="126"/>
  <c r="S51" i="126"/>
  <c r="Q51" i="126"/>
  <c r="R51" i="126" s="1"/>
  <c r="P51" i="126"/>
  <c r="S50" i="126"/>
  <c r="Q50" i="126"/>
  <c r="R50" i="126" s="1"/>
  <c r="P50" i="126"/>
  <c r="S49" i="126"/>
  <c r="Q49" i="126"/>
  <c r="R49" i="126" s="1"/>
  <c r="P49" i="126"/>
  <c r="S48" i="126"/>
  <c r="Q48" i="126"/>
  <c r="P48" i="126"/>
  <c r="S47" i="126"/>
  <c r="Q47" i="126"/>
  <c r="R47" i="126" s="1"/>
  <c r="P47" i="126"/>
  <c r="S46" i="126"/>
  <c r="Q46" i="126"/>
  <c r="R46" i="126" s="1"/>
  <c r="P46" i="126"/>
  <c r="S45" i="126"/>
  <c r="Q45" i="126"/>
  <c r="R45" i="126" s="1"/>
  <c r="P45" i="126"/>
  <c r="S44" i="126"/>
  <c r="Q44" i="126"/>
  <c r="P44" i="126"/>
  <c r="P56" i="126" s="1"/>
  <c r="AC3" i="126"/>
  <c r="AB3" i="126"/>
  <c r="AA3" i="126"/>
  <c r="V3" i="126"/>
  <c r="X3" i="126" s="1"/>
  <c r="Y3" i="126" s="1"/>
  <c r="R3" i="126"/>
  <c r="L6" i="41"/>
  <c r="D6" i="41"/>
  <c r="S46" i="101"/>
  <c r="Q46" i="101"/>
  <c r="B6" i="41" s="1"/>
  <c r="P46" i="101"/>
  <c r="AC5" i="101"/>
  <c r="AB5" i="101"/>
  <c r="AA5" i="101"/>
  <c r="X5" i="101"/>
  <c r="S55" i="124"/>
  <c r="Q55" i="124"/>
  <c r="P55" i="124"/>
  <c r="S54" i="124"/>
  <c r="Q54" i="124"/>
  <c r="P54" i="124"/>
  <c r="S53" i="124"/>
  <c r="Q53" i="124"/>
  <c r="P53" i="124"/>
  <c r="S52" i="124"/>
  <c r="Q52" i="124"/>
  <c r="R52" i="124" s="1"/>
  <c r="P52" i="124"/>
  <c r="S51" i="124"/>
  <c r="Q51" i="124"/>
  <c r="I12" i="41" s="1"/>
  <c r="P51" i="124"/>
  <c r="S50" i="124"/>
  <c r="Q50" i="124"/>
  <c r="P50" i="124"/>
  <c r="S49" i="124"/>
  <c r="Q49" i="124"/>
  <c r="P49" i="124"/>
  <c r="S47" i="124"/>
  <c r="Q47" i="124"/>
  <c r="R47" i="124" s="1"/>
  <c r="P47" i="124"/>
  <c r="S46" i="124"/>
  <c r="Q46" i="124"/>
  <c r="P46" i="124"/>
  <c r="S45" i="124"/>
  <c r="Q45" i="124"/>
  <c r="P45" i="124"/>
  <c r="S44" i="124"/>
  <c r="Q44" i="124"/>
  <c r="P44" i="124"/>
  <c r="AC3" i="124"/>
  <c r="AB3" i="124"/>
  <c r="AA3" i="124"/>
  <c r="X3" i="124"/>
  <c r="R3" i="124"/>
  <c r="P48" i="124" s="1"/>
  <c r="S55" i="139"/>
  <c r="Q55" i="139"/>
  <c r="P55" i="139"/>
  <c r="R55" i="139" s="1"/>
  <c r="P54" i="139"/>
  <c r="S53" i="139"/>
  <c r="Q53" i="139"/>
  <c r="P53" i="139"/>
  <c r="R53" i="139" s="1"/>
  <c r="S52" i="139"/>
  <c r="Q52" i="139"/>
  <c r="P52" i="139"/>
  <c r="S51" i="139"/>
  <c r="Q51" i="139"/>
  <c r="I14" i="41" s="1"/>
  <c r="P51" i="139"/>
  <c r="R51" i="139" s="1"/>
  <c r="S50" i="139"/>
  <c r="Q50" i="139"/>
  <c r="P50" i="139"/>
  <c r="R50" i="139" s="1"/>
  <c r="S49" i="139"/>
  <c r="Q49" i="139"/>
  <c r="P49" i="139"/>
  <c r="R49" i="139" s="1"/>
  <c r="S48" i="139"/>
  <c r="Q48" i="139"/>
  <c r="P48" i="139"/>
  <c r="S47" i="139"/>
  <c r="Q47" i="139"/>
  <c r="T6" i="41" s="1"/>
  <c r="P47" i="139"/>
  <c r="R47" i="139" s="1"/>
  <c r="S46" i="139"/>
  <c r="Q46" i="139"/>
  <c r="P46" i="139"/>
  <c r="R46" i="139" s="1"/>
  <c r="S45" i="139"/>
  <c r="Q45" i="139"/>
  <c r="P45" i="139"/>
  <c r="R45" i="139" s="1"/>
  <c r="S44" i="139"/>
  <c r="Q44" i="139"/>
  <c r="P44" i="139"/>
  <c r="AB3" i="139"/>
  <c r="AA3" i="139"/>
  <c r="V3" i="139"/>
  <c r="X3" i="139" s="1"/>
  <c r="Y3" i="139" s="1"/>
  <c r="AD3" i="139" s="1"/>
  <c r="R3" i="139"/>
  <c r="O3" i="139"/>
  <c r="AC3" i="139" s="1"/>
  <c r="S55" i="149"/>
  <c r="Q55" i="149"/>
  <c r="P55" i="149"/>
  <c r="S54" i="149"/>
  <c r="Q54" i="149"/>
  <c r="L5" i="41" s="1"/>
  <c r="P54" i="149"/>
  <c r="S53" i="149"/>
  <c r="Q53" i="149"/>
  <c r="P53" i="149"/>
  <c r="R53" i="149" s="1"/>
  <c r="S52" i="149"/>
  <c r="Q52" i="149"/>
  <c r="P52" i="149"/>
  <c r="R52" i="149" s="1"/>
  <c r="S51" i="149"/>
  <c r="Q51" i="149"/>
  <c r="P51" i="149"/>
  <c r="S50" i="149"/>
  <c r="Q50" i="149"/>
  <c r="H5" i="41" s="1"/>
  <c r="P50" i="149"/>
  <c r="S49" i="149"/>
  <c r="Q49" i="149"/>
  <c r="P49" i="149"/>
  <c r="R49" i="149" s="1"/>
  <c r="S48" i="149"/>
  <c r="Q48" i="149"/>
  <c r="P48" i="149"/>
  <c r="R48" i="149" s="1"/>
  <c r="S47" i="149"/>
  <c r="Q47" i="149"/>
  <c r="P47" i="149"/>
  <c r="S46" i="149"/>
  <c r="Q46" i="149"/>
  <c r="D5" i="41" s="1"/>
  <c r="P46" i="149"/>
  <c r="S45" i="149"/>
  <c r="Q45" i="149"/>
  <c r="P45" i="149"/>
  <c r="R45" i="149" s="1"/>
  <c r="S44" i="149"/>
  <c r="Q44" i="149"/>
  <c r="P44" i="149"/>
  <c r="U4" i="149"/>
  <c r="T4" i="149"/>
  <c r="S4" i="149"/>
  <c r="P5" i="19" s="1"/>
  <c r="P4" i="149"/>
  <c r="N4" i="149"/>
  <c r="L5" i="19" s="1"/>
  <c r="M11" i="41"/>
  <c r="L11" i="41"/>
  <c r="I11" i="41"/>
  <c r="G11" i="41"/>
  <c r="N11" i="19"/>
  <c r="L11" i="19"/>
  <c r="K11" i="19"/>
  <c r="L16" i="41"/>
  <c r="K16" i="41"/>
  <c r="J16" i="41"/>
  <c r="I16" i="41"/>
  <c r="S55" i="131"/>
  <c r="Q55" i="131"/>
  <c r="M19" i="41" s="1"/>
  <c r="P55" i="131"/>
  <c r="S54" i="131"/>
  <c r="Q54" i="131"/>
  <c r="L19" i="41" s="1"/>
  <c r="P54" i="131"/>
  <c r="S53" i="131"/>
  <c r="Q53" i="131"/>
  <c r="K19" i="41" s="1"/>
  <c r="P53" i="131"/>
  <c r="S52" i="131"/>
  <c r="Q52" i="131"/>
  <c r="P52" i="131"/>
  <c r="S51" i="131"/>
  <c r="Q51" i="131"/>
  <c r="I19" i="41" s="1"/>
  <c r="P51" i="131"/>
  <c r="S50" i="131"/>
  <c r="Q50" i="131"/>
  <c r="P50" i="131"/>
  <c r="S49" i="131"/>
  <c r="Q49" i="131"/>
  <c r="P49" i="131"/>
  <c r="S48" i="131"/>
  <c r="Q48" i="131"/>
  <c r="P48" i="131"/>
  <c r="S47" i="131"/>
  <c r="Q47" i="131"/>
  <c r="P47" i="131"/>
  <c r="S46" i="131"/>
  <c r="Q46" i="131"/>
  <c r="D19" i="41" s="1"/>
  <c r="P46" i="131"/>
  <c r="S45" i="131"/>
  <c r="Q45" i="131"/>
  <c r="C19" i="41" s="1"/>
  <c r="P45" i="131"/>
  <c r="S44" i="131"/>
  <c r="S56" i="131" s="1"/>
  <c r="Q44" i="131"/>
  <c r="B19" i="41" s="1"/>
  <c r="N19" i="41" s="1"/>
  <c r="P56" i="131"/>
  <c r="AG4" i="131"/>
  <c r="R19" i="19"/>
  <c r="Q19" i="19"/>
  <c r="P19" i="19"/>
  <c r="R55" i="144"/>
  <c r="R54" i="144"/>
  <c r="R53" i="144"/>
  <c r="R52" i="144"/>
  <c r="R51" i="144"/>
  <c r="R50" i="144"/>
  <c r="R49" i="144"/>
  <c r="R48" i="144"/>
  <c r="R47" i="144"/>
  <c r="R46" i="144"/>
  <c r="R45" i="144"/>
  <c r="AC3" i="144"/>
  <c r="AB3" i="144"/>
  <c r="AA3" i="144"/>
  <c r="V3" i="144"/>
  <c r="X3" i="144" s="1"/>
  <c r="R3" i="144"/>
  <c r="S55" i="140"/>
  <c r="Q55" i="140"/>
  <c r="R55" i="140" s="1"/>
  <c r="P55" i="140"/>
  <c r="S54" i="140"/>
  <c r="Q54" i="140"/>
  <c r="R54" i="140" s="1"/>
  <c r="P54" i="140"/>
  <c r="S53" i="140"/>
  <c r="Q53" i="140"/>
  <c r="R53" i="140" s="1"/>
  <c r="P53" i="140"/>
  <c r="S52" i="140"/>
  <c r="Q52" i="140"/>
  <c r="P52" i="140"/>
  <c r="S51" i="140"/>
  <c r="Q51" i="140"/>
  <c r="R51" i="140" s="1"/>
  <c r="P51" i="140"/>
  <c r="S50" i="140"/>
  <c r="Q50" i="140"/>
  <c r="R50" i="140" s="1"/>
  <c r="P50" i="140"/>
  <c r="S49" i="140"/>
  <c r="Q49" i="140"/>
  <c r="R49" i="140" s="1"/>
  <c r="P49" i="140"/>
  <c r="S47" i="140"/>
  <c r="Q47" i="140"/>
  <c r="P47" i="140"/>
  <c r="S46" i="140"/>
  <c r="Q46" i="140"/>
  <c r="R46" i="140" s="1"/>
  <c r="P46" i="140"/>
  <c r="S45" i="140"/>
  <c r="Q45" i="140"/>
  <c r="R45" i="140" s="1"/>
  <c r="P45" i="140"/>
  <c r="S44" i="140"/>
  <c r="Q44" i="140"/>
  <c r="B13" i="41" s="1"/>
  <c r="P44" i="140"/>
  <c r="AB3" i="140"/>
  <c r="AA3" i="140"/>
  <c r="V3" i="140"/>
  <c r="X3" i="140" s="1"/>
  <c r="R3" i="140"/>
  <c r="P48" i="140" s="1"/>
  <c r="O3" i="140"/>
  <c r="AC3" i="140" s="1"/>
  <c r="S56" i="116"/>
  <c r="Q56" i="116"/>
  <c r="M8" i="41" s="1"/>
  <c r="P56" i="116"/>
  <c r="S55" i="116"/>
  <c r="Q55" i="116"/>
  <c r="P55" i="116"/>
  <c r="R55" i="116" s="1"/>
  <c r="S54" i="116"/>
  <c r="Q54" i="116"/>
  <c r="K8" i="41" s="1"/>
  <c r="P54" i="116"/>
  <c r="S53" i="116"/>
  <c r="Q53" i="116"/>
  <c r="J8" i="41" s="1"/>
  <c r="P53" i="116"/>
  <c r="S52" i="116"/>
  <c r="Q52" i="116"/>
  <c r="I8" i="41" s="1"/>
  <c r="P52" i="116"/>
  <c r="S51" i="116"/>
  <c r="Q51" i="116"/>
  <c r="H8" i="41" s="1"/>
  <c r="D40" i="41" s="1"/>
  <c r="P51" i="116"/>
  <c r="S50" i="116"/>
  <c r="Q50" i="116"/>
  <c r="P50" i="116"/>
  <c r="S49" i="116"/>
  <c r="Q49" i="116"/>
  <c r="F8" i="41" s="1"/>
  <c r="P49" i="116"/>
  <c r="S48" i="116"/>
  <c r="Q48" i="116"/>
  <c r="E8" i="41" s="1"/>
  <c r="C40" i="41" s="1"/>
  <c r="P48" i="116"/>
  <c r="S47" i="116"/>
  <c r="Q47" i="116"/>
  <c r="P47" i="116"/>
  <c r="R47" i="116" s="1"/>
  <c r="S46" i="116"/>
  <c r="Q46" i="116"/>
  <c r="C8" i="41" s="1"/>
  <c r="P46" i="116"/>
  <c r="S45" i="116"/>
  <c r="S57" i="116" s="1"/>
  <c r="Q45" i="116"/>
  <c r="Q57" i="116" s="1"/>
  <c r="P57" i="116"/>
  <c r="Q8" i="19"/>
  <c r="P8" i="19"/>
  <c r="P45" i="163"/>
  <c r="M9" i="41"/>
  <c r="K9" i="41"/>
  <c r="H9" i="41"/>
  <c r="R9" i="19"/>
  <c r="Q9" i="19"/>
  <c r="P9" i="19"/>
  <c r="M7" i="41"/>
  <c r="K7" i="41"/>
  <c r="J7" i="41"/>
  <c r="H7" i="41"/>
  <c r="G7" i="41"/>
  <c r="F7" i="41"/>
  <c r="P7" i="19"/>
  <c r="S55" i="148"/>
  <c r="Q55" i="148"/>
  <c r="P55" i="148"/>
  <c r="S54" i="148"/>
  <c r="Q54" i="148"/>
  <c r="L4" i="41" s="1"/>
  <c r="P54" i="148"/>
  <c r="R54" i="148" s="1"/>
  <c r="S53" i="148"/>
  <c r="Q53" i="148"/>
  <c r="P53" i="148"/>
  <c r="R53" i="148" s="1"/>
  <c r="S52" i="148"/>
  <c r="Q52" i="148"/>
  <c r="P52" i="148"/>
  <c r="R52" i="148" s="1"/>
  <c r="S51" i="148"/>
  <c r="Q51" i="148"/>
  <c r="P51" i="148"/>
  <c r="S50" i="148"/>
  <c r="Q50" i="148"/>
  <c r="H4" i="41" s="1"/>
  <c r="D37" i="41" s="1"/>
  <c r="P50" i="148"/>
  <c r="R50" i="148" s="1"/>
  <c r="S48" i="148"/>
  <c r="Q48" i="148"/>
  <c r="P48" i="148"/>
  <c r="R48" i="148" s="1"/>
  <c r="S47" i="148"/>
  <c r="Q47" i="148"/>
  <c r="P47" i="148"/>
  <c r="R47" i="148" s="1"/>
  <c r="S46" i="148"/>
  <c r="Q46" i="148"/>
  <c r="P46" i="148"/>
  <c r="S45" i="148"/>
  <c r="Q45" i="148"/>
  <c r="P45" i="148"/>
  <c r="R45" i="148" s="1"/>
  <c r="S44" i="148"/>
  <c r="Q44" i="148"/>
  <c r="P44" i="148"/>
  <c r="U4" i="148"/>
  <c r="T4" i="148"/>
  <c r="Q4" i="19" s="1"/>
  <c r="S4" i="148"/>
  <c r="P4" i="19" s="1"/>
  <c r="P4" i="148"/>
  <c r="N4" i="148"/>
  <c r="L4" i="19" s="1"/>
  <c r="AC3" i="148"/>
  <c r="AB3" i="148"/>
  <c r="AA3" i="148"/>
  <c r="X3" i="148"/>
  <c r="V3" i="148"/>
  <c r="R3" i="148"/>
  <c r="S56" i="51"/>
  <c r="Q56" i="51"/>
  <c r="P56" i="51"/>
  <c r="S55" i="51"/>
  <c r="Q55" i="51"/>
  <c r="P55" i="51"/>
  <c r="S54" i="51"/>
  <c r="Q54" i="51"/>
  <c r="P54" i="51"/>
  <c r="R54" i="51" s="1"/>
  <c r="S53" i="51"/>
  <c r="Q53" i="51"/>
  <c r="P53" i="51"/>
  <c r="R53" i="51" s="1"/>
  <c r="S52" i="51"/>
  <c r="Q52" i="51"/>
  <c r="P52" i="51"/>
  <c r="S51" i="51"/>
  <c r="Q51" i="51"/>
  <c r="P51" i="51"/>
  <c r="S50" i="51"/>
  <c r="Q50" i="51"/>
  <c r="P50" i="51"/>
  <c r="R50" i="51" s="1"/>
  <c r="S49" i="51"/>
  <c r="Q49" i="51"/>
  <c r="P49" i="51"/>
  <c r="R49" i="51" s="1"/>
  <c r="S48" i="51"/>
  <c r="Q48" i="51"/>
  <c r="P48" i="51"/>
  <c r="S47" i="51"/>
  <c r="Q47" i="51"/>
  <c r="P47" i="51"/>
  <c r="S46" i="51"/>
  <c r="Q46" i="51"/>
  <c r="P46" i="51"/>
  <c r="R46" i="51" s="1"/>
  <c r="P45" i="51"/>
  <c r="P57" i="51" s="1"/>
  <c r="AD4" i="51"/>
  <c r="AC4" i="51"/>
  <c r="AB4" i="51"/>
  <c r="X4" i="51"/>
  <c r="V4" i="51"/>
  <c r="R4" i="51"/>
  <c r="Y4" i="51" s="1"/>
  <c r="AE4" i="51" s="1"/>
  <c r="AD3" i="51"/>
  <c r="AC3" i="51"/>
  <c r="AB3" i="51"/>
  <c r="V3" i="51"/>
  <c r="X3" i="51" s="1"/>
  <c r="R3" i="51"/>
  <c r="Y3" i="51" s="1"/>
  <c r="X30" i="19"/>
  <c r="C30" i="19"/>
  <c r="B30" i="19"/>
  <c r="A30" i="19"/>
  <c r="X29" i="19"/>
  <c r="C29" i="19"/>
  <c r="B29" i="19"/>
  <c r="A29" i="19"/>
  <c r="X28" i="19"/>
  <c r="C28" i="19"/>
  <c r="B28" i="19"/>
  <c r="A28" i="19"/>
  <c r="X27" i="19"/>
  <c r="C27" i="19"/>
  <c r="B27" i="19"/>
  <c r="X26" i="19"/>
  <c r="C26" i="19"/>
  <c r="B26" i="19"/>
  <c r="A26" i="19"/>
  <c r="X25" i="19"/>
  <c r="C25" i="19"/>
  <c r="B25" i="19"/>
  <c r="A25" i="19"/>
  <c r="X24" i="19"/>
  <c r="C24" i="19"/>
  <c r="B24" i="19"/>
  <c r="A24" i="19"/>
  <c r="X23" i="19"/>
  <c r="C23" i="19"/>
  <c r="B23" i="19"/>
  <c r="X22" i="19"/>
  <c r="C22" i="19"/>
  <c r="B22" i="19"/>
  <c r="A22" i="19"/>
  <c r="X21" i="19"/>
  <c r="J21" i="19"/>
  <c r="I21" i="19"/>
  <c r="C21" i="19"/>
  <c r="B21" i="19"/>
  <c r="A21" i="19"/>
  <c r="X20" i="19"/>
  <c r="C20" i="19"/>
  <c r="B20" i="19"/>
  <c r="A20" i="19"/>
  <c r="X19" i="19"/>
  <c r="C19" i="19"/>
  <c r="B19" i="19"/>
  <c r="A19" i="19"/>
  <c r="X18" i="19"/>
  <c r="C18" i="19"/>
  <c r="B18" i="19"/>
  <c r="A18" i="19"/>
  <c r="X17" i="19"/>
  <c r="C17" i="19"/>
  <c r="B17" i="19"/>
  <c r="A17" i="19"/>
  <c r="X16" i="19"/>
  <c r="V16" i="19"/>
  <c r="C16" i="19"/>
  <c r="B16" i="19"/>
  <c r="A16" i="19"/>
  <c r="X15" i="19"/>
  <c r="C15" i="19"/>
  <c r="B15" i="19"/>
  <c r="A15" i="19"/>
  <c r="X14" i="19"/>
  <c r="D14" i="19"/>
  <c r="C14" i="19"/>
  <c r="B14" i="19"/>
  <c r="A14" i="19"/>
  <c r="X13" i="19"/>
  <c r="C13" i="19"/>
  <c r="B13" i="19"/>
  <c r="A13" i="19"/>
  <c r="X12" i="19"/>
  <c r="C12" i="19"/>
  <c r="B12" i="19"/>
  <c r="A12" i="19"/>
  <c r="X11" i="19"/>
  <c r="R11" i="19"/>
  <c r="Q11" i="19"/>
  <c r="P11" i="19"/>
  <c r="G11" i="19"/>
  <c r="C11" i="19"/>
  <c r="B11" i="19"/>
  <c r="A11" i="19"/>
  <c r="X10" i="19"/>
  <c r="C10" i="19"/>
  <c r="B10" i="19"/>
  <c r="A10" i="19"/>
  <c r="X9" i="19"/>
  <c r="C9" i="19"/>
  <c r="B9" i="19"/>
  <c r="A9" i="19"/>
  <c r="X8" i="19"/>
  <c r="R8" i="19"/>
  <c r="C8" i="19"/>
  <c r="B8" i="19"/>
  <c r="A8" i="19"/>
  <c r="X7" i="19"/>
  <c r="C7" i="19"/>
  <c r="B7" i="19"/>
  <c r="A7" i="19"/>
  <c r="X6" i="19"/>
  <c r="C6" i="19"/>
  <c r="B6" i="19"/>
  <c r="A6" i="19"/>
  <c r="X5" i="19"/>
  <c r="R5" i="19"/>
  <c r="Q5" i="19"/>
  <c r="N5" i="19"/>
  <c r="C5" i="19"/>
  <c r="B5" i="19"/>
  <c r="A5" i="19"/>
  <c r="X4" i="19"/>
  <c r="R4" i="19"/>
  <c r="N4" i="19"/>
  <c r="C4" i="19"/>
  <c r="B4" i="19"/>
  <c r="A4" i="19"/>
  <c r="X3" i="19"/>
  <c r="J3" i="19"/>
  <c r="C3" i="19"/>
  <c r="B3" i="19"/>
  <c r="A3" i="19"/>
  <c r="E45" i="41"/>
  <c r="D45" i="41"/>
  <c r="C45" i="41"/>
  <c r="B45" i="41"/>
  <c r="F45" i="41" s="1"/>
  <c r="A45" i="41"/>
  <c r="L29" i="41"/>
  <c r="K29" i="41"/>
  <c r="J29" i="41"/>
  <c r="H29" i="41"/>
  <c r="G29" i="41"/>
  <c r="F29" i="41"/>
  <c r="D29" i="41"/>
  <c r="C29" i="41"/>
  <c r="A29" i="41"/>
  <c r="A59" i="41" s="1"/>
  <c r="M28" i="41"/>
  <c r="L28" i="41"/>
  <c r="K28" i="41"/>
  <c r="J28" i="41"/>
  <c r="I28" i="41"/>
  <c r="H28" i="41"/>
  <c r="G28" i="41"/>
  <c r="F28" i="41"/>
  <c r="E28" i="41"/>
  <c r="D28" i="41"/>
  <c r="B28" i="41"/>
  <c r="A28" i="41"/>
  <c r="M27" i="41"/>
  <c r="L27" i="41"/>
  <c r="K27" i="41"/>
  <c r="J27" i="41"/>
  <c r="I27" i="41"/>
  <c r="H27" i="41"/>
  <c r="D58" i="41" s="1"/>
  <c r="G27" i="41"/>
  <c r="F27" i="41"/>
  <c r="E27" i="41"/>
  <c r="D27" i="41"/>
  <c r="C27" i="41"/>
  <c r="A27" i="41"/>
  <c r="A58" i="41" s="1"/>
  <c r="M26" i="41"/>
  <c r="L26" i="41"/>
  <c r="K26" i="41"/>
  <c r="J26" i="41"/>
  <c r="I26" i="41"/>
  <c r="H26" i="41"/>
  <c r="D57" i="41" s="1"/>
  <c r="G26" i="41"/>
  <c r="F26" i="41"/>
  <c r="E26" i="41"/>
  <c r="D26" i="41"/>
  <c r="C26" i="41"/>
  <c r="M25" i="41"/>
  <c r="K25" i="41"/>
  <c r="J25" i="41"/>
  <c r="I25" i="41"/>
  <c r="H25" i="41"/>
  <c r="D56" i="41" s="1"/>
  <c r="G25" i="41"/>
  <c r="F25" i="41"/>
  <c r="E25" i="41"/>
  <c r="D25" i="41"/>
  <c r="C25" i="41"/>
  <c r="A25" i="41"/>
  <c r="A56" i="41" s="1"/>
  <c r="M24" i="41"/>
  <c r="L24" i="41"/>
  <c r="K24" i="41"/>
  <c r="E55" i="41" s="1"/>
  <c r="J24" i="41"/>
  <c r="I24" i="41"/>
  <c r="H24" i="41"/>
  <c r="D55" i="41" s="1"/>
  <c r="G24" i="41"/>
  <c r="F24" i="41"/>
  <c r="E24" i="41"/>
  <c r="D24" i="41"/>
  <c r="C24" i="41"/>
  <c r="A24" i="41"/>
  <c r="A55" i="41" s="1"/>
  <c r="M23" i="41"/>
  <c r="L23" i="41"/>
  <c r="K23" i="41"/>
  <c r="E54" i="41" s="1"/>
  <c r="J23" i="41"/>
  <c r="I23" i="41"/>
  <c r="H23" i="41"/>
  <c r="D54" i="41" s="1"/>
  <c r="G23" i="41"/>
  <c r="F23" i="41"/>
  <c r="E23" i="41"/>
  <c r="D23" i="41"/>
  <c r="C23" i="41"/>
  <c r="A23" i="41"/>
  <c r="A54" i="41" s="1"/>
  <c r="M22" i="41"/>
  <c r="L22" i="41"/>
  <c r="K22" i="41"/>
  <c r="E53" i="41" s="1"/>
  <c r="J22" i="41"/>
  <c r="I22" i="41"/>
  <c r="H22" i="41"/>
  <c r="G22" i="41"/>
  <c r="F22" i="41"/>
  <c r="E22" i="41"/>
  <c r="D22" i="41"/>
  <c r="C53" i="41" s="1"/>
  <c r="C22" i="41"/>
  <c r="M21" i="41"/>
  <c r="L21" i="41"/>
  <c r="J21" i="41"/>
  <c r="I21" i="41"/>
  <c r="H21" i="41"/>
  <c r="D52" i="41" s="1"/>
  <c r="F21" i="41"/>
  <c r="E21" i="41"/>
  <c r="D21" i="41"/>
  <c r="C21" i="41"/>
  <c r="A21" i="41"/>
  <c r="A52" i="41" s="1"/>
  <c r="M20" i="41"/>
  <c r="L20" i="41"/>
  <c r="K20" i="41"/>
  <c r="E51" i="41" s="1"/>
  <c r="J20" i="41"/>
  <c r="I20" i="41"/>
  <c r="H20" i="41"/>
  <c r="D51" i="41" s="1"/>
  <c r="G20" i="41"/>
  <c r="F20" i="41"/>
  <c r="E20" i="41"/>
  <c r="D20" i="41"/>
  <c r="C20" i="41"/>
  <c r="B51" i="41" s="1"/>
  <c r="A20" i="41"/>
  <c r="A51" i="41" s="1"/>
  <c r="J19" i="41"/>
  <c r="E19" i="41"/>
  <c r="C50" i="41" s="1"/>
  <c r="A19" i="41"/>
  <c r="A50" i="41" s="1"/>
  <c r="M18" i="41"/>
  <c r="K18" i="41"/>
  <c r="J18" i="41"/>
  <c r="I18" i="41"/>
  <c r="G18" i="41"/>
  <c r="F18" i="41"/>
  <c r="E18" i="41"/>
  <c r="C18" i="41"/>
  <c r="B18" i="41"/>
  <c r="A18" i="41"/>
  <c r="A49" i="41" s="1"/>
  <c r="M17" i="41"/>
  <c r="L17" i="41"/>
  <c r="K17" i="41"/>
  <c r="J17" i="41"/>
  <c r="I17" i="41"/>
  <c r="H17" i="41"/>
  <c r="D48" i="41" s="1"/>
  <c r="G17" i="41"/>
  <c r="F17" i="41"/>
  <c r="E17" i="41"/>
  <c r="C17" i="41"/>
  <c r="B17" i="41"/>
  <c r="A17" i="41"/>
  <c r="A48" i="41" s="1"/>
  <c r="D16" i="41"/>
  <c r="A16" i="41"/>
  <c r="A47" i="41" s="1"/>
  <c r="L15" i="41"/>
  <c r="K15" i="41"/>
  <c r="J15" i="41"/>
  <c r="H15" i="41"/>
  <c r="G15" i="41"/>
  <c r="A15" i="41"/>
  <c r="A46" i="41" s="1"/>
  <c r="M14" i="41"/>
  <c r="K14" i="41"/>
  <c r="J14" i="41"/>
  <c r="H14" i="41"/>
  <c r="G14" i="41"/>
  <c r="F14" i="41"/>
  <c r="E14" i="41"/>
  <c r="D14" i="41"/>
  <c r="C14" i="41"/>
  <c r="B14" i="41"/>
  <c r="A14" i="41"/>
  <c r="M13" i="41"/>
  <c r="L13" i="41"/>
  <c r="K13" i="41"/>
  <c r="J13" i="41"/>
  <c r="I13" i="41"/>
  <c r="H13" i="41"/>
  <c r="G13" i="41"/>
  <c r="E13" i="41"/>
  <c r="D13" i="41"/>
  <c r="C13" i="41"/>
  <c r="A13" i="41"/>
  <c r="L12" i="41"/>
  <c r="K12" i="41"/>
  <c r="J12" i="41"/>
  <c r="H12" i="41"/>
  <c r="G12" i="41"/>
  <c r="E12" i="41"/>
  <c r="C12" i="41"/>
  <c r="B12" i="41"/>
  <c r="A12" i="41"/>
  <c r="A44" i="41" s="1"/>
  <c r="J11" i="41"/>
  <c r="H11" i="41"/>
  <c r="E11" i="41"/>
  <c r="D11" i="41"/>
  <c r="A11" i="41"/>
  <c r="A43" i="41" s="1"/>
  <c r="T10" i="41"/>
  <c r="M10" i="41"/>
  <c r="L10" i="41"/>
  <c r="K10" i="41"/>
  <c r="J10" i="41"/>
  <c r="I10" i="41"/>
  <c r="H10" i="41"/>
  <c r="G10" i="41"/>
  <c r="F10" i="41"/>
  <c r="E10" i="41"/>
  <c r="C42" i="41" s="1"/>
  <c r="B10" i="41"/>
  <c r="A10" i="41"/>
  <c r="A42" i="41" s="1"/>
  <c r="T9" i="41"/>
  <c r="L9" i="41"/>
  <c r="J9" i="41"/>
  <c r="I9" i="41"/>
  <c r="G9" i="41"/>
  <c r="F9" i="41"/>
  <c r="E9" i="41"/>
  <c r="D9" i="41"/>
  <c r="C9" i="41"/>
  <c r="A9" i="41"/>
  <c r="A41" i="41" s="1"/>
  <c r="T8" i="41"/>
  <c r="L8" i="41"/>
  <c r="G8" i="41"/>
  <c r="D8" i="41"/>
  <c r="A8" i="41"/>
  <c r="A40" i="41" s="1"/>
  <c r="T7" i="41"/>
  <c r="A7" i="41"/>
  <c r="A39" i="41" s="1"/>
  <c r="M6" i="41"/>
  <c r="K6" i="41"/>
  <c r="J6" i="41"/>
  <c r="I6" i="41"/>
  <c r="E6" i="41"/>
  <c r="A6" i="41"/>
  <c r="A38" i="41" s="1"/>
  <c r="T5" i="41"/>
  <c r="M5" i="41"/>
  <c r="K5" i="41"/>
  <c r="J5" i="41"/>
  <c r="I5" i="41"/>
  <c r="G5" i="41"/>
  <c r="F5" i="41"/>
  <c r="E5" i="41"/>
  <c r="C5" i="41"/>
  <c r="B5" i="41"/>
  <c r="A5" i="41"/>
  <c r="T4" i="41"/>
  <c r="M4" i="41"/>
  <c r="K4" i="41"/>
  <c r="J4" i="41"/>
  <c r="I4" i="41"/>
  <c r="F4" i="41"/>
  <c r="E4" i="41"/>
  <c r="D4" i="41"/>
  <c r="C4" i="41"/>
  <c r="B4" i="41"/>
  <c r="A4" i="41"/>
  <c r="A37" i="41" s="1"/>
  <c r="T3" i="41"/>
  <c r="M3" i="41"/>
  <c r="M30" i="41" s="1"/>
  <c r="L3" i="41"/>
  <c r="L30" i="41" s="1"/>
  <c r="K3" i="41"/>
  <c r="E36" i="41" s="1"/>
  <c r="E60" i="41" s="1"/>
  <c r="J3" i="41"/>
  <c r="J30" i="41" s="1"/>
  <c r="I3" i="41"/>
  <c r="I30" i="41" s="1"/>
  <c r="H3" i="41"/>
  <c r="H30" i="41" s="1"/>
  <c r="G3" i="41"/>
  <c r="G30" i="41" s="1"/>
  <c r="F3" i="41"/>
  <c r="F30" i="41" s="1"/>
  <c r="E3" i="41"/>
  <c r="C36" i="41" s="1"/>
  <c r="C60" i="41" s="1"/>
  <c r="D3" i="41"/>
  <c r="D30" i="41" s="1"/>
  <c r="C3" i="41"/>
  <c r="C30" i="41" s="1"/>
  <c r="B3" i="41"/>
  <c r="B30" i="41" s="1"/>
  <c r="A3" i="41"/>
  <c r="A36" i="41" s="1"/>
  <c r="T2" i="41"/>
  <c r="X6" i="101"/>
  <c r="AE8" i="154" l="1"/>
  <c r="AF8" i="154"/>
  <c r="AF6" i="156"/>
  <c r="AE6" i="156"/>
  <c r="AF8" i="159"/>
  <c r="AE8" i="159"/>
  <c r="R50" i="122"/>
  <c r="R54" i="122"/>
  <c r="Y8" i="157"/>
  <c r="R48" i="160"/>
  <c r="R52" i="160"/>
  <c r="R56" i="160"/>
  <c r="Y4" i="162"/>
  <c r="D44" i="41"/>
  <c r="H18" i="41"/>
  <c r="D49" i="41" s="1"/>
  <c r="C51" i="41"/>
  <c r="C52" i="41"/>
  <c r="C54" i="41"/>
  <c r="C55" i="41"/>
  <c r="C56" i="41"/>
  <c r="C57" i="41"/>
  <c r="C58" i="41"/>
  <c r="R47" i="140"/>
  <c r="R52" i="140"/>
  <c r="Y3" i="144"/>
  <c r="R45" i="128"/>
  <c r="R49" i="128"/>
  <c r="R53" i="128"/>
  <c r="R50" i="99"/>
  <c r="R54" i="99"/>
  <c r="P46" i="122"/>
  <c r="P56" i="122" s="1"/>
  <c r="Y11" i="127"/>
  <c r="AF6" i="154"/>
  <c r="R46" i="158"/>
  <c r="R50" i="158"/>
  <c r="R54" i="158"/>
  <c r="N5" i="41"/>
  <c r="M15" i="41"/>
  <c r="E29" i="41"/>
  <c r="C59" i="41" s="1"/>
  <c r="R46" i="148"/>
  <c r="R51" i="148"/>
  <c r="R55" i="148"/>
  <c r="P56" i="139"/>
  <c r="R48" i="139"/>
  <c r="R52" i="139"/>
  <c r="Y5" i="101"/>
  <c r="R47" i="122"/>
  <c r="R51" i="122"/>
  <c r="R55" i="122"/>
  <c r="Y7" i="153"/>
  <c r="AF7" i="153" s="1"/>
  <c r="R49" i="160"/>
  <c r="R53" i="160"/>
  <c r="R57" i="160"/>
  <c r="E46" i="41"/>
  <c r="Y3" i="140"/>
  <c r="E48" i="41"/>
  <c r="D53" i="41"/>
  <c r="A23" i="19"/>
  <c r="R47" i="51"/>
  <c r="R51" i="51"/>
  <c r="R55" i="51"/>
  <c r="P56" i="140"/>
  <c r="R46" i="149"/>
  <c r="R50" i="149"/>
  <c r="R54" i="149"/>
  <c r="AF10" i="154"/>
  <c r="Y4" i="157"/>
  <c r="Y10" i="157"/>
  <c r="AB3" i="159"/>
  <c r="P62" i="159"/>
  <c r="R54" i="159"/>
  <c r="R58" i="159"/>
  <c r="R51" i="99"/>
  <c r="R55" i="99"/>
  <c r="Y14" i="127"/>
  <c r="AD14" i="127" s="1"/>
  <c r="AB3" i="154"/>
  <c r="AB6" i="155"/>
  <c r="AC7" i="155"/>
  <c r="Y7" i="157"/>
  <c r="Q50" i="159"/>
  <c r="B29" i="41" s="1"/>
  <c r="B59" i="41" s="1"/>
  <c r="P44" i="144"/>
  <c r="P56" i="144" s="1"/>
  <c r="R51" i="124"/>
  <c r="D59" i="41"/>
  <c r="R48" i="126"/>
  <c r="R52" i="126"/>
  <c r="Y3" i="128"/>
  <c r="Y12" i="127"/>
  <c r="AD12" i="127" s="1"/>
  <c r="AC9" i="155"/>
  <c r="AB3" i="157"/>
  <c r="AF3" i="159"/>
  <c r="S50" i="159" s="1"/>
  <c r="S62" i="159" s="1"/>
  <c r="R55" i="124"/>
  <c r="E44" i="41"/>
  <c r="E49" i="41"/>
  <c r="L18" i="41"/>
  <c r="E37" i="41"/>
  <c r="M12" i="41"/>
  <c r="I29" i="41"/>
  <c r="R48" i="51"/>
  <c r="R52" i="51"/>
  <c r="R56" i="51"/>
  <c r="R47" i="149"/>
  <c r="R51" i="149"/>
  <c r="R55" i="149"/>
  <c r="R49" i="124"/>
  <c r="R53" i="124"/>
  <c r="R45" i="100"/>
  <c r="R49" i="100"/>
  <c r="R53" i="100"/>
  <c r="P58" i="99"/>
  <c r="Y10" i="127"/>
  <c r="AD10" i="127" s="1"/>
  <c r="R54" i="153"/>
  <c r="R58" i="153"/>
  <c r="R62" i="153"/>
  <c r="AB10" i="155"/>
  <c r="AB4" i="157"/>
  <c r="AB10" i="157"/>
  <c r="R55" i="157"/>
  <c r="R59" i="157"/>
  <c r="R63" i="157"/>
  <c r="AB5" i="159"/>
  <c r="R50" i="161"/>
  <c r="R54" i="161"/>
  <c r="R46" i="64"/>
  <c r="F51" i="41"/>
  <c r="G51" i="41" s="1"/>
  <c r="S56" i="149"/>
  <c r="R46" i="124"/>
  <c r="D42" i="41"/>
  <c r="B49" i="41"/>
  <c r="E56" i="41"/>
  <c r="E57" i="41"/>
  <c r="E58" i="41"/>
  <c r="A27" i="19"/>
  <c r="Y6" i="157"/>
  <c r="Y12" i="157"/>
  <c r="Y4" i="160"/>
  <c r="AE4" i="160" s="1"/>
  <c r="R51" i="64"/>
  <c r="O18" i="41"/>
  <c r="E59" i="41"/>
  <c r="R53" i="126"/>
  <c r="AE5" i="127"/>
  <c r="Y9" i="157"/>
  <c r="AE9" i="157" s="1"/>
  <c r="O14" i="41"/>
  <c r="C48" i="41"/>
  <c r="D18" i="41"/>
  <c r="Y3" i="148"/>
  <c r="R45" i="124"/>
  <c r="R50" i="124"/>
  <c r="R54" i="124"/>
  <c r="S56" i="126"/>
  <c r="P56" i="128"/>
  <c r="R46" i="100"/>
  <c r="R50" i="100"/>
  <c r="R54" i="100"/>
  <c r="P58" i="127"/>
  <c r="R55" i="153"/>
  <c r="R59" i="153"/>
  <c r="AB3" i="155"/>
  <c r="R52" i="159"/>
  <c r="R56" i="159"/>
  <c r="R60" i="159"/>
  <c r="R47" i="64"/>
  <c r="D17" i="41"/>
  <c r="N17" i="41" s="1"/>
  <c r="B37" i="41"/>
  <c r="G37" i="41" s="1"/>
  <c r="E42" i="41"/>
  <c r="D12" i="41"/>
  <c r="B44" i="41" s="1"/>
  <c r="G44" i="41" s="1"/>
  <c r="I15" i="41"/>
  <c r="D46" i="41" s="1"/>
  <c r="C49" i="41"/>
  <c r="M29" i="41"/>
  <c r="R49" i="116"/>
  <c r="Q56" i="149"/>
  <c r="R53" i="99"/>
  <c r="R57" i="99"/>
  <c r="R45" i="122"/>
  <c r="AF6" i="153"/>
  <c r="AB6" i="157"/>
  <c r="AB12" i="157"/>
  <c r="R49" i="158"/>
  <c r="R53" i="158"/>
  <c r="AF7" i="159"/>
  <c r="Y4" i="161"/>
  <c r="R52" i="64"/>
  <c r="R48" i="131"/>
  <c r="B8" i="41"/>
  <c r="N8" i="41" s="1"/>
  <c r="R49" i="131"/>
  <c r="G19" i="41"/>
  <c r="R55" i="131"/>
  <c r="R48" i="116"/>
  <c r="R56" i="116"/>
  <c r="R50" i="131"/>
  <c r="C41" i="41"/>
  <c r="D41" i="41"/>
  <c r="E41" i="41"/>
  <c r="R51" i="131"/>
  <c r="F19" i="41"/>
  <c r="R52" i="131"/>
  <c r="R54" i="116"/>
  <c r="R44" i="131"/>
  <c r="R46" i="116"/>
  <c r="E40" i="41"/>
  <c r="R4" i="145"/>
  <c r="O11" i="19" s="1"/>
  <c r="X4" i="145"/>
  <c r="U11" i="19" s="1"/>
  <c r="R55" i="154"/>
  <c r="C6" i="41"/>
  <c r="B38" i="41" s="1"/>
  <c r="E38" i="41"/>
  <c r="R51" i="162"/>
  <c r="R50" i="118"/>
  <c r="P58" i="118"/>
  <c r="K11" i="41"/>
  <c r="E43" i="41" s="1"/>
  <c r="F11" i="41"/>
  <c r="C43" i="41" s="1"/>
  <c r="D43" i="41"/>
  <c r="R44" i="124"/>
  <c r="R58" i="156"/>
  <c r="R49" i="162"/>
  <c r="R51" i="156"/>
  <c r="R59" i="156"/>
  <c r="R50" i="162"/>
  <c r="I7" i="41"/>
  <c r="D39" i="41" s="1"/>
  <c r="L7" i="41"/>
  <c r="E39" i="41" s="1"/>
  <c r="R52" i="154"/>
  <c r="R60" i="154"/>
  <c r="R51" i="155"/>
  <c r="R59" i="155"/>
  <c r="R55" i="156"/>
  <c r="R54" i="162"/>
  <c r="P58" i="161"/>
  <c r="R44" i="140"/>
  <c r="R53" i="154"/>
  <c r="R61" i="154"/>
  <c r="R52" i="155"/>
  <c r="R60" i="155"/>
  <c r="R56" i="156"/>
  <c r="R47" i="162"/>
  <c r="R53" i="155"/>
  <c r="R61" i="155"/>
  <c r="R57" i="156"/>
  <c r="R45" i="131"/>
  <c r="R53" i="131"/>
  <c r="Q56" i="131"/>
  <c r="R56" i="131" s="1"/>
  <c r="H19" i="41"/>
  <c r="D50" i="41" s="1"/>
  <c r="R46" i="131"/>
  <c r="R54" i="131"/>
  <c r="E50" i="41"/>
  <c r="R47" i="131"/>
  <c r="P50" i="163"/>
  <c r="R51" i="116"/>
  <c r="R52" i="116"/>
  <c r="R50" i="116"/>
  <c r="R53" i="116"/>
  <c r="R58" i="154"/>
  <c r="R57" i="155"/>
  <c r="P62" i="156"/>
  <c r="R53" i="156"/>
  <c r="R61" i="156"/>
  <c r="P58" i="162"/>
  <c r="R52" i="162"/>
  <c r="R55" i="162"/>
  <c r="R46" i="101"/>
  <c r="R56" i="154"/>
  <c r="R55" i="155"/>
  <c r="R59" i="154"/>
  <c r="P62" i="155"/>
  <c r="R58" i="155"/>
  <c r="R54" i="156"/>
  <c r="R53" i="162"/>
  <c r="R54" i="154"/>
  <c r="R62" i="154"/>
  <c r="P65" i="157"/>
  <c r="R48" i="162"/>
  <c r="R56" i="162"/>
  <c r="R46" i="99"/>
  <c r="P63" i="153"/>
  <c r="R57" i="154"/>
  <c r="R56" i="155"/>
  <c r="R52" i="156"/>
  <c r="R60" i="156"/>
  <c r="R57" i="116"/>
  <c r="P56" i="149"/>
  <c r="R56" i="149" s="1"/>
  <c r="P58" i="160"/>
  <c r="R57" i="162"/>
  <c r="Y3" i="100"/>
  <c r="AE3" i="100" s="1"/>
  <c r="G7" i="19"/>
  <c r="R7" i="19"/>
  <c r="Q16" i="19"/>
  <c r="N9" i="19"/>
  <c r="G20" i="19"/>
  <c r="N16" i="19"/>
  <c r="U16" i="19"/>
  <c r="T11" i="19"/>
  <c r="Q7" i="19"/>
  <c r="L16" i="19"/>
  <c r="O16" i="19"/>
  <c r="S16" i="19"/>
  <c r="W16" i="19"/>
  <c r="D11" i="19"/>
  <c r="D16" i="19"/>
  <c r="K16" i="19"/>
  <c r="G16" i="19"/>
  <c r="P16" i="19"/>
  <c r="R16" i="19"/>
  <c r="T16" i="19"/>
  <c r="S11" i="19"/>
  <c r="W11" i="19"/>
  <c r="K3" i="19"/>
  <c r="F49" i="41"/>
  <c r="G49" i="41"/>
  <c r="AE3" i="144"/>
  <c r="Q44" i="144"/>
  <c r="AD3" i="144"/>
  <c r="AE3" i="140"/>
  <c r="Q48" i="140"/>
  <c r="Q56" i="140" s="1"/>
  <c r="R56" i="140" s="1"/>
  <c r="AD3" i="140"/>
  <c r="AE5" i="99"/>
  <c r="AD5" i="99"/>
  <c r="O3" i="41"/>
  <c r="O30" i="41" s="1"/>
  <c r="O5" i="41"/>
  <c r="O8" i="41"/>
  <c r="O17" i="41"/>
  <c r="N18" i="41"/>
  <c r="O19" i="41"/>
  <c r="E30" i="41"/>
  <c r="K30" i="41"/>
  <c r="B36" i="41"/>
  <c r="D36" i="41"/>
  <c r="D60" i="41" s="1"/>
  <c r="G45" i="41"/>
  <c r="B48" i="41"/>
  <c r="B50" i="41"/>
  <c r="AF4" i="51"/>
  <c r="R44" i="148"/>
  <c r="P49" i="148"/>
  <c r="P56" i="148" s="1"/>
  <c r="R44" i="149"/>
  <c r="P58" i="101"/>
  <c r="AE3" i="128"/>
  <c r="AD3" i="128"/>
  <c r="R44" i="128"/>
  <c r="Q56" i="128"/>
  <c r="R56" i="100"/>
  <c r="Y3" i="99"/>
  <c r="Q46" i="122"/>
  <c r="R46" i="122" s="1"/>
  <c r="AE3" i="122"/>
  <c r="AD3" i="122"/>
  <c r="R44" i="122"/>
  <c r="AE9" i="127"/>
  <c r="S60" i="127" s="1"/>
  <c r="AD9" i="127"/>
  <c r="Q60" i="127"/>
  <c r="AE13" i="127"/>
  <c r="AD13" i="127"/>
  <c r="N3" i="41"/>
  <c r="N30" i="41" s="1"/>
  <c r="N29" i="41"/>
  <c r="O29" i="41" s="1"/>
  <c r="Q45" i="51"/>
  <c r="AF3" i="51"/>
  <c r="AE3" i="51"/>
  <c r="Q49" i="148"/>
  <c r="AD3" i="148"/>
  <c r="AE3" i="148"/>
  <c r="Q56" i="148"/>
  <c r="R45" i="116"/>
  <c r="P56" i="145"/>
  <c r="Q54" i="139"/>
  <c r="AE3" i="139"/>
  <c r="AE3" i="126"/>
  <c r="AD3" i="126"/>
  <c r="R44" i="126"/>
  <c r="Q56" i="126"/>
  <c r="R56" i="126" s="1"/>
  <c r="R44" i="100"/>
  <c r="AE3" i="127"/>
  <c r="AD3" i="127"/>
  <c r="Q56" i="127"/>
  <c r="AE7" i="127"/>
  <c r="AD7" i="127"/>
  <c r="AE11" i="127"/>
  <c r="AD11" i="127"/>
  <c r="AE15" i="127"/>
  <c r="AD15" i="127"/>
  <c r="P57" i="127"/>
  <c r="Y4" i="127"/>
  <c r="P59" i="127"/>
  <c r="Y8" i="127"/>
  <c r="AE10" i="127"/>
  <c r="AE12" i="127"/>
  <c r="AE14" i="127"/>
  <c r="AE7" i="153"/>
  <c r="AB5" i="154"/>
  <c r="AC5" i="154"/>
  <c r="AB7" i="154"/>
  <c r="AC7" i="154"/>
  <c r="AB9" i="154"/>
  <c r="AC9" i="154"/>
  <c r="AB11" i="154"/>
  <c r="AC11" i="154"/>
  <c r="AE4" i="155"/>
  <c r="AF4" i="155"/>
  <c r="AE8" i="155"/>
  <c r="AF8" i="155"/>
  <c r="AF5" i="161"/>
  <c r="AE5" i="161"/>
  <c r="R44" i="139"/>
  <c r="Y3" i="124"/>
  <c r="P56" i="124"/>
  <c r="AD5" i="101"/>
  <c r="Y4" i="99"/>
  <c r="Q51" i="153"/>
  <c r="AF3" i="153"/>
  <c r="AE3" i="153"/>
  <c r="AB4" i="154"/>
  <c r="AC4" i="154"/>
  <c r="AF5" i="154"/>
  <c r="AB6" i="154"/>
  <c r="AC6" i="154"/>
  <c r="AF7" i="154"/>
  <c r="AB8" i="154"/>
  <c r="AC8" i="154"/>
  <c r="AF9" i="154"/>
  <c r="AB10" i="154"/>
  <c r="AC10" i="154"/>
  <c r="AF11" i="154"/>
  <c r="Q53" i="157"/>
  <c r="AF3" i="157"/>
  <c r="AE3" i="157"/>
  <c r="AB6" i="159"/>
  <c r="AC6" i="159"/>
  <c r="AF6" i="159"/>
  <c r="AE6" i="159"/>
  <c r="Q62" i="159"/>
  <c r="R62" i="159" s="1"/>
  <c r="R50" i="159"/>
  <c r="Y6" i="127"/>
  <c r="AF4" i="153"/>
  <c r="AE5" i="153"/>
  <c r="P51" i="154"/>
  <c r="P63" i="154" s="1"/>
  <c r="Y3" i="154"/>
  <c r="AE6" i="155"/>
  <c r="AF6" i="155"/>
  <c r="AE10" i="155"/>
  <c r="AF10" i="155"/>
  <c r="AC5" i="157"/>
  <c r="AB5" i="157"/>
  <c r="AE5" i="157"/>
  <c r="AF5" i="157"/>
  <c r="AC7" i="157"/>
  <c r="AB7" i="157"/>
  <c r="AE7" i="157"/>
  <c r="AF7" i="157"/>
  <c r="AC9" i="157"/>
  <c r="AB9" i="157"/>
  <c r="AC11" i="157"/>
  <c r="AB11" i="157"/>
  <c r="AE11" i="157"/>
  <c r="AF11" i="157"/>
  <c r="Y3" i="158"/>
  <c r="P45" i="158"/>
  <c r="P57" i="158" s="1"/>
  <c r="AF4" i="158"/>
  <c r="AE4" i="158"/>
  <c r="AF5" i="162"/>
  <c r="AE5" i="162"/>
  <c r="AE3" i="155"/>
  <c r="AE5" i="155"/>
  <c r="AE7" i="155"/>
  <c r="AE9" i="155"/>
  <c r="Q50" i="155"/>
  <c r="AF3" i="156"/>
  <c r="AF5" i="156"/>
  <c r="AF7" i="156"/>
  <c r="AF8" i="156"/>
  <c r="AF9" i="156"/>
  <c r="Q50" i="156"/>
  <c r="AC3" i="157"/>
  <c r="AB4" i="159"/>
  <c r="AC4" i="159"/>
  <c r="AB8" i="159"/>
  <c r="AC8" i="159"/>
  <c r="R47" i="160"/>
  <c r="AF4" i="161"/>
  <c r="AE4" i="161"/>
  <c r="AF4" i="162"/>
  <c r="AE4" i="162"/>
  <c r="AC4" i="158"/>
  <c r="Q46" i="160"/>
  <c r="AF3" i="160"/>
  <c r="AE3" i="160"/>
  <c r="AF4" i="160"/>
  <c r="AE5" i="160"/>
  <c r="Y3" i="161"/>
  <c r="Y3" i="162"/>
  <c r="Q49" i="64"/>
  <c r="R49" i="64" s="1"/>
  <c r="AE3" i="64"/>
  <c r="AF3" i="64"/>
  <c r="R45" i="64"/>
  <c r="Y6" i="101"/>
  <c r="R56" i="128" l="1"/>
  <c r="B40" i="41"/>
  <c r="AE5" i="101"/>
  <c r="Q52" i="101"/>
  <c r="F59" i="41"/>
  <c r="G59" i="41" s="1"/>
  <c r="AE10" i="157"/>
  <c r="AF10" i="157"/>
  <c r="Q56" i="122"/>
  <c r="R56" i="122" s="1"/>
  <c r="AE4" i="157"/>
  <c r="AF4" i="157"/>
  <c r="AD3" i="100"/>
  <c r="AE12" i="157"/>
  <c r="AF12" i="157"/>
  <c r="AF9" i="157"/>
  <c r="P68" i="127"/>
  <c r="AE6" i="157"/>
  <c r="AF6" i="157"/>
  <c r="AE8" i="157"/>
  <c r="AF8" i="157"/>
  <c r="H16" i="41"/>
  <c r="D47" i="41" s="1"/>
  <c r="G6" i="41"/>
  <c r="C7" i="41"/>
  <c r="C11" i="41"/>
  <c r="Y4" i="145"/>
  <c r="R46" i="118"/>
  <c r="S7" i="19"/>
  <c r="U7" i="19"/>
  <c r="Q6" i="19"/>
  <c r="L7" i="19"/>
  <c r="J11" i="19"/>
  <c r="D7" i="19"/>
  <c r="L6" i="19"/>
  <c r="T7" i="19"/>
  <c r="L9" i="19"/>
  <c r="U6" i="19"/>
  <c r="W7" i="19"/>
  <c r="P6" i="19"/>
  <c r="O7" i="19"/>
  <c r="R6" i="19"/>
  <c r="K7" i="19"/>
  <c r="R54" i="155"/>
  <c r="V6" i="19"/>
  <c r="Q56" i="64"/>
  <c r="R56" i="64" s="1"/>
  <c r="Q46" i="161"/>
  <c r="AF3" i="161"/>
  <c r="AE3" i="161"/>
  <c r="S46" i="160"/>
  <c r="S58" i="160" s="1"/>
  <c r="S50" i="156"/>
  <c r="S62" i="156" s="1"/>
  <c r="AE3" i="154"/>
  <c r="Q51" i="154"/>
  <c r="AF3" i="154"/>
  <c r="Q65" i="157"/>
  <c r="R65" i="157" s="1"/>
  <c r="R53" i="157"/>
  <c r="B24" i="41"/>
  <c r="S51" i="153"/>
  <c r="S63" i="153" s="1"/>
  <c r="AE4" i="99"/>
  <c r="S48" i="99" s="1"/>
  <c r="Q48" i="99"/>
  <c r="AD4" i="99"/>
  <c r="AE3" i="124"/>
  <c r="Q48" i="124"/>
  <c r="AD3" i="124"/>
  <c r="AD8" i="127"/>
  <c r="Q59" i="127"/>
  <c r="AE8" i="127"/>
  <c r="S59" i="127" s="1"/>
  <c r="AD4" i="127"/>
  <c r="Q57" i="127"/>
  <c r="AE4" i="127"/>
  <c r="R56" i="127"/>
  <c r="B15" i="41"/>
  <c r="S56" i="127"/>
  <c r="S54" i="139"/>
  <c r="S56" i="139" s="1"/>
  <c r="S49" i="148"/>
  <c r="S56" i="148" s="1"/>
  <c r="R49" i="148"/>
  <c r="G4" i="41"/>
  <c r="S45" i="51"/>
  <c r="S57" i="51" s="1"/>
  <c r="S46" i="122"/>
  <c r="S56" i="122" s="1"/>
  <c r="AE3" i="99"/>
  <c r="Q47" i="99"/>
  <c r="AD3" i="99"/>
  <c r="B16" i="41"/>
  <c r="G50" i="41"/>
  <c r="F50" i="41"/>
  <c r="G40" i="41"/>
  <c r="F40" i="41"/>
  <c r="R48" i="140"/>
  <c r="F13" i="41"/>
  <c r="S44" i="144"/>
  <c r="S56" i="144" s="1"/>
  <c r="S49" i="64"/>
  <c r="S56" i="64" s="1"/>
  <c r="Q46" i="162"/>
  <c r="AF3" i="162"/>
  <c r="AE3" i="162"/>
  <c r="Q58" i="160"/>
  <c r="R58" i="160" s="1"/>
  <c r="R46" i="160"/>
  <c r="B25" i="41"/>
  <c r="R50" i="156"/>
  <c r="Q62" i="156"/>
  <c r="R62" i="156" s="1"/>
  <c r="B23" i="41"/>
  <c r="R50" i="155"/>
  <c r="Q62" i="155"/>
  <c r="R62" i="155" s="1"/>
  <c r="B22" i="41"/>
  <c r="Q45" i="158"/>
  <c r="AE3" i="158"/>
  <c r="AF3" i="158"/>
  <c r="AD6" i="127"/>
  <c r="Q58" i="127"/>
  <c r="AE6" i="127"/>
  <c r="S58" i="127" s="1"/>
  <c r="S53" i="157"/>
  <c r="S65" i="157" s="1"/>
  <c r="Q63" i="153"/>
  <c r="R63" i="153" s="1"/>
  <c r="R51" i="153"/>
  <c r="B20" i="41"/>
  <c r="N20" i="41" s="1"/>
  <c r="O20" i="41" s="1"/>
  <c r="R54" i="139"/>
  <c r="L14" i="41"/>
  <c r="N14" i="41" s="1"/>
  <c r="Q45" i="163"/>
  <c r="R56" i="148"/>
  <c r="Q57" i="51"/>
  <c r="R57" i="51" s="1"/>
  <c r="R45" i="51"/>
  <c r="R60" i="127"/>
  <c r="F15" i="41"/>
  <c r="Q56" i="139"/>
  <c r="R56" i="139" s="1"/>
  <c r="G48" i="41"/>
  <c r="F48" i="41"/>
  <c r="G38" i="41"/>
  <c r="B60" i="41"/>
  <c r="G36" i="41"/>
  <c r="G60" i="41" s="1"/>
  <c r="F36" i="41"/>
  <c r="F60" i="41" s="1"/>
  <c r="S48" i="140"/>
  <c r="S56" i="140" s="1"/>
  <c r="Q56" i="144"/>
  <c r="R56" i="144" s="1"/>
  <c r="R44" i="144"/>
  <c r="AE6" i="101"/>
  <c r="R52" i="101" l="1"/>
  <c r="H6" i="41"/>
  <c r="D38" i="41" s="1"/>
  <c r="S52" i="101"/>
  <c r="Q58" i="118"/>
  <c r="R58" i="118" s="1"/>
  <c r="M16" i="41"/>
  <c r="E47" i="41" s="1"/>
  <c r="B9" i="41"/>
  <c r="N9" i="41" s="1"/>
  <c r="G16" i="41"/>
  <c r="F16" i="41"/>
  <c r="E16" i="41"/>
  <c r="E7" i="41"/>
  <c r="C39" i="41" s="1"/>
  <c r="D7" i="41"/>
  <c r="AE4" i="145"/>
  <c r="AC11" i="19" s="1"/>
  <c r="C16" i="41"/>
  <c r="B47" i="41" s="1"/>
  <c r="S58" i="118"/>
  <c r="AC6" i="19"/>
  <c r="AC7" i="19"/>
  <c r="B7" i="41"/>
  <c r="R45" i="163"/>
  <c r="Q50" i="163"/>
  <c r="R50" i="163" s="1"/>
  <c r="R44" i="145"/>
  <c r="B11" i="41"/>
  <c r="Q56" i="145"/>
  <c r="R56" i="145" s="1"/>
  <c r="S58" i="101"/>
  <c r="R58" i="127"/>
  <c r="D15" i="41"/>
  <c r="S45" i="158"/>
  <c r="S57" i="158" s="1"/>
  <c r="Q57" i="158"/>
  <c r="R57" i="158" s="1"/>
  <c r="R45" i="158"/>
  <c r="B26" i="41"/>
  <c r="N23" i="41"/>
  <c r="O23" i="41" s="1"/>
  <c r="B54" i="41"/>
  <c r="F54" i="41" s="1"/>
  <c r="G54" i="41" s="1"/>
  <c r="R46" i="162"/>
  <c r="Q58" i="162"/>
  <c r="R58" i="162" s="1"/>
  <c r="C28" i="41"/>
  <c r="N28" i="41" s="1"/>
  <c r="O28" i="41" s="1"/>
  <c r="S47" i="99"/>
  <c r="S58" i="99" s="1"/>
  <c r="Q68" i="127"/>
  <c r="R68" i="127" s="1"/>
  <c r="R57" i="127"/>
  <c r="C15" i="41"/>
  <c r="N15" i="41" s="1"/>
  <c r="R48" i="124"/>
  <c r="Q56" i="124"/>
  <c r="R56" i="124" s="1"/>
  <c r="F12" i="41"/>
  <c r="B55" i="41"/>
  <c r="F55" i="41" s="1"/>
  <c r="G55" i="41" s="1"/>
  <c r="N24" i="41"/>
  <c r="O24" i="41" s="1"/>
  <c r="R51" i="154"/>
  <c r="Q63" i="154"/>
  <c r="R63" i="154" s="1"/>
  <c r="B21" i="41"/>
  <c r="Q58" i="161"/>
  <c r="R58" i="161" s="1"/>
  <c r="R46" i="161"/>
  <c r="B27" i="41"/>
  <c r="O9" i="41"/>
  <c r="S45" i="163"/>
  <c r="S50" i="163" s="1"/>
  <c r="AD4" i="145"/>
  <c r="AB11" i="19" s="1"/>
  <c r="V11" i="19"/>
  <c r="S56" i="145"/>
  <c r="F6" i="41"/>
  <c r="Q58" i="101"/>
  <c r="R58" i="101" s="1"/>
  <c r="B53" i="41"/>
  <c r="F53" i="41" s="1"/>
  <c r="G53" i="41" s="1"/>
  <c r="N22" i="41"/>
  <c r="O22" i="41" s="1"/>
  <c r="N25" i="41"/>
  <c r="O25" i="41" s="1"/>
  <c r="B56" i="41"/>
  <c r="F56" i="41" s="1"/>
  <c r="G56" i="41" s="1"/>
  <c r="S46" i="162"/>
  <c r="S58" i="162" s="1"/>
  <c r="N13" i="41"/>
  <c r="O13" i="41"/>
  <c r="R47" i="99"/>
  <c r="Q58" i="99"/>
  <c r="R58" i="99" s="1"/>
  <c r="C10" i="41"/>
  <c r="O4" i="41"/>
  <c r="N4" i="41"/>
  <c r="C37" i="41"/>
  <c r="F37" i="41" s="1"/>
  <c r="S57" i="127"/>
  <c r="S68" i="127" s="1"/>
  <c r="R59" i="127"/>
  <c r="E15" i="41"/>
  <c r="C46" i="41" s="1"/>
  <c r="S48" i="124"/>
  <c r="S56" i="124" s="1"/>
  <c r="R48" i="99"/>
  <c r="D10" i="41"/>
  <c r="S51" i="154"/>
  <c r="S63" i="154" s="1"/>
  <c r="S46" i="161"/>
  <c r="S58" i="161" s="1"/>
  <c r="B41" i="41" l="1"/>
  <c r="F41" i="41" s="1"/>
  <c r="C47" i="41"/>
  <c r="F47" i="41" s="1"/>
  <c r="O16" i="41"/>
  <c r="N16" i="41"/>
  <c r="C38" i="41"/>
  <c r="F38" i="41" s="1"/>
  <c r="O6" i="41"/>
  <c r="N6" i="41"/>
  <c r="N21" i="41"/>
  <c r="O21" i="41" s="1"/>
  <c r="B52" i="41"/>
  <c r="F52" i="41" s="1"/>
  <c r="G52" i="41" s="1"/>
  <c r="B46" i="41"/>
  <c r="O10" i="41"/>
  <c r="B42" i="41"/>
  <c r="N10" i="41"/>
  <c r="G41" i="41"/>
  <c r="N27" i="41"/>
  <c r="O27" i="41" s="1"/>
  <c r="B58" i="41"/>
  <c r="F58" i="41" s="1"/>
  <c r="G58" i="41" s="1"/>
  <c r="O12" i="41"/>
  <c r="C44" i="41"/>
  <c r="F44" i="41" s="1"/>
  <c r="N12" i="41"/>
  <c r="O15" i="41"/>
  <c r="G47" i="41"/>
  <c r="B57" i="41"/>
  <c r="F57" i="41" s="1"/>
  <c r="G57" i="41" s="1"/>
  <c r="N26" i="41"/>
  <c r="O26" i="41" s="1"/>
  <c r="B43" i="41"/>
  <c r="N11" i="41"/>
  <c r="O11" i="41"/>
  <c r="B39" i="41"/>
  <c r="N7" i="41"/>
  <c r="O7" i="41"/>
  <c r="F43" i="41" l="1"/>
  <c r="G43" i="41"/>
  <c r="G42" i="41"/>
  <c r="F42" i="41"/>
  <c r="G46" i="41"/>
  <c r="F46" i="41"/>
  <c r="F39" i="41"/>
  <c r="G39" i="41"/>
  <c r="N7" i="19"/>
  <c r="V6" i="99"/>
  <c r="K5" i="51"/>
  <c r="S5" i="163"/>
  <c r="H6" i="162"/>
  <c r="R5" i="158"/>
  <c r="Y6" i="162"/>
  <c r="X6" i="160"/>
  <c r="AF5" i="158"/>
  <c r="O10" i="156"/>
  <c r="U4" i="128"/>
  <c r="Q4" i="149"/>
  <c r="M6" i="160"/>
  <c r="J4" i="131"/>
  <c r="AF12" i="154"/>
  <c r="Y10" i="156"/>
  <c r="O5" i="163"/>
  <c r="Z4" i="126"/>
  <c r="R4" i="144"/>
  <c r="W13" i="157"/>
  <c r="U5" i="51"/>
  <c r="P4" i="144"/>
  <c r="X5" i="158"/>
  <c r="N11" i="153"/>
  <c r="Q4" i="144"/>
  <c r="M4" i="122"/>
  <c r="K4" i="122"/>
  <c r="H6" i="161"/>
  <c r="M5" i="51"/>
  <c r="P6" i="99"/>
  <c r="W6" i="160"/>
  <c r="U6" i="161"/>
  <c r="V4" i="148"/>
  <c r="R5" i="51"/>
  <c r="Y4" i="64"/>
  <c r="I4" i="139"/>
  <c r="L11" i="155"/>
  <c r="K6" i="118"/>
  <c r="K5" i="116"/>
  <c r="W5" i="163"/>
  <c r="K4" i="144"/>
  <c r="S4" i="122"/>
  <c r="Z4" i="128"/>
  <c r="J4" i="128"/>
  <c r="K4" i="64"/>
  <c r="O4" i="145"/>
  <c r="V5" i="51"/>
  <c r="L12" i="154"/>
  <c r="M10" i="159"/>
  <c r="W11" i="155"/>
  <c r="N5" i="116"/>
  <c r="D4" i="148"/>
  <c r="L10" i="156"/>
  <c r="Z4" i="144"/>
  <c r="N6" i="162"/>
  <c r="V11" i="155"/>
  <c r="AE4" i="140"/>
  <c r="O4" i="122"/>
  <c r="D4" i="144"/>
  <c r="L4" i="144"/>
  <c r="H4" i="124"/>
  <c r="W4" i="148"/>
  <c r="V13" i="157"/>
  <c r="V4" i="149"/>
  <c r="V6" i="161"/>
  <c r="V5" i="163"/>
  <c r="D6" i="162"/>
  <c r="Q4" i="64"/>
  <c r="Y11" i="153"/>
  <c r="V12" i="154"/>
  <c r="Y4" i="128"/>
  <c r="N10" i="159"/>
  <c r="AE5" i="163"/>
  <c r="Z11" i="153"/>
  <c r="I4" i="100"/>
  <c r="AE4" i="139"/>
  <c r="K4" i="139"/>
  <c r="Z10" i="156"/>
  <c r="P4" i="131"/>
  <c r="K10" i="156"/>
  <c r="L13" i="157"/>
  <c r="Z4" i="64"/>
  <c r="V6" i="162"/>
  <c r="K4" i="140"/>
  <c r="I4" i="122"/>
  <c r="O11" i="153"/>
  <c r="Y4" i="122"/>
  <c r="Z6" i="162"/>
  <c r="M10" i="156"/>
  <c r="S4" i="126"/>
  <c r="S6" i="162"/>
  <c r="S11" i="155"/>
  <c r="N4" i="100"/>
  <c r="N11" i="155"/>
  <c r="W4" i="100"/>
  <c r="X4" i="122"/>
  <c r="N4" i="139"/>
  <c r="W4" i="126"/>
  <c r="J10" i="156"/>
  <c r="AE4" i="100"/>
  <c r="N5" i="163"/>
  <c r="P5" i="116"/>
  <c r="J11" i="153"/>
  <c r="V10" i="159"/>
  <c r="P4" i="64"/>
  <c r="V4" i="124"/>
  <c r="H4" i="149"/>
  <c r="P4" i="128"/>
  <c r="O4" i="124"/>
  <c r="Y5" i="163"/>
  <c r="Z4" i="122"/>
  <c r="Y4" i="149"/>
  <c r="T10" i="156"/>
  <c r="L4" i="140"/>
  <c r="L5" i="116"/>
  <c r="W4" i="131"/>
  <c r="L4" i="128"/>
  <c r="M6" i="161"/>
  <c r="X4" i="128"/>
  <c r="X6" i="99"/>
  <c r="K6" i="162"/>
  <c r="R11" i="153"/>
  <c r="X4" i="144"/>
  <c r="I10" i="159"/>
  <c r="P11" i="155"/>
  <c r="D12" i="154"/>
  <c r="H4" i="100"/>
  <c r="V10" i="156"/>
  <c r="Q6" i="99"/>
  <c r="I10" i="156"/>
  <c r="H4" i="139"/>
  <c r="S6" i="160"/>
  <c r="V5" i="158"/>
  <c r="Q4" i="148"/>
  <c r="W4" i="139"/>
  <c r="AE4" i="131"/>
  <c r="X5" i="116"/>
  <c r="L6" i="161"/>
  <c r="R4" i="131"/>
  <c r="S16" i="127"/>
  <c r="R13" i="157"/>
  <c r="D6" i="99"/>
  <c r="J5" i="116"/>
  <c r="S5" i="51"/>
  <c r="H6" i="118"/>
  <c r="T6" i="161"/>
  <c r="N4" i="144"/>
  <c r="AE6" i="118"/>
  <c r="Z16" i="127"/>
  <c r="AF6" i="160"/>
  <c r="D5" i="51"/>
  <c r="H5" i="163"/>
  <c r="R6" i="118"/>
  <c r="D5" i="158"/>
  <c r="O6" i="161"/>
  <c r="K12" i="154"/>
  <c r="U4" i="126"/>
  <c r="M11" i="155"/>
  <c r="S10" i="159"/>
  <c r="T5" i="51"/>
  <c r="T10" i="159"/>
  <c r="O6" i="99"/>
  <c r="L16" i="127"/>
  <c r="H12" i="154"/>
  <c r="X4" i="139"/>
  <c r="J4" i="64"/>
  <c r="K13" i="157"/>
  <c r="I4" i="144"/>
  <c r="AF13" i="157"/>
  <c r="Y4" i="100"/>
  <c r="L4" i="139"/>
  <c r="D5" i="116"/>
  <c r="D4" i="122"/>
  <c r="H4" i="148"/>
  <c r="W5" i="51"/>
  <c r="V4" i="100"/>
  <c r="J11" i="155"/>
  <c r="R4" i="140"/>
  <c r="R10" i="156"/>
  <c r="M4" i="124"/>
  <c r="D4" i="149"/>
  <c r="Q5" i="116"/>
  <c r="K4" i="128"/>
  <c r="I5" i="116"/>
  <c r="S12" i="154"/>
  <c r="Y11" i="155"/>
  <c r="W4" i="122"/>
  <c r="Z5" i="158"/>
  <c r="T4" i="126"/>
  <c r="AF4" i="64"/>
  <c r="K4" i="131"/>
  <c r="U4" i="64"/>
  <c r="R4" i="139"/>
  <c r="Q12" i="154"/>
  <c r="N4" i="128"/>
  <c r="Z4" i="149"/>
  <c r="H6" i="99"/>
  <c r="H4" i="128"/>
  <c r="N4" i="122"/>
  <c r="Y4" i="139"/>
  <c r="Q10" i="156"/>
  <c r="V6" i="118"/>
  <c r="T16" i="127"/>
  <c r="V16" i="127"/>
  <c r="Z6" i="161"/>
  <c r="X16" i="127"/>
  <c r="M4" i="128"/>
  <c r="N12" i="154"/>
  <c r="L6" i="162"/>
  <c r="P13" i="157"/>
  <c r="R11" i="155"/>
  <c r="I5" i="158"/>
  <c r="X6" i="162"/>
  <c r="I13" i="157"/>
  <c r="W4" i="144"/>
  <c r="J4" i="126"/>
  <c r="J4" i="149"/>
  <c r="U16" i="127"/>
  <c r="L6" i="101"/>
  <c r="V4" i="64"/>
  <c r="D6" i="160"/>
  <c r="W4" i="128"/>
  <c r="L6" i="160"/>
  <c r="U13" i="157"/>
  <c r="P4" i="124"/>
  <c r="L6" i="118"/>
  <c r="AF5" i="51"/>
  <c r="X13" i="157"/>
  <c r="Y4" i="126"/>
  <c r="M4" i="64"/>
  <c r="T4" i="64"/>
  <c r="O4" i="126"/>
  <c r="D4" i="140"/>
  <c r="Q6" i="161"/>
  <c r="X10" i="159"/>
  <c r="Q6" i="101"/>
  <c r="T4" i="140"/>
  <c r="I11" i="153"/>
  <c r="V6" i="101"/>
  <c r="J4" i="144"/>
  <c r="Z4" i="124"/>
  <c r="V5" i="116"/>
  <c r="R4" i="124"/>
  <c r="AF10" i="156"/>
  <c r="D4" i="64"/>
  <c r="I4" i="128"/>
  <c r="Q10" i="159"/>
  <c r="X4" i="124"/>
  <c r="W6" i="162"/>
  <c r="AE16" i="127"/>
  <c r="T6" i="99"/>
  <c r="Q4" i="100"/>
  <c r="K5" i="163"/>
  <c r="Y16" i="127"/>
  <c r="L4" i="64"/>
  <c r="J4" i="124"/>
  <c r="H11" i="155"/>
  <c r="Y5" i="158"/>
  <c r="P5" i="163"/>
  <c r="O11" i="155"/>
  <c r="S4" i="128"/>
  <c r="J5" i="51"/>
  <c r="AE4" i="124"/>
  <c r="N4" i="140"/>
  <c r="L4" i="124"/>
  <c r="P4" i="100"/>
  <c r="Q5" i="158"/>
  <c r="I4" i="145"/>
  <c r="Q4" i="122"/>
  <c r="J4" i="122"/>
  <c r="W4" i="64"/>
  <c r="L4" i="131"/>
  <c r="U5" i="163"/>
  <c r="M4" i="140"/>
  <c r="H5" i="116"/>
  <c r="X10" i="156"/>
  <c r="H4" i="131"/>
  <c r="R6" i="160"/>
  <c r="L10" i="159"/>
  <c r="N4" i="64"/>
  <c r="AF6" i="161"/>
  <c r="Y5" i="51"/>
  <c r="Z4" i="100"/>
  <c r="R10" i="159"/>
  <c r="J6" i="161"/>
  <c r="K5" i="158"/>
  <c r="T4" i="144"/>
  <c r="M4" i="144"/>
  <c r="O4" i="64"/>
  <c r="T4" i="139"/>
  <c r="J6" i="118"/>
  <c r="S4" i="144"/>
  <c r="X4" i="148"/>
  <c r="I4" i="140"/>
  <c r="W12" i="154"/>
  <c r="P5" i="158"/>
  <c r="O4" i="140"/>
  <c r="W11" i="153"/>
  <c r="K6" i="99"/>
  <c r="K6" i="101"/>
  <c r="AF11" i="155"/>
  <c r="D10" i="159"/>
  <c r="P4" i="122"/>
  <c r="D11" i="153"/>
  <c r="I4" i="148"/>
  <c r="O4" i="148"/>
  <c r="H5" i="158"/>
  <c r="H10" i="159"/>
  <c r="M16" i="127"/>
  <c r="U11" i="155"/>
  <c r="W5" i="116"/>
  <c r="M5" i="163"/>
  <c r="V4" i="126"/>
  <c r="M4" i="148"/>
  <c r="Z5" i="116"/>
  <c r="S13" i="157"/>
  <c r="X11" i="155"/>
  <c r="V11" i="153"/>
  <c r="U4" i="100"/>
  <c r="Q6" i="160"/>
  <c r="J12" i="154"/>
  <c r="I4" i="64"/>
  <c r="Z6" i="99"/>
  <c r="J6" i="160"/>
  <c r="O5" i="116"/>
  <c r="J13" i="157"/>
  <c r="Z4" i="140"/>
  <c r="L5" i="163"/>
  <c r="Q4" i="124"/>
  <c r="X4" i="131"/>
  <c r="K10" i="159"/>
  <c r="P11" i="153"/>
  <c r="M6" i="99"/>
  <c r="O5" i="158"/>
  <c r="Q13" i="157"/>
  <c r="Y4" i="144"/>
  <c r="M12" i="154"/>
  <c r="K4" i="100"/>
  <c r="V4" i="139"/>
  <c r="I5" i="51"/>
  <c r="R5" i="116"/>
  <c r="N4" i="124"/>
  <c r="T12" i="154"/>
  <c r="O5" i="51"/>
  <c r="W6" i="101"/>
  <c r="Y6" i="160"/>
  <c r="AE5" i="116"/>
  <c r="S6" i="99"/>
  <c r="I6" i="162"/>
  <c r="D5" i="163"/>
  <c r="Q4" i="128"/>
  <c r="R4" i="149"/>
  <c r="T4" i="128"/>
  <c r="S4" i="140"/>
  <c r="T4" i="122"/>
  <c r="P4" i="140"/>
  <c r="Q5" i="51"/>
  <c r="O13" i="157"/>
  <c r="Q11" i="153"/>
  <c r="O16" i="127"/>
  <c r="Y4" i="140"/>
  <c r="V4" i="144"/>
  <c r="N6" i="160"/>
  <c r="X4" i="149"/>
  <c r="U11" i="153"/>
  <c r="P6" i="162"/>
  <c r="H4" i="140"/>
  <c r="I4" i="131"/>
  <c r="O4" i="149"/>
  <c r="Z5" i="51"/>
  <c r="J4" i="139"/>
  <c r="U6" i="162"/>
  <c r="X6" i="161"/>
  <c r="S4" i="139"/>
  <c r="K4" i="126"/>
  <c r="Z12" i="154"/>
  <c r="H4" i="64"/>
  <c r="X4" i="100"/>
  <c r="I4" i="124"/>
  <c r="Q4" i="140"/>
  <c r="W4" i="140"/>
  <c r="P4" i="139"/>
  <c r="AE4" i="128"/>
  <c r="Y5" i="116"/>
  <c r="X11" i="153"/>
  <c r="J6" i="162"/>
  <c r="U6" i="99"/>
  <c r="Y12" i="154"/>
  <c r="T13" i="157"/>
  <c r="T6" i="162"/>
  <c r="U6" i="160"/>
  <c r="P6" i="161"/>
  <c r="V4" i="122"/>
  <c r="R6" i="161"/>
  <c r="O6" i="118"/>
  <c r="W16" i="127"/>
  <c r="P6" i="160"/>
  <c r="K4" i="145"/>
  <c r="Y4" i="131"/>
  <c r="R6" i="101"/>
  <c r="U10" i="159"/>
  <c r="L5" i="51"/>
  <c r="Q11" i="155"/>
  <c r="T4" i="100"/>
  <c r="P10" i="156"/>
  <c r="N10" i="156"/>
  <c r="P16" i="127"/>
  <c r="T5" i="163"/>
  <c r="D16" i="127"/>
  <c r="S10" i="156"/>
  <c r="H11" i="153"/>
  <c r="J4" i="100"/>
  <c r="H4" i="126"/>
  <c r="O6" i="101"/>
  <c r="Y4" i="148"/>
  <c r="S5" i="158"/>
  <c r="AE4" i="144"/>
  <c r="O4" i="144"/>
  <c r="AE4" i="148"/>
  <c r="J5" i="158"/>
  <c r="I6" i="161"/>
  <c r="U4" i="140"/>
  <c r="I6" i="101"/>
  <c r="L6" i="99"/>
  <c r="P10" i="159"/>
  <c r="N16" i="127"/>
  <c r="Q4" i="131"/>
  <c r="P12" i="154"/>
  <c r="D10" i="156"/>
  <c r="D4" i="126"/>
  <c r="Y10" i="159"/>
  <c r="R4" i="64"/>
  <c r="Y6" i="118"/>
  <c r="I6" i="118"/>
  <c r="U5" i="158"/>
  <c r="D4" i="128"/>
  <c r="I16" i="127"/>
  <c r="T6" i="160"/>
  <c r="N6" i="99"/>
  <c r="R5" i="163"/>
  <c r="J4" i="148"/>
  <c r="Y13" i="157"/>
  <c r="K4" i="149"/>
  <c r="M5" i="158"/>
  <c r="N13" i="157"/>
  <c r="K11" i="155"/>
  <c r="S6" i="161"/>
  <c r="O4" i="139"/>
  <c r="D4" i="100"/>
  <c r="N5" i="158"/>
  <c r="I6" i="160"/>
  <c r="U4" i="139"/>
  <c r="D4" i="131"/>
  <c r="K6" i="161"/>
  <c r="X4" i="126"/>
  <c r="R12" i="154"/>
  <c r="J6" i="99"/>
  <c r="H4" i="144"/>
  <c r="H4" i="122"/>
  <c r="X5" i="51"/>
  <c r="Z6" i="160"/>
  <c r="S4" i="124"/>
  <c r="Q4" i="126"/>
  <c r="Z5" i="163"/>
  <c r="L4" i="122"/>
  <c r="U12" i="154"/>
  <c r="R4" i="148"/>
  <c r="U10" i="156"/>
  <c r="D13" i="157"/>
  <c r="K16" i="127"/>
  <c r="T5" i="158"/>
  <c r="J10" i="159"/>
  <c r="R4" i="122"/>
  <c r="H6" i="160"/>
  <c r="H6" i="101"/>
  <c r="I11" i="155"/>
  <c r="D6" i="161"/>
  <c r="O12" i="154"/>
  <c r="H5" i="51"/>
  <c r="J5" i="163"/>
  <c r="Z13" i="157"/>
  <c r="N4" i="126"/>
  <c r="Q16" i="127"/>
  <c r="R6" i="162"/>
  <c r="H16" i="127"/>
  <c r="W5" i="158"/>
  <c r="AF11" i="153"/>
  <c r="O6" i="162"/>
  <c r="H13" i="157"/>
  <c r="Z6" i="118"/>
  <c r="O6" i="160"/>
  <c r="X4" i="64"/>
  <c r="S4" i="64"/>
  <c r="U4" i="144"/>
  <c r="L5" i="158"/>
  <c r="R4" i="126"/>
  <c r="I6" i="99"/>
  <c r="H4" i="145"/>
  <c r="M4" i="149"/>
  <c r="Z11" i="155"/>
  <c r="I4" i="149"/>
  <c r="Y6" i="99"/>
  <c r="Q6" i="162"/>
  <c r="V4" i="128"/>
  <c r="Q6" i="118"/>
  <c r="T11" i="155"/>
  <c r="K4" i="124"/>
  <c r="N4" i="131"/>
  <c r="I4" i="126"/>
  <c r="R16" i="127"/>
  <c r="U4" i="124"/>
  <c r="O4" i="100"/>
  <c r="I5" i="163"/>
  <c r="Z6" i="101"/>
  <c r="K6" i="160"/>
  <c r="P5" i="51"/>
  <c r="AE6" i="99"/>
  <c r="W6" i="161"/>
  <c r="M4" i="139"/>
  <c r="D6" i="118"/>
  <c r="N6" i="161"/>
  <c r="J16" i="127"/>
  <c r="Y6" i="161"/>
  <c r="D6" i="101"/>
  <c r="L4" i="126"/>
  <c r="R6" i="99"/>
  <c r="O4" i="128"/>
  <c r="M6" i="162"/>
  <c r="X12" i="154"/>
  <c r="J4" i="140"/>
  <c r="I12" i="154"/>
  <c r="S4" i="100"/>
  <c r="Z4" i="139"/>
  <c r="K4" i="148"/>
  <c r="S11" i="153"/>
  <c r="H10" i="156"/>
  <c r="Z4" i="148"/>
  <c r="Q4" i="139"/>
  <c r="L4" i="149"/>
  <c r="N5" i="51"/>
  <c r="Z4" i="131"/>
  <c r="AF6" i="162"/>
  <c r="L4" i="148"/>
  <c r="AE4" i="149"/>
  <c r="D11" i="155"/>
  <c r="W6" i="99"/>
  <c r="T4" i="124"/>
  <c r="Y4" i="124"/>
  <c r="W4" i="149"/>
  <c r="M13" i="157"/>
  <c r="D4" i="124"/>
  <c r="W10" i="156"/>
  <c r="M5" i="116"/>
  <c r="M11" i="153"/>
  <c r="M4" i="131"/>
  <c r="V4" i="131"/>
  <c r="AE4" i="122"/>
  <c r="Z10" i="159"/>
  <c r="T11" i="153"/>
  <c r="J4" i="145"/>
  <c r="X6" i="118"/>
  <c r="W6" i="118"/>
  <c r="J6" i="101"/>
  <c r="M6" i="101"/>
  <c r="R4" i="128"/>
  <c r="W10" i="159"/>
  <c r="AE4" i="126"/>
  <c r="X5" i="163"/>
  <c r="P6" i="101"/>
  <c r="V6" i="160"/>
  <c r="W4" i="124"/>
  <c r="P4" i="126"/>
  <c r="X4" i="140"/>
  <c r="AF10" i="159"/>
  <c r="U4" i="122"/>
  <c r="O4" i="131"/>
  <c r="V4" i="140"/>
  <c r="R4" i="100"/>
  <c r="M4" i="126"/>
  <c r="P18" i="19" l="1"/>
  <c r="L3" i="19"/>
  <c r="E12" i="19"/>
  <c r="AE10" i="159"/>
  <c r="AB30" i="19" s="1"/>
  <c r="V30" i="19"/>
  <c r="O5" i="19"/>
  <c r="I26" i="19"/>
  <c r="F22" i="19"/>
  <c r="I7" i="19"/>
  <c r="M26" i="19"/>
  <c r="E10" i="19"/>
  <c r="AA4" i="144"/>
  <c r="AB4" i="144"/>
  <c r="G30" i="19"/>
  <c r="J9" i="19"/>
  <c r="F14" i="19"/>
  <c r="S4" i="19"/>
  <c r="O29" i="19"/>
  <c r="AC4" i="19"/>
  <c r="T3" i="19"/>
  <c r="S5" i="19"/>
  <c r="T5" i="19"/>
  <c r="T25" i="19"/>
  <c r="T28" i="19"/>
  <c r="AC10" i="19"/>
  <c r="K12" i="19"/>
  <c r="S14" i="19"/>
  <c r="T21" i="19"/>
  <c r="L10" i="19"/>
  <c r="Q12" i="19"/>
  <c r="T10" i="19"/>
  <c r="S9" i="19"/>
  <c r="F13" i="19"/>
  <c r="W12" i="19"/>
  <c r="J10" i="19"/>
  <c r="F4" i="19"/>
  <c r="D19" i="19"/>
  <c r="F19" i="19"/>
  <c r="AC6" i="160"/>
  <c r="Z26" i="19" s="1"/>
  <c r="H26" i="19"/>
  <c r="AB6" i="160"/>
  <c r="Y26" i="19" s="1"/>
  <c r="L19" i="19"/>
  <c r="M15" i="19"/>
  <c r="H30" i="19"/>
  <c r="AC10" i="159"/>
  <c r="Z30" i="19" s="1"/>
  <c r="AB10" i="159"/>
  <c r="Y30" i="19" s="1"/>
  <c r="D10" i="19"/>
  <c r="M14" i="19"/>
  <c r="K19" i="19"/>
  <c r="R12" i="19"/>
  <c r="AA4" i="149"/>
  <c r="Y5" i="19" s="1"/>
  <c r="AB4" i="149"/>
  <c r="Z5" i="19" s="1"/>
  <c r="H5" i="19"/>
  <c r="AD13" i="157"/>
  <c r="AA25" i="19" s="1"/>
  <c r="N25" i="19"/>
  <c r="G27" i="19"/>
  <c r="U23" i="19"/>
  <c r="T20" i="19"/>
  <c r="J14" i="19"/>
  <c r="O10" i="19"/>
  <c r="N12" i="19"/>
  <c r="AC4" i="124"/>
  <c r="AA12" i="19" s="1"/>
  <c r="D26" i="19"/>
  <c r="E14" i="19"/>
  <c r="D8" i="19"/>
  <c r="L21" i="19"/>
  <c r="AC4" i="144"/>
  <c r="I18" i="19"/>
  <c r="AC29" i="19"/>
  <c r="E6" i="19"/>
  <c r="W6" i="19"/>
  <c r="P25" i="19"/>
  <c r="F9" i="19"/>
  <c r="M25" i="19"/>
  <c r="AA16" i="127"/>
  <c r="Y15" i="19" s="1"/>
  <c r="H15" i="19"/>
  <c r="AB16" i="127"/>
  <c r="Z15" i="19" s="1"/>
  <c r="Q25" i="19"/>
  <c r="E22" i="19"/>
  <c r="K18" i="19"/>
  <c r="N18" i="19"/>
  <c r="AC4" i="128"/>
  <c r="AA18" i="19" s="1"/>
  <c r="N21" i="19"/>
  <c r="AD11" i="153"/>
  <c r="AA21" i="19" s="1"/>
  <c r="L12" i="19"/>
  <c r="AC5" i="19"/>
  <c r="I3" i="19"/>
  <c r="AC9" i="19"/>
  <c r="U20" i="19"/>
  <c r="T9" i="19"/>
  <c r="R10" i="19"/>
  <c r="J6" i="19"/>
  <c r="G6" i="19"/>
  <c r="G9" i="19"/>
  <c r="L23" i="19"/>
  <c r="M19" i="19"/>
  <c r="T14" i="19"/>
  <c r="V12" i="19"/>
  <c r="AD4" i="124"/>
  <c r="AB12" i="19" s="1"/>
  <c r="W8" i="19"/>
  <c r="J26" i="19"/>
  <c r="AB5" i="116"/>
  <c r="Z8" i="19" s="1"/>
  <c r="H8" i="19"/>
  <c r="AA5" i="116"/>
  <c r="Y8" i="19" s="1"/>
  <c r="R30" i="19"/>
  <c r="Q18" i="19"/>
  <c r="K21" i="19"/>
  <c r="G14" i="19"/>
  <c r="M5" i="19"/>
  <c r="AC4" i="149"/>
  <c r="AA5" i="19" s="1"/>
  <c r="U28" i="19"/>
  <c r="K24" i="19"/>
  <c r="AC13" i="19"/>
  <c r="Y7" i="19"/>
  <c r="H7" i="19"/>
  <c r="Z7" i="19"/>
  <c r="I8" i="19"/>
  <c r="G17" i="19"/>
  <c r="AA7" i="19"/>
  <c r="M7" i="19"/>
  <c r="F21" i="19"/>
  <c r="M23" i="19"/>
  <c r="Q13" i="19"/>
  <c r="U27" i="19"/>
  <c r="O22" i="19"/>
  <c r="J23" i="19"/>
  <c r="W19" i="19"/>
  <c r="AD4" i="148"/>
  <c r="AB4" i="19" s="1"/>
  <c r="V4" i="19"/>
  <c r="S3" i="19"/>
  <c r="P21" i="19"/>
  <c r="F25" i="19"/>
  <c r="V23" i="19"/>
  <c r="AE11" i="155"/>
  <c r="AB23" i="19" s="1"/>
  <c r="N27" i="19"/>
  <c r="AD5" i="158"/>
  <c r="AA27" i="19" s="1"/>
  <c r="U8" i="19"/>
  <c r="W15" i="19"/>
  <c r="W26" i="19"/>
  <c r="Q21" i="19"/>
  <c r="K26" i="19"/>
  <c r="U9" i="19"/>
  <c r="Q27" i="19"/>
  <c r="P14" i="19"/>
  <c r="N3" i="19"/>
  <c r="AC4" i="100"/>
  <c r="AA3" i="19" s="1"/>
  <c r="V18" i="19"/>
  <c r="AD4" i="128"/>
  <c r="AB18" i="19" s="1"/>
  <c r="M20" i="19"/>
  <c r="E3" i="19"/>
  <c r="S18" i="19"/>
  <c r="U21" i="19"/>
  <c r="G15" i="19"/>
  <c r="W20" i="19"/>
  <c r="D17" i="19"/>
  <c r="AC3" i="19"/>
  <c r="AB11" i="153"/>
  <c r="Y21" i="19" s="1"/>
  <c r="H21" i="19"/>
  <c r="AC11" i="153"/>
  <c r="Z21" i="19" s="1"/>
  <c r="N14" i="19"/>
  <c r="AC4" i="139"/>
  <c r="AA14" i="19" s="1"/>
  <c r="L30" i="19"/>
  <c r="W10" i="19"/>
  <c r="E4" i="19"/>
  <c r="K5" i="19"/>
  <c r="AA4" i="128"/>
  <c r="Y18" i="19" s="1"/>
  <c r="H18" i="19"/>
  <c r="AB4" i="128"/>
  <c r="Z18" i="19" s="1"/>
  <c r="R25" i="19"/>
  <c r="G8" i="19"/>
  <c r="AB4" i="126"/>
  <c r="Z17" i="19" s="1"/>
  <c r="AA4" i="126"/>
  <c r="Y17" i="19" s="1"/>
  <c r="H17" i="19"/>
  <c r="P24" i="19"/>
  <c r="R21" i="19"/>
  <c r="D21" i="19"/>
  <c r="AD6" i="99"/>
  <c r="AB10" i="19" s="1"/>
  <c r="V10" i="19"/>
  <c r="I19" i="19"/>
  <c r="G3" i="19"/>
  <c r="I16" i="19"/>
  <c r="T22" i="19"/>
  <c r="E28" i="19"/>
  <c r="N26" i="19"/>
  <c r="AD6" i="160"/>
  <c r="AA26" i="19" s="1"/>
  <c r="I10" i="19"/>
  <c r="U4" i="19"/>
  <c r="AB5" i="51"/>
  <c r="AC5" i="51"/>
  <c r="I11" i="19"/>
  <c r="E29" i="19"/>
  <c r="F26" i="19"/>
  <c r="I28" i="19"/>
  <c r="AC28" i="19"/>
  <c r="R22" i="19"/>
  <c r="AC4" i="64"/>
  <c r="AB4" i="64"/>
  <c r="W28" i="19"/>
  <c r="I23" i="19"/>
  <c r="K13" i="19"/>
  <c r="L27" i="19"/>
  <c r="P20" i="19"/>
  <c r="T13" i="19"/>
  <c r="J15" i="19"/>
  <c r="Q22" i="19"/>
  <c r="J18" i="19"/>
  <c r="H6" i="19"/>
  <c r="AA6" i="101"/>
  <c r="Y6" i="19" s="1"/>
  <c r="AB6" i="101"/>
  <c r="Z6" i="19" s="1"/>
  <c r="E8" i="19"/>
  <c r="S30" i="19"/>
  <c r="H12" i="19"/>
  <c r="AB4" i="124"/>
  <c r="Z12" i="19" s="1"/>
  <c r="AA4" i="124"/>
  <c r="Y12" i="19" s="1"/>
  <c r="D27" i="19"/>
  <c r="M9" i="19"/>
  <c r="AC6" i="118"/>
  <c r="AA9" i="19" s="1"/>
  <c r="R28" i="19"/>
  <c r="G24" i="19"/>
  <c r="T18" i="19"/>
  <c r="O30" i="19"/>
  <c r="AB4" i="145"/>
  <c r="Z11" i="19" s="1"/>
  <c r="H11" i="19"/>
  <c r="AA4" i="145"/>
  <c r="Y11" i="19" s="1"/>
  <c r="W3" i="19"/>
  <c r="M12" i="19"/>
  <c r="Q14" i="19"/>
  <c r="S20" i="19"/>
  <c r="F6" i="19"/>
  <c r="AC4" i="122"/>
  <c r="I15" i="19"/>
  <c r="D4" i="19"/>
  <c r="S15" i="19"/>
  <c r="L20" i="19"/>
  <c r="K27" i="19"/>
  <c r="M13" i="19"/>
  <c r="S26" i="19"/>
  <c r="AC14" i="19"/>
  <c r="AC15" i="19"/>
  <c r="N30" i="19"/>
  <c r="O9" i="19"/>
  <c r="G23" i="19"/>
  <c r="E19" i="19"/>
  <c r="T23" i="19"/>
  <c r="F8" i="19"/>
  <c r="J22" i="19"/>
  <c r="K10" i="19"/>
  <c r="J5" i="19"/>
  <c r="L15" i="19"/>
  <c r="AA4" i="148"/>
  <c r="Y4" i="19" s="1"/>
  <c r="H4" i="19"/>
  <c r="AB4" i="148"/>
  <c r="Z4" i="19" s="1"/>
  <c r="H10" i="19"/>
  <c r="AA6" i="99"/>
  <c r="Y10" i="19" s="1"/>
  <c r="AB6" i="99"/>
  <c r="Z10" i="19" s="1"/>
  <c r="E17" i="19"/>
  <c r="S25" i="19"/>
  <c r="G19" i="19"/>
  <c r="AC30" i="19"/>
  <c r="K6" i="19"/>
  <c r="J25" i="19"/>
  <c r="T24" i="19"/>
  <c r="L17" i="19"/>
  <c r="AC18" i="19"/>
  <c r="D12" i="19"/>
  <c r="AC13" i="157"/>
  <c r="Z25" i="19" s="1"/>
  <c r="AB13" i="157"/>
  <c r="Y25" i="19" s="1"/>
  <c r="H25" i="19"/>
  <c r="T27" i="19"/>
  <c r="Q10" i="19"/>
  <c r="D15" i="19"/>
  <c r="E15" i="19"/>
  <c r="F30" i="19"/>
  <c r="AC6" i="162"/>
  <c r="Z29" i="19" s="1"/>
  <c r="H29" i="19"/>
  <c r="AB6" i="162"/>
  <c r="Y29" i="19" s="1"/>
  <c r="P30" i="19"/>
  <c r="E7" i="19"/>
  <c r="AD11" i="155"/>
  <c r="AA23" i="19" s="1"/>
  <c r="N23" i="19"/>
  <c r="F15" i="19"/>
  <c r="I12" i="19"/>
  <c r="AC4" i="145"/>
  <c r="AA11" i="19" s="1"/>
  <c r="M11" i="19"/>
  <c r="V3" i="19"/>
  <c r="AD4" i="100"/>
  <c r="AB3" i="19" s="1"/>
  <c r="D6" i="19"/>
  <c r="F3" i="19"/>
  <c r="R26" i="19"/>
  <c r="P22" i="19"/>
  <c r="D5" i="19"/>
  <c r="U17" i="19"/>
  <c r="D30" i="19"/>
  <c r="I9" i="19"/>
  <c r="G28" i="19"/>
  <c r="R17" i="19"/>
  <c r="AC12" i="19"/>
  <c r="AE5" i="158"/>
  <c r="AB27" i="19" s="1"/>
  <c r="V27" i="19"/>
  <c r="J17" i="19"/>
  <c r="H13" i="19"/>
  <c r="AB4" i="140"/>
  <c r="Z13" i="19" s="1"/>
  <c r="AA4" i="140"/>
  <c r="Y13" i="19" s="1"/>
  <c r="R15" i="19"/>
  <c r="AE11" i="153"/>
  <c r="AB21" i="19" s="1"/>
  <c r="V21" i="19"/>
  <c r="T29" i="19"/>
  <c r="P28" i="19"/>
  <c r="K22" i="19"/>
  <c r="AE6" i="162"/>
  <c r="AB29" i="19" s="1"/>
  <c r="V29" i="19"/>
  <c r="M29" i="19"/>
  <c r="D18" i="19"/>
  <c r="W5" i="19"/>
  <c r="W22" i="19"/>
  <c r="W14" i="19"/>
  <c r="I13" i="19"/>
  <c r="O25" i="19"/>
  <c r="L24" i="19"/>
  <c r="O3" i="19"/>
  <c r="M28" i="19"/>
  <c r="Q15" i="19"/>
  <c r="F29" i="19"/>
  <c r="AE5" i="51"/>
  <c r="O8" i="19"/>
  <c r="G4" i="19"/>
  <c r="D29" i="19"/>
  <c r="T30" i="19"/>
  <c r="AC8" i="19"/>
  <c r="P12" i="19"/>
  <c r="T19" i="19"/>
  <c r="AC26" i="19"/>
  <c r="O23" i="19"/>
  <c r="R18" i="19"/>
  <c r="W23" i="19"/>
  <c r="Q29" i="19"/>
  <c r="F10" i="19"/>
  <c r="T6" i="19"/>
  <c r="K23" i="19"/>
  <c r="M27" i="19"/>
  <c r="N8" i="19"/>
  <c r="AC5" i="116"/>
  <c r="AA8" i="19" s="1"/>
  <c r="AC6" i="161"/>
  <c r="Z28" i="19" s="1"/>
  <c r="AB6" i="161"/>
  <c r="Y28" i="19" s="1"/>
  <c r="H28" i="19"/>
  <c r="I14" i="19"/>
  <c r="AC4" i="131"/>
  <c r="AA19" i="19" s="1"/>
  <c r="N19" i="19"/>
  <c r="V19" i="19"/>
  <c r="AD4" i="131"/>
  <c r="AB19" i="19" s="1"/>
  <c r="W13" i="19"/>
  <c r="G26" i="19"/>
  <c r="AB12" i="154"/>
  <c r="Y22" i="19" s="1"/>
  <c r="AC12" i="154"/>
  <c r="Z22" i="19" s="1"/>
  <c r="H22" i="19"/>
  <c r="AD5" i="116"/>
  <c r="AB8" i="19" s="1"/>
  <c r="V8" i="19"/>
  <c r="Q26" i="19"/>
  <c r="W27" i="19"/>
  <c r="P17" i="19"/>
  <c r="L28" i="19"/>
  <c r="AD5" i="163"/>
  <c r="AB20" i="19" s="1"/>
  <c r="V20" i="19"/>
  <c r="O15" i="19"/>
  <c r="S8" i="19"/>
  <c r="Q20" i="19"/>
  <c r="M22" i="19"/>
  <c r="L25" i="19"/>
  <c r="F23" i="19"/>
  <c r="S22" i="19"/>
  <c r="V7" i="19"/>
  <c r="AB7" i="19"/>
  <c r="V26" i="19"/>
  <c r="AE6" i="160"/>
  <c r="AB26" i="19" s="1"/>
  <c r="AC11" i="155"/>
  <c r="Z23" i="19" s="1"/>
  <c r="H23" i="19"/>
  <c r="AB11" i="155"/>
  <c r="Y23" i="19" s="1"/>
  <c r="K30" i="19"/>
  <c r="P3" i="19"/>
  <c r="W18" i="19"/>
  <c r="AC24" i="19"/>
  <c r="K14" i="19"/>
  <c r="I27" i="19"/>
  <c r="V24" i="19"/>
  <c r="AE10" i="156"/>
  <c r="AB24" i="19" s="1"/>
  <c r="G18" i="19"/>
  <c r="AC17" i="19"/>
  <c r="U5" i="19"/>
  <c r="O20" i="19"/>
  <c r="N15" i="19"/>
  <c r="AC16" i="127"/>
  <c r="AA15" i="19" s="1"/>
  <c r="P23" i="19"/>
  <c r="AC20" i="19"/>
  <c r="J4" i="19"/>
  <c r="J28" i="19"/>
  <c r="E26" i="19"/>
  <c r="K15" i="19"/>
  <c r="M3" i="19"/>
  <c r="L18" i="19"/>
  <c r="Q28" i="19"/>
  <c r="D28" i="19"/>
  <c r="W30" i="19"/>
  <c r="S13" i="19"/>
  <c r="V13" i="19"/>
  <c r="AD4" i="140"/>
  <c r="AB13" i="19" s="1"/>
  <c r="R23" i="19"/>
  <c r="O18" i="19"/>
  <c r="L8" i="19"/>
  <c r="AD4" i="126"/>
  <c r="AB17" i="19" s="1"/>
  <c r="V17" i="19"/>
  <c r="F12" i="19"/>
  <c r="L22" i="19"/>
  <c r="F7" i="19"/>
  <c r="AB5" i="158"/>
  <c r="Y27" i="19" s="1"/>
  <c r="H27" i="19"/>
  <c r="AC5" i="158"/>
  <c r="Z27" i="19" s="1"/>
  <c r="M24" i="19"/>
  <c r="J16" i="19"/>
  <c r="N6" i="19"/>
  <c r="AC6" i="101"/>
  <c r="AA6" i="19" s="1"/>
  <c r="K29" i="19"/>
  <c r="S19" i="19"/>
  <c r="AC10" i="156"/>
  <c r="Z24" i="19" s="1"/>
  <c r="AB10" i="156"/>
  <c r="Y24" i="19" s="1"/>
  <c r="H24" i="19"/>
  <c r="AC27" i="19"/>
  <c r="R29" i="19"/>
  <c r="U18" i="19"/>
  <c r="AD6" i="118"/>
  <c r="AB9" i="19" s="1"/>
  <c r="V9" i="19"/>
  <c r="J19" i="19"/>
  <c r="K8" i="19"/>
  <c r="U19" i="19"/>
  <c r="D20" i="19"/>
  <c r="T8" i="19"/>
  <c r="F18" i="19"/>
  <c r="D23" i="19"/>
  <c r="F24" i="19"/>
  <c r="P15" i="19"/>
  <c r="U12" i="19"/>
  <c r="M4" i="19"/>
  <c r="AC4" i="148"/>
  <c r="AA4" i="19" s="1"/>
  <c r="U24" i="19"/>
  <c r="AA4" i="100"/>
  <c r="Y3" i="19" s="1"/>
  <c r="H3" i="19"/>
  <c r="AB4" i="100"/>
  <c r="Z3" i="19" s="1"/>
  <c r="E24" i="19"/>
  <c r="Q23" i="19"/>
  <c r="V25" i="19"/>
  <c r="AE13" i="157"/>
  <c r="AB25" i="19" s="1"/>
  <c r="U3" i="19"/>
  <c r="AD4" i="122"/>
  <c r="J13" i="19"/>
  <c r="D13" i="19"/>
  <c r="O14" i="19"/>
  <c r="G5" i="19"/>
  <c r="U22" i="19"/>
  <c r="J24" i="19"/>
  <c r="O24" i="19"/>
  <c r="O4" i="19"/>
  <c r="R14" i="19"/>
  <c r="R24" i="19"/>
  <c r="G12" i="19"/>
  <c r="I20" i="19"/>
  <c r="W24" i="19"/>
  <c r="V22" i="19"/>
  <c r="AE12" i="154"/>
  <c r="AB22" i="19" s="1"/>
  <c r="AA4" i="122"/>
  <c r="AB4" i="122"/>
  <c r="K25" i="19"/>
  <c r="S17" i="19"/>
  <c r="I30" i="19"/>
  <c r="W25" i="19"/>
  <c r="AC16" i="19"/>
  <c r="Y16" i="19"/>
  <c r="Z16" i="19"/>
  <c r="H16" i="19"/>
  <c r="U30" i="19"/>
  <c r="I24" i="19"/>
  <c r="O26" i="19"/>
  <c r="Q17" i="19"/>
  <c r="E9" i="19"/>
  <c r="D25" i="19"/>
  <c r="S12" i="19"/>
  <c r="AD4" i="144"/>
  <c r="J12" i="19"/>
  <c r="S10" i="19"/>
  <c r="L29" i="19"/>
  <c r="T17" i="19"/>
  <c r="G13" i="19"/>
  <c r="AC5" i="163"/>
  <c r="AA20" i="19" s="1"/>
  <c r="N20" i="19"/>
  <c r="AE4" i="64"/>
  <c r="P26" i="19"/>
  <c r="V28" i="19"/>
  <c r="AE6" i="161"/>
  <c r="AB28" i="19" s="1"/>
  <c r="AD5" i="51"/>
  <c r="AA6" i="118"/>
  <c r="Y9" i="19" s="1"/>
  <c r="AB6" i="118"/>
  <c r="Z9" i="19" s="1"/>
  <c r="H9" i="19"/>
  <c r="O13" i="19"/>
  <c r="T26" i="19"/>
  <c r="S27" i="19"/>
  <c r="S24" i="19"/>
  <c r="F27" i="19"/>
  <c r="P10" i="19"/>
  <c r="D9" i="19"/>
  <c r="E23" i="19"/>
  <c r="K20" i="19"/>
  <c r="S21" i="19"/>
  <c r="M18" i="19"/>
  <c r="E21" i="19"/>
  <c r="M10" i="19"/>
  <c r="N29" i="19"/>
  <c r="AD6" i="162"/>
  <c r="AA29" i="19" s="1"/>
  <c r="K9" i="19"/>
  <c r="Q24" i="19"/>
  <c r="K28" i="19"/>
  <c r="U10" i="19"/>
  <c r="E18" i="19"/>
  <c r="O12" i="19"/>
  <c r="S29" i="19"/>
  <c r="E13" i="19"/>
  <c r="O19" i="19"/>
  <c r="P27" i="19"/>
  <c r="J20" i="19"/>
  <c r="J8" i="19"/>
  <c r="AC23" i="19"/>
  <c r="D3" i="19"/>
  <c r="W29" i="19"/>
  <c r="S28" i="19"/>
  <c r="F28" i="19"/>
  <c r="L13" i="19"/>
  <c r="F16" i="19"/>
  <c r="T4" i="19"/>
  <c r="L14" i="19"/>
  <c r="W4" i="19"/>
  <c r="O28" i="19"/>
  <c r="AC21" i="19"/>
  <c r="Q30" i="19"/>
  <c r="AB5" i="163"/>
  <c r="Z20" i="19" s="1"/>
  <c r="H20" i="19"/>
  <c r="AA5" i="163"/>
  <c r="Y20" i="19" s="1"/>
  <c r="U25" i="19"/>
  <c r="J29" i="19"/>
  <c r="E27" i="19"/>
  <c r="Q3" i="19"/>
  <c r="I29" i="19"/>
  <c r="T12" i="19"/>
  <c r="AC25" i="19"/>
  <c r="AA4" i="139"/>
  <c r="Y14" i="19" s="1"/>
  <c r="H14" i="19"/>
  <c r="AB4" i="139"/>
  <c r="Z14" i="19" s="1"/>
  <c r="N22" i="19"/>
  <c r="AD12" i="154"/>
  <c r="AA22" i="19" s="1"/>
  <c r="G29" i="19"/>
  <c r="G22" i="19"/>
  <c r="T15" i="19"/>
  <c r="P29" i="19"/>
  <c r="I4" i="19"/>
  <c r="J27" i="19"/>
  <c r="AD16" i="127"/>
  <c r="AB15" i="19" s="1"/>
  <c r="V15" i="19"/>
  <c r="AC6" i="99"/>
  <c r="AA10" i="19" s="1"/>
  <c r="N10" i="19"/>
  <c r="V5" i="19"/>
  <c r="AD4" i="149"/>
  <c r="AB5" i="19" s="1"/>
  <c r="O6" i="19"/>
  <c r="AD6" i="101"/>
  <c r="AB6" i="19" s="1"/>
  <c r="AC22" i="19"/>
  <c r="O27" i="19"/>
  <c r="M6" i="19"/>
  <c r="N13" i="19"/>
  <c r="AC4" i="140"/>
  <c r="AA13" i="19" s="1"/>
  <c r="AA16" i="19"/>
  <c r="M16" i="19"/>
  <c r="F5" i="19"/>
  <c r="AC4" i="126"/>
  <c r="AA17" i="19" s="1"/>
  <c r="N17" i="19"/>
  <c r="G21" i="19"/>
  <c r="AD6" i="161"/>
  <c r="AA28" i="19" s="1"/>
  <c r="N28" i="19"/>
  <c r="D24" i="19"/>
  <c r="I17" i="19"/>
  <c r="E11" i="19"/>
  <c r="P13" i="19"/>
  <c r="G25" i="19"/>
  <c r="G10" i="19"/>
  <c r="U26" i="19"/>
  <c r="AD10" i="156"/>
  <c r="AA24" i="19" s="1"/>
  <c r="N24" i="19"/>
  <c r="U15" i="19"/>
  <c r="AC19" i="19"/>
  <c r="S6" i="19"/>
  <c r="D22" i="19"/>
  <c r="S23" i="19"/>
  <c r="E16" i="19"/>
  <c r="W21" i="19"/>
  <c r="O21" i="19"/>
  <c r="U29" i="19"/>
  <c r="I5" i="19"/>
  <c r="U14" i="19"/>
  <c r="E25" i="19"/>
  <c r="AD4" i="139"/>
  <c r="AB14" i="19" s="1"/>
  <c r="V14" i="19"/>
  <c r="M8" i="19"/>
  <c r="E20" i="19"/>
  <c r="M17" i="19"/>
  <c r="E30" i="19"/>
  <c r="O10" i="159"/>
  <c r="M30" i="19" s="1"/>
  <c r="M21" i="19"/>
  <c r="R3" i="19"/>
  <c r="F20" i="19"/>
  <c r="I25" i="19"/>
  <c r="K4" i="19"/>
  <c r="AA4" i="131"/>
  <c r="Y19" i="19" s="1"/>
  <c r="AB4" i="131"/>
  <c r="Z19" i="19" s="1"/>
  <c r="H19" i="19"/>
  <c r="K17" i="19"/>
  <c r="J30" i="19"/>
  <c r="W17" i="19"/>
  <c r="R20" i="19"/>
  <c r="AB16" i="19"/>
  <c r="F17" i="19"/>
  <c r="O17" i="19"/>
  <c r="I22" i="19"/>
  <c r="R27" i="19"/>
  <c r="F11" i="19"/>
  <c r="I6" i="19"/>
  <c r="R13" i="19"/>
  <c r="W9" i="19"/>
  <c r="E5" i="19"/>
  <c r="AD10" i="159" l="1"/>
  <c r="AA30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1" authorId="0" shapeId="0" xr:uid="{00000000-0006-0000-0300-000001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data has to be updated Manually with Test Cases Executed*No of Cycles</t>
        </r>
      </text>
    </comment>
    <comment ref="R1" authorId="0" shapeId="0" xr:uid="{00000000-0006-0000-0300-000002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Formula Updated</t>
        </r>
      </text>
    </comment>
    <comment ref="AG1" authorId="0" shapeId="0" xr:uid="{00000000-0006-0000-0300-000003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would be hidden</t>
        </r>
      </text>
    </comment>
    <comment ref="S2" authorId="0" shapeId="0" xr:uid="{00000000-0006-0000-0300-000004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T2" authorId="0" shapeId="0" xr:uid="{00000000-0006-0000-0300-000005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U2" authorId="0" shapeId="0" xr:uid="{00000000-0006-0000-0300-000006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to enhance scripts due to app change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1" authorId="0" shapeId="0" xr:uid="{01FCBCB6-4F23-469C-8E5A-FF2FA83BA084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data has to be updated Manually with Test Cases Executed*No of Cycles</t>
        </r>
      </text>
    </comment>
    <comment ref="R1" authorId="0" shapeId="0" xr:uid="{96F2F6DC-7E44-447C-A1CC-193D2A10F915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Formula Updated</t>
        </r>
      </text>
    </comment>
    <comment ref="AG1" authorId="0" shapeId="0" xr:uid="{0CFE41D3-808D-4BC1-A43F-86BE1536EE49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would be hidden</t>
        </r>
      </text>
    </comment>
    <comment ref="S2" authorId="0" shapeId="0" xr:uid="{08E0897C-2091-4B27-B4D0-3AAE5594B213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Effort = Effort for Each Cycle * Total Cycle</t>
        </r>
      </text>
    </comment>
    <comment ref="T2" authorId="0" shapeId="0" xr:uid="{69043E8F-7731-409B-B2DF-5ED2CBB1365B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U2" authorId="0" shapeId="0" xr:uid="{5EE8BDFB-95A2-45BC-9C19-D1DA9D1B1347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Effort to enhance scripts due to app change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1" authorId="0" shapeId="0" xr:uid="{00000000-0006-0000-0D00-000001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data has to be updated Manually with Test Cases Executed*No of Cycles</t>
        </r>
      </text>
    </comment>
    <comment ref="R1" authorId="0" shapeId="0" xr:uid="{00000000-0006-0000-0D00-000002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Formula Updated</t>
        </r>
      </text>
    </comment>
    <comment ref="AG1" authorId="0" shapeId="0" xr:uid="{00000000-0006-0000-0D00-000003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would be hidden</t>
        </r>
      </text>
    </comment>
    <comment ref="S2" authorId="0" shapeId="0" xr:uid="{00000000-0006-0000-0D00-000004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T2" authorId="0" shapeId="0" xr:uid="{00000000-0006-0000-0D00-000005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U2" authorId="0" shapeId="0" xr:uid="{00000000-0006-0000-0D00-000006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to enhance scripts due to app change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1" authorId="0" shapeId="0" xr:uid="{00000000-0006-0000-0E00-000001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data has to be updated Manually with Test Cases Executed*No of Cycles</t>
        </r>
      </text>
    </comment>
    <comment ref="R1" authorId="0" shapeId="0" xr:uid="{00000000-0006-0000-0E00-000002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Formula Updated</t>
        </r>
      </text>
    </comment>
    <comment ref="AG1" authorId="0" shapeId="0" xr:uid="{00000000-0006-0000-0E00-000003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would be hidden</t>
        </r>
      </text>
    </comment>
    <comment ref="S2" authorId="0" shapeId="0" xr:uid="{00000000-0006-0000-0E00-000004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T2" authorId="0" shapeId="0" xr:uid="{00000000-0006-0000-0E00-000005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U2" authorId="0" shapeId="0" xr:uid="{00000000-0006-0000-0E00-000006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to enhance scripts due to app change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1" authorId="0" shapeId="0" xr:uid="{00000000-0006-0000-0F00-000001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data has to be updated Manually with Test Cases Executed*No of Cycles</t>
        </r>
      </text>
    </comment>
    <comment ref="R1" authorId="0" shapeId="0" xr:uid="{00000000-0006-0000-0F00-000002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Formula Updated</t>
        </r>
      </text>
    </comment>
    <comment ref="AG1" authorId="0" shapeId="0" xr:uid="{00000000-0006-0000-0F00-000003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would be hidden</t>
        </r>
      </text>
    </comment>
    <comment ref="S2" authorId="0" shapeId="0" xr:uid="{00000000-0006-0000-0F00-000004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T2" authorId="0" shapeId="0" xr:uid="{00000000-0006-0000-0F00-000005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U2" authorId="0" shapeId="0" xr:uid="{00000000-0006-0000-0F00-000006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to enhance scripts due to app change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1" authorId="0" shapeId="0" xr:uid="{00000000-0006-0000-1000-000001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data has to be updated Manually with Test Cases Executed*No of Cycles</t>
        </r>
      </text>
    </comment>
    <comment ref="R1" authorId="0" shapeId="0" xr:uid="{00000000-0006-0000-1000-000002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Formula Updated</t>
        </r>
      </text>
    </comment>
    <comment ref="AG1" authorId="0" shapeId="0" xr:uid="{00000000-0006-0000-1000-000003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would be hidden</t>
        </r>
      </text>
    </comment>
    <comment ref="S2" authorId="0" shapeId="0" xr:uid="{00000000-0006-0000-1000-000004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T2" authorId="0" shapeId="0" xr:uid="{00000000-0006-0000-1000-000005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U2" authorId="0" shapeId="0" xr:uid="{00000000-0006-0000-1000-000006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to enhance scripts due to app change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1" authorId="0" shapeId="0" xr:uid="{00000000-0006-0000-1100-000001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data has to be updated Manually with Test Cases Executed*No of Cycles</t>
        </r>
      </text>
    </comment>
    <comment ref="R1" authorId="0" shapeId="0" xr:uid="{00000000-0006-0000-1100-000002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Formula Updated</t>
        </r>
      </text>
    </comment>
    <comment ref="AG1" authorId="0" shapeId="0" xr:uid="{00000000-0006-0000-1100-000003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would be hidden</t>
        </r>
      </text>
    </comment>
    <comment ref="S2" authorId="0" shapeId="0" xr:uid="{00000000-0006-0000-1100-000004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Effort = Effort for Each Cycle * Total Cycle</t>
        </r>
      </text>
    </comment>
    <comment ref="T2" authorId="0" shapeId="0" xr:uid="{00000000-0006-0000-1100-000005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U2" authorId="0" shapeId="0" xr:uid="{00000000-0006-0000-1100-000006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to enhance scripts due to app change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1" authorId="0" shapeId="0" xr:uid="{00000000-0006-0000-1200-000001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data has to be updated Manually with Test Cases Executed*No of Cycles</t>
        </r>
      </text>
    </comment>
    <comment ref="R1" authorId="0" shapeId="0" xr:uid="{00000000-0006-0000-1200-000002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Formula Updated</t>
        </r>
      </text>
    </comment>
    <comment ref="AG1" authorId="0" shapeId="0" xr:uid="{00000000-0006-0000-1200-000003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would be hidden</t>
        </r>
      </text>
    </comment>
    <comment ref="S2" authorId="0" shapeId="0" xr:uid="{00000000-0006-0000-1200-000004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T2" authorId="0" shapeId="0" xr:uid="{00000000-0006-0000-1200-000005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U2" authorId="0" shapeId="0" xr:uid="{00000000-0006-0000-1200-000006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to enhance scripts due to app change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1" authorId="0" shapeId="0" xr:uid="{00000000-0006-0000-1300-000001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data has to be updated Manually with Test Cases Executed*No of Cycles</t>
        </r>
      </text>
    </comment>
    <comment ref="R1" authorId="0" shapeId="0" xr:uid="{00000000-0006-0000-1300-000002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Formula Updated</t>
        </r>
      </text>
    </comment>
    <comment ref="AG1" authorId="0" shapeId="0" xr:uid="{00000000-0006-0000-1300-000003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would be hidden</t>
        </r>
      </text>
    </comment>
    <comment ref="S2" authorId="0" shapeId="0" xr:uid="{00000000-0006-0000-1300-000004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T2" authorId="0" shapeId="0" xr:uid="{00000000-0006-0000-1300-000005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U2" authorId="0" shapeId="0" xr:uid="{00000000-0006-0000-1300-000006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to enhance scripts due to app change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1" authorId="0" shapeId="0" xr:uid="{00000000-0006-0000-1400-000001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data has to be updated Manually with Test Cases Executed*No of Cycles</t>
        </r>
      </text>
    </comment>
    <comment ref="R1" authorId="0" shapeId="0" xr:uid="{00000000-0006-0000-1400-000002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Formula Updated</t>
        </r>
      </text>
    </comment>
    <comment ref="AG1" authorId="0" shapeId="0" xr:uid="{00000000-0006-0000-1400-000003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would be hidden</t>
        </r>
      </text>
    </comment>
    <comment ref="S2" authorId="0" shapeId="0" xr:uid="{00000000-0006-0000-1400-000004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T2" authorId="0" shapeId="0" xr:uid="{00000000-0006-0000-1400-000005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U2" authorId="0" shapeId="0" xr:uid="{00000000-0006-0000-1400-000006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to enhance scripts due to app change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1" authorId="0" shapeId="0" xr:uid="{00000000-0006-0000-1500-000001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data has to be updated Manually with Test Cases Executed*No of Cycles</t>
        </r>
      </text>
    </comment>
    <comment ref="R1" authorId="0" shapeId="0" xr:uid="{00000000-0006-0000-1500-000002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Formula Updated</t>
        </r>
      </text>
    </comment>
    <comment ref="AG1" authorId="0" shapeId="0" xr:uid="{00000000-0006-0000-1500-000003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would be hidden</t>
        </r>
      </text>
    </comment>
    <comment ref="S2" authorId="0" shapeId="0" xr:uid="{00000000-0006-0000-1500-000004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T2" authorId="0" shapeId="0" xr:uid="{00000000-0006-0000-1500-000005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U2" authorId="0" shapeId="0" xr:uid="{00000000-0006-0000-1500-000006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to enhance scripts due to app change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1" authorId="0" shapeId="0" xr:uid="{9AF8B66E-1B99-4FC9-BD98-3AF0D8E5D215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data has to be updated Manually with Test Cases Executed*No of Cycles</t>
        </r>
      </text>
    </comment>
    <comment ref="R1" authorId="0" shapeId="0" xr:uid="{022DAF33-A010-4BD9-B682-5AFF27F9EB17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Formula Updated</t>
        </r>
      </text>
    </comment>
    <comment ref="AG1" authorId="0" shapeId="0" xr:uid="{0F6C775C-4586-4E06-A9B9-504F9CB74AD6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would be hidden</t>
        </r>
      </text>
    </comment>
    <comment ref="S2" authorId="0" shapeId="0" xr:uid="{BAC9DAA1-FA09-468E-8207-F5A8F51495AF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Effort = Effort for Each Cycle * Total Cycle</t>
        </r>
      </text>
    </comment>
    <comment ref="T2" authorId="0" shapeId="0" xr:uid="{0FFFCF4F-F7C8-4BA8-B8EB-32DF40C74BC5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U2" authorId="0" shapeId="0" xr:uid="{EAA51063-A25A-427E-99C3-90E1C702A4F7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Effort to enhance scripts due to app change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1" authorId="0" shapeId="0" xr:uid="{00000000-0006-0000-1600-000001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data has to be updated Manually with Test Cases Executed*No of Cycles</t>
        </r>
      </text>
    </comment>
    <comment ref="R1" authorId="0" shapeId="0" xr:uid="{00000000-0006-0000-1600-000002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Formula Updated</t>
        </r>
      </text>
    </comment>
    <comment ref="AG1" authorId="0" shapeId="0" xr:uid="{00000000-0006-0000-1600-000003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would be hidden</t>
        </r>
      </text>
    </comment>
    <comment ref="S2" authorId="0" shapeId="0" xr:uid="{00000000-0006-0000-1600-000004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T2" authorId="0" shapeId="0" xr:uid="{00000000-0006-0000-1600-000005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U2" authorId="0" shapeId="0" xr:uid="{00000000-0006-0000-1600-000006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to enhance scripts due to app change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1" authorId="0" shapeId="0" xr:uid="{00000000-0006-0000-1700-000001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data has to be updated Manually with Test Cases Executed*No of Cycles</t>
        </r>
      </text>
    </comment>
    <comment ref="R1" authorId="0" shapeId="0" xr:uid="{00000000-0006-0000-1700-000002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Formula Updated</t>
        </r>
      </text>
    </comment>
    <comment ref="AG1" authorId="0" shapeId="0" xr:uid="{00000000-0006-0000-1700-000003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would be hidden</t>
        </r>
      </text>
    </comment>
    <comment ref="S2" authorId="0" shapeId="0" xr:uid="{00000000-0006-0000-1700-000004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T2" authorId="0" shapeId="0" xr:uid="{00000000-0006-0000-1700-000005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U2" authorId="0" shapeId="0" xr:uid="{00000000-0006-0000-1700-000006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to enhance scripts due to app change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1" authorId="0" shapeId="0" xr:uid="{00000000-0006-0000-1800-000001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data has to be updated Manually with Test Cases Executed*No of Cycles</t>
        </r>
      </text>
    </comment>
    <comment ref="R1" authorId="0" shapeId="0" xr:uid="{00000000-0006-0000-1800-000002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Formula Updated</t>
        </r>
      </text>
    </comment>
    <comment ref="AG1" authorId="0" shapeId="0" xr:uid="{00000000-0006-0000-1800-000003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would be hidden</t>
        </r>
      </text>
    </comment>
    <comment ref="S2" authorId="0" shapeId="0" xr:uid="{00000000-0006-0000-1800-000004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T2" authorId="0" shapeId="0" xr:uid="{00000000-0006-0000-1800-000005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U2" authorId="0" shapeId="0" xr:uid="{00000000-0006-0000-1800-000006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to enhance scripts due to app change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1" authorId="0" shapeId="0" xr:uid="{00000000-0006-0000-1900-000001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data has to be updated Manually with Test Cases Executed*No of Cycles</t>
        </r>
      </text>
    </comment>
    <comment ref="R1" authorId="0" shapeId="0" xr:uid="{00000000-0006-0000-1900-000002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Formula Updated</t>
        </r>
      </text>
    </comment>
    <comment ref="AG1" authorId="0" shapeId="0" xr:uid="{00000000-0006-0000-1900-000003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would be hidden</t>
        </r>
      </text>
    </comment>
    <comment ref="S2" authorId="0" shapeId="0" xr:uid="{00000000-0006-0000-1900-000004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T2" authorId="0" shapeId="0" xr:uid="{00000000-0006-0000-1900-000005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U2" authorId="0" shapeId="0" xr:uid="{00000000-0006-0000-1900-000006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to enhance scripts due to app change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1" authorId="0" shapeId="0" xr:uid="{00000000-0006-0000-1A00-000001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data has to be updated Manually with Test Cases Executed*No of Cycles</t>
        </r>
      </text>
    </comment>
    <comment ref="R1" authorId="0" shapeId="0" xr:uid="{00000000-0006-0000-1A00-000002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Formula Updated</t>
        </r>
      </text>
    </comment>
    <comment ref="AG1" authorId="0" shapeId="0" xr:uid="{00000000-0006-0000-1A00-000003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would be hidden</t>
        </r>
      </text>
    </comment>
    <comment ref="S2" authorId="0" shapeId="0" xr:uid="{00000000-0006-0000-1A00-000004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T2" authorId="0" shapeId="0" xr:uid="{00000000-0006-0000-1A00-000005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U2" authorId="0" shapeId="0" xr:uid="{00000000-0006-0000-1A00-000006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to enhance scripts due to app change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1" authorId="0" shapeId="0" xr:uid="{00000000-0006-0000-1B00-000001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data has to be updated Manually with Test Cases Executed*No of Cycles</t>
        </r>
      </text>
    </comment>
    <comment ref="R1" authorId="0" shapeId="0" xr:uid="{00000000-0006-0000-1B00-000002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Formula Updated</t>
        </r>
      </text>
    </comment>
    <comment ref="AG1" authorId="0" shapeId="0" xr:uid="{00000000-0006-0000-1B00-000003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would be hidden</t>
        </r>
      </text>
    </comment>
    <comment ref="S2" authorId="0" shapeId="0" xr:uid="{00000000-0006-0000-1B00-000004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T2" authorId="0" shapeId="0" xr:uid="{00000000-0006-0000-1B00-000005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U2" authorId="0" shapeId="0" xr:uid="{00000000-0006-0000-1B00-000006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to enhance scripts due to app change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1" authorId="0" shapeId="0" xr:uid="{00000000-0006-0000-1C00-000001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data has to be updated Manually with Test Cases Executed*No of Cycles</t>
        </r>
      </text>
    </comment>
    <comment ref="R1" authorId="0" shapeId="0" xr:uid="{00000000-0006-0000-1C00-000002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Formula Updated</t>
        </r>
      </text>
    </comment>
    <comment ref="AG1" authorId="0" shapeId="0" xr:uid="{00000000-0006-0000-1C00-000003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would be hidden</t>
        </r>
      </text>
    </comment>
    <comment ref="S2" authorId="0" shapeId="0" xr:uid="{00000000-0006-0000-1C00-000004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T2" authorId="0" shapeId="0" xr:uid="{00000000-0006-0000-1C00-000005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U2" authorId="0" shapeId="0" xr:uid="{00000000-0006-0000-1C00-000006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to enhance scripts due to app change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1" authorId="0" shapeId="0" xr:uid="{00000000-0006-0000-1D00-000001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data has to be updated Manually with Test Cases Executed*No of Cycles</t>
        </r>
      </text>
    </comment>
    <comment ref="R1" authorId="0" shapeId="0" xr:uid="{00000000-0006-0000-1D00-000002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Formula Updated</t>
        </r>
      </text>
    </comment>
    <comment ref="AG1" authorId="0" shapeId="0" xr:uid="{00000000-0006-0000-1D00-000003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would be hidden</t>
        </r>
      </text>
    </comment>
    <comment ref="S2" authorId="0" shapeId="0" xr:uid="{00000000-0006-0000-1D00-000004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T2" authorId="0" shapeId="0" xr:uid="{00000000-0006-0000-1D00-000005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U2" authorId="0" shapeId="0" xr:uid="{00000000-0006-0000-1D00-000006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to enhance scripts due to app change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1" authorId="0" shapeId="0" xr:uid="{00000000-0006-0000-1E00-000001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data has to be updated Manually with Test Cases Executed*No of Cycles</t>
        </r>
      </text>
    </comment>
    <comment ref="R1" authorId="0" shapeId="0" xr:uid="{00000000-0006-0000-1E00-000002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Formula Updated</t>
        </r>
      </text>
    </comment>
    <comment ref="AG1" authorId="0" shapeId="0" xr:uid="{00000000-0006-0000-1E00-000003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would be hidden</t>
        </r>
      </text>
    </comment>
    <comment ref="S2" authorId="0" shapeId="0" xr:uid="{00000000-0006-0000-1E00-000004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T2" authorId="0" shapeId="0" xr:uid="{00000000-0006-0000-1E00-000005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U2" authorId="0" shapeId="0" xr:uid="{00000000-0006-0000-1E00-000006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to enhance scripts due to app change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1" authorId="0" shapeId="0" xr:uid="{00000000-0006-0000-1F00-000001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data has to be updated Manually with Test Cases Executed*No of Cycles</t>
        </r>
      </text>
    </comment>
    <comment ref="R1" authorId="0" shapeId="0" xr:uid="{00000000-0006-0000-1F00-000002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Formula Updated</t>
        </r>
      </text>
    </comment>
    <comment ref="AG1" authorId="0" shapeId="0" xr:uid="{00000000-0006-0000-1F00-000003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would be hidden</t>
        </r>
      </text>
    </comment>
    <comment ref="S2" authorId="0" shapeId="0" xr:uid="{00000000-0006-0000-1F00-000004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T2" authorId="0" shapeId="0" xr:uid="{00000000-0006-0000-1F00-000005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U2" authorId="0" shapeId="0" xr:uid="{00000000-0006-0000-1F00-000006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to enhance scripts due to app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1" authorId="0" shapeId="0" xr:uid="{00000000-0006-0000-0600-000001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data has to be updated Manually with Test Cases Executed*No of Cycles</t>
        </r>
      </text>
    </comment>
    <comment ref="R1" authorId="0" shapeId="0" xr:uid="{00000000-0006-0000-0600-000002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Formula Updated</t>
        </r>
      </text>
    </comment>
    <comment ref="AG1" authorId="0" shapeId="0" xr:uid="{00000000-0006-0000-0600-000003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would be hidden</t>
        </r>
      </text>
    </comment>
    <comment ref="S2" authorId="0" shapeId="0" xr:uid="{00000000-0006-0000-0600-000004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Effort = Effort for Each Cycle * Total Cycle</t>
        </r>
      </text>
    </comment>
    <comment ref="T2" authorId="0" shapeId="0" xr:uid="{00000000-0006-0000-0600-000005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U2" authorId="0" shapeId="0" xr:uid="{00000000-0006-0000-0600-000006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Effort to enhance scripts due to app change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1" authorId="0" shapeId="0" xr:uid="{00000000-0006-0000-2000-000001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data has to be updated Manually with Test Cases Executed*No of Cycles</t>
        </r>
      </text>
    </comment>
    <comment ref="R1" authorId="0" shapeId="0" xr:uid="{00000000-0006-0000-2000-000002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Formula Updated</t>
        </r>
      </text>
    </comment>
    <comment ref="AG1" authorId="0" shapeId="0" xr:uid="{00000000-0006-0000-2000-000003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would be hidden</t>
        </r>
      </text>
    </comment>
    <comment ref="S2" authorId="0" shapeId="0" xr:uid="{00000000-0006-0000-2000-000004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T2" authorId="0" shapeId="0" xr:uid="{00000000-0006-0000-2000-000005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U2" authorId="0" shapeId="0" xr:uid="{00000000-0006-0000-2000-000006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to enhance scripts due to app change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1" authorId="0" shapeId="0" xr:uid="{00000000-0006-0000-2100-000001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data has to be updated Manually with Test Cases Executed*No of Cycles</t>
        </r>
      </text>
    </comment>
    <comment ref="R1" authorId="0" shapeId="0" xr:uid="{00000000-0006-0000-2100-000002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Formula Updated</t>
        </r>
      </text>
    </comment>
    <comment ref="AG1" authorId="0" shapeId="0" xr:uid="{00000000-0006-0000-2100-000003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would be hidden</t>
        </r>
      </text>
    </comment>
    <comment ref="S2" authorId="0" shapeId="0" xr:uid="{00000000-0006-0000-2100-000004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T2" authorId="0" shapeId="0" xr:uid="{00000000-0006-0000-2100-000005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U2" authorId="0" shapeId="0" xr:uid="{00000000-0006-0000-2100-000006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to enhance scripts due to app change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U2" authorId="0" shapeId="0" xr:uid="{00000000-0006-0000-2300-000001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to enhance scripts due to app change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1" authorId="0" shapeId="0" xr:uid="{00000000-0006-0000-0700-000001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data has to be updated Manually with Test Cases Executed*No of Cycles</t>
        </r>
      </text>
    </comment>
    <comment ref="R1" authorId="0" shapeId="0" xr:uid="{00000000-0006-0000-0700-000002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Formula Updated</t>
        </r>
      </text>
    </comment>
    <comment ref="AG1" authorId="0" shapeId="0" xr:uid="{00000000-0006-0000-0700-000003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would be hidden</t>
        </r>
      </text>
    </comment>
    <comment ref="S2" authorId="0" shapeId="0" xr:uid="{00000000-0006-0000-0700-000004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T2" authorId="0" shapeId="0" xr:uid="{00000000-0006-0000-0700-000005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U2" authorId="0" shapeId="0" xr:uid="{00000000-0006-0000-0700-000006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to enhance scripts due to app change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1" authorId="0" shapeId="0" xr:uid="{00000000-0006-0000-0800-000001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data has to be updated Manually with Test Cases Executed*No of Cycles</t>
        </r>
      </text>
    </comment>
    <comment ref="R1" authorId="0" shapeId="0" xr:uid="{00000000-0006-0000-0800-000002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Formula Updated</t>
        </r>
      </text>
    </comment>
    <comment ref="AG1" authorId="0" shapeId="0" xr:uid="{00000000-0006-0000-0800-000003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would be hidden</t>
        </r>
      </text>
    </comment>
    <comment ref="S2" authorId="0" shapeId="0" xr:uid="{00000000-0006-0000-0800-000004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T2" authorId="0" shapeId="0" xr:uid="{00000000-0006-0000-0800-000005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U2" authorId="0" shapeId="0" xr:uid="{00000000-0006-0000-0800-000006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to enhance scripts due to app change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1" authorId="0" shapeId="0" xr:uid="{00000000-0006-0000-0B00-000001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data has to be updated Manually with Test Cases Executed*No of Cycles</t>
        </r>
      </text>
    </comment>
    <comment ref="R1" authorId="0" shapeId="0" xr:uid="{00000000-0006-0000-0B00-000002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Formula Updated</t>
        </r>
      </text>
    </comment>
    <comment ref="AG1" authorId="0" shapeId="0" xr:uid="{00000000-0006-0000-0B00-000003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would be hidden</t>
        </r>
      </text>
    </comment>
    <comment ref="S2" authorId="0" shapeId="0" xr:uid="{00000000-0006-0000-0B00-000004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T2" authorId="0" shapeId="0" xr:uid="{00000000-0006-0000-0B00-000005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U2" authorId="0" shapeId="0" xr:uid="{00000000-0006-0000-0B00-000006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to enhance scripts due to app change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1" authorId="0" shapeId="0" xr:uid="{00000000-0006-0000-0900-000001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data has to be updated Manually with Test Cases Executed*No of Cycles</t>
        </r>
      </text>
    </comment>
    <comment ref="R1" authorId="0" shapeId="0" xr:uid="{00000000-0006-0000-0900-000002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Formula Updated</t>
        </r>
      </text>
    </comment>
    <comment ref="AG1" authorId="0" shapeId="0" xr:uid="{00000000-0006-0000-0900-000003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would be hidden</t>
        </r>
      </text>
    </comment>
    <comment ref="S2" authorId="0" shapeId="0" xr:uid="{00000000-0006-0000-0900-000004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T2" authorId="0" shapeId="0" xr:uid="{00000000-0006-0000-0900-000005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U2" authorId="0" shapeId="0" xr:uid="{00000000-0006-0000-0900-000006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to enhance scripts due to app change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1" authorId="0" shapeId="0" xr:uid="{00000000-0006-0000-0400-000001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data has to be updated Manually with Test Cases Executed*No of Cycles</t>
        </r>
      </text>
    </comment>
    <comment ref="R1" authorId="0" shapeId="0" xr:uid="{00000000-0006-0000-0400-000002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Formula Updated</t>
        </r>
      </text>
    </comment>
    <comment ref="AG1" authorId="0" shapeId="0" xr:uid="{00000000-0006-0000-0400-000003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would be hidden</t>
        </r>
      </text>
    </comment>
    <comment ref="S2" authorId="0" shapeId="0" xr:uid="{00000000-0006-0000-0400-000004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T2" authorId="0" shapeId="0" xr:uid="{00000000-0006-0000-0400-000005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U2" authorId="0" shapeId="0" xr:uid="{00000000-0006-0000-0400-000006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to enhance scripts due to app change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P1" authorId="0" shapeId="0" xr:uid="{00000000-0006-0000-0A00-000001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data has to be updated Manually with Test Cases Executed*No of Cycles</t>
        </r>
      </text>
    </comment>
    <comment ref="R1" authorId="0" shapeId="0" xr:uid="{00000000-0006-0000-0A00-000002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Formula Updated</t>
        </r>
      </text>
    </comment>
    <comment ref="AG1" authorId="0" shapeId="0" xr:uid="{00000000-0006-0000-0A00-000003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This would be hidden</t>
        </r>
      </text>
    </comment>
    <comment ref="S2" authorId="0" shapeId="0" xr:uid="{00000000-0006-0000-0A00-000004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T2" authorId="0" shapeId="0" xr:uid="{00000000-0006-0000-0A00-000005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= Effort for Each Cycle * Total Cycle</t>
        </r>
      </text>
    </comment>
    <comment ref="U2" authorId="0" shapeId="0" xr:uid="{00000000-0006-0000-0A00-000006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Effort to enhance scripts due to app change</t>
        </r>
      </text>
    </comment>
  </commentList>
</comments>
</file>

<file path=xl/sharedStrings.xml><?xml version="1.0" encoding="utf-8"?>
<sst xmlns="http://schemas.openxmlformats.org/spreadsheetml/2006/main" count="2802" uniqueCount="207">
  <si>
    <t>Metric Name</t>
  </si>
  <si>
    <t>Formula</t>
  </si>
  <si>
    <t>UOM</t>
  </si>
  <si>
    <t>Remarks</t>
  </si>
  <si>
    <t xml:space="preserve">Automation Script Utilization 
</t>
  </si>
  <si>
    <t xml:space="preserve">((# of Automation Test scripts Executed in a release )/(Total # of Test scripts automated)) *100 
</t>
  </si>
  <si>
    <t>%</t>
  </si>
  <si>
    <t xml:space="preserve">Regression Automation Coverage </t>
  </si>
  <si>
    <t xml:space="preserve">(# of regression test cases automated / Total # of regression test cases)*100
</t>
  </si>
  <si>
    <t>Automation Progress</t>
  </si>
  <si>
    <t># Automated test cases automated / # test cases automatable</t>
  </si>
  <si>
    <t>Effort Savings</t>
  </si>
  <si>
    <t xml:space="preserve">Test Execution effort spent before automation – Test Execution effort spent after automation </t>
  </si>
  <si>
    <t>hrs</t>
  </si>
  <si>
    <t xml:space="preserve">Test Execution effort spent after automation  = Effort to execute automated scripts + Effort to analyze results
+ Effort to Manually  execute  non automatable test cases + Manual execution of failed scripts due to code issue </t>
  </si>
  <si>
    <t>% Effort Savings</t>
  </si>
  <si>
    <t xml:space="preserve">Effort Saved / Effort spent before automation </t>
  </si>
  <si>
    <t>ROI</t>
  </si>
  <si>
    <t>(Total Savings till date/Automation development cost till date)</t>
  </si>
  <si>
    <t>Automation  development cost = Initial Development cost + Additional Development cost (due to enhancements and functional changes )</t>
  </si>
  <si>
    <t>Colour Legend:</t>
  </si>
  <si>
    <t>Cells will populate with formulae</t>
  </si>
  <si>
    <t>Application</t>
  </si>
  <si>
    <t>Effort Savings (PH)</t>
  </si>
  <si>
    <t>Cumulative Effort Savings per Application</t>
  </si>
  <si>
    <t>Cumulative Effort to Till Selected Month per App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</si>
  <si>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</si>
  <si>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</si>
  <si>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</si>
  <si>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</si>
  <si>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</si>
  <si>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</si>
  <si>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</si>
  <si>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</si>
  <si>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</si>
  <si>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</si>
  <si>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</si>
  <si>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</si>
  <si>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</t>
  </si>
  <si>
    <t>Total</t>
  </si>
  <si>
    <t>Quarterly Effort Savings</t>
  </si>
  <si>
    <t>Effor Savings</t>
  </si>
  <si>
    <t>Cumulative Effort to Till Selected Quarter per App</t>
  </si>
  <si>
    <t>Q1</t>
  </si>
  <si>
    <t>Q2</t>
  </si>
  <si>
    <t>Q3</t>
  </si>
  <si>
    <t>Q4</t>
  </si>
  <si>
    <t>Release Name</t>
  </si>
  <si>
    <t>Sprint/Release</t>
  </si>
  <si>
    <t>No. Of Execution Cycles</t>
  </si>
  <si>
    <t>Cumulative No. of Valid Test Cases</t>
  </si>
  <si>
    <t>Cumulative No. of Test Cases Automatable</t>
  </si>
  <si>
    <t>Effort for Initial Automation Development (PH)</t>
  </si>
  <si>
    <t>No. of Test Cases Automated</t>
  </si>
  <si>
    <t>Cumulative No. of Scripts Developed</t>
  </si>
  <si>
    <t>No. of Obsolete Scripts</t>
  </si>
  <si>
    <t>No. of Newly Developed Scripts</t>
  </si>
  <si>
    <t>No. of Scripts Enhanced</t>
  </si>
  <si>
    <t>No. of Valid Scripts</t>
  </si>
  <si>
    <t>No. Of Scripts Executed</t>
  </si>
  <si>
    <t>Manual Effort For Execution (PH)</t>
  </si>
  <si>
    <t>Continuous Automation Effort (PH)</t>
  </si>
  <si>
    <t>Effort to Manually  execute  non automatable test cases
(PH)</t>
  </si>
  <si>
    <t>Effort to Manual execution of failed scripts due to code issue 
(PH)</t>
  </si>
  <si>
    <t>Test Execution effort spent after automation
(PH)</t>
  </si>
  <si>
    <t>Effort Savings (2020)</t>
  </si>
  <si>
    <t>Number Of Defects Found through Automation</t>
  </si>
  <si>
    <t>Metrics</t>
  </si>
  <si>
    <t>Execution</t>
  </si>
  <si>
    <t xml:space="preserve"> Analysis</t>
  </si>
  <si>
    <t>Maintenance</t>
  </si>
  <si>
    <t>Automation Progress (%)</t>
  </si>
  <si>
    <t>Automation Coverage (%)</t>
  </si>
  <si>
    <t>Automation Script Utilization (%)</t>
  </si>
  <si>
    <t>Effort Savings  (%)</t>
  </si>
  <si>
    <t>Cost Savings Per Cycle ($)</t>
  </si>
  <si>
    <t>Total Effort Savings (PH)</t>
  </si>
  <si>
    <t>Total Cost Saving ($)</t>
  </si>
  <si>
    <t>l</t>
  </si>
  <si>
    <t>Cycle #</t>
  </si>
  <si>
    <t>Start Date</t>
  </si>
  <si>
    <t>End Date</t>
  </si>
  <si>
    <t>Completion Month</t>
  </si>
  <si>
    <t xml:space="preserve"> No. Of Scripts Executed</t>
  </si>
  <si>
    <t>Effort for  Automation Development ( Initial automation development effort + effort to develop New scripts every cycle)</t>
  </si>
  <si>
    <t>Effort Savings Per Cycle (PH)</t>
  </si>
  <si>
    <t>Manual Producrivity</t>
  </si>
  <si>
    <t>Sample</t>
  </si>
  <si>
    <t>Regression</t>
  </si>
  <si>
    <t>Jan Regression</t>
  </si>
  <si>
    <t>Overall</t>
  </si>
  <si>
    <t>Bill Rate</t>
  </si>
  <si>
    <t>Manual Productivity</t>
  </si>
  <si>
    <t>Releaseforce</t>
  </si>
  <si>
    <t>Cumulative No. of Obsolete Scripts</t>
  </si>
  <si>
    <t>Effort for  Automation Development (effort to develop New scripts every cycle)</t>
  </si>
  <si>
    <t>Testcases Completed /Testcases Automatable(%)</t>
  </si>
  <si>
    <t>Testcases Completed /Valid Testcases(%)</t>
  </si>
  <si>
    <t>ALF</t>
  </si>
  <si>
    <t>Media 2021.02</t>
  </si>
  <si>
    <t>Elaunch Not executed,As application is not available</t>
  </si>
  <si>
    <t>Magic</t>
  </si>
  <si>
    <t>GTM</t>
  </si>
  <si>
    <t>LinearSchedule_BulkCreate</t>
  </si>
  <si>
    <t>CompassRePlatform</t>
  </si>
  <si>
    <t>USH OmniBasket</t>
  </si>
  <si>
    <t>Cycle 12</t>
  </si>
  <si>
    <t>TicketingPOS</t>
  </si>
  <si>
    <t>UO OmniBasket</t>
  </si>
  <si>
    <t>Cycle15</t>
  </si>
  <si>
    <t>Finance</t>
  </si>
  <si>
    <t>Effort for  Automation Development (Initial automation development effort + effort to develop New scripts every cycle)</t>
  </si>
  <si>
    <t>January Release</t>
  </si>
  <si>
    <t>Releaseforce Mercury(SF)</t>
  </si>
  <si>
    <t>Promotional Order Portal(SF)</t>
  </si>
  <si>
    <t>June Release</t>
  </si>
  <si>
    <t>POP</t>
  </si>
  <si>
    <t>Galaxy transition program – Ticketing PoS</t>
  </si>
  <si>
    <t>USH EzRez</t>
  </si>
  <si>
    <t>Outer Market  (OTS, FG, B2B)</t>
  </si>
  <si>
    <t>Scripts used for data generation and Regression run</t>
  </si>
  <si>
    <t>USH_EzRez</t>
  </si>
  <si>
    <t>Medea</t>
  </si>
  <si>
    <t>Medea setup on ECX new server</t>
  </si>
  <si>
    <t>CAR</t>
  </si>
  <si>
    <t>Phase1</t>
  </si>
  <si>
    <t>KAM</t>
  </si>
  <si>
    <t>Phase 1</t>
  </si>
  <si>
    <t>Mar</t>
  </si>
  <si>
    <t>Recap</t>
  </si>
  <si>
    <t>RRCP-557 and RRCP-497</t>
  </si>
  <si>
    <t>RRCP-468-Compliance code Optimizations</t>
  </si>
  <si>
    <t>Januray</t>
  </si>
  <si>
    <t>Effort Includes Reporting the remittances</t>
  </si>
  <si>
    <t>TBT and RSG</t>
  </si>
  <si>
    <t>GBS Release</t>
  </si>
  <si>
    <t>Releaseforce(SF)</t>
  </si>
  <si>
    <t>Mar Release</t>
  </si>
  <si>
    <t>WideOrbit</t>
  </si>
  <si>
    <t>Phase - 4</t>
  </si>
  <si>
    <t>Phase - 5</t>
  </si>
  <si>
    <t>GA5 build</t>
  </si>
  <si>
    <t>GA6 build</t>
  </si>
  <si>
    <t>GA7 build</t>
  </si>
  <si>
    <t>GA8 build</t>
  </si>
  <si>
    <t>GA9 build</t>
  </si>
  <si>
    <t>Handover KT</t>
  </si>
  <si>
    <t>GA8 Support</t>
  </si>
  <si>
    <t>Score</t>
  </si>
  <si>
    <t>MP Upgrade</t>
  </si>
  <si>
    <t>DeptSystems</t>
  </si>
  <si>
    <t>Editorial Facilitie Release 2019.1.023</t>
  </si>
  <si>
    <t>RTPro Setlighting v9.1.0.5</t>
  </si>
  <si>
    <t>No Release</t>
  </si>
  <si>
    <t xml:space="preserve">  June</t>
  </si>
  <si>
    <t>RTPro Costume/ScheduAll-Production Services/ScheduAll-Sound</t>
  </si>
  <si>
    <t>RTPro Property/RentalWorks EF/RentalWorks OS/RTPro Costume</t>
  </si>
  <si>
    <t>Sphere</t>
  </si>
  <si>
    <t>Studio Ops IT</t>
  </si>
  <si>
    <t xml:space="preserve"> Release 4.0.1</t>
  </si>
  <si>
    <t>release 4.1.0</t>
  </si>
  <si>
    <t>Release 4.2.0</t>
  </si>
  <si>
    <t>Release 4.3.0</t>
  </si>
  <si>
    <t xml:space="preserve">No Release </t>
  </si>
  <si>
    <t>CAFÉ</t>
  </si>
  <si>
    <t>GRU Deployment 21.5 </t>
  </si>
  <si>
    <t>GRU Deployment 22</t>
  </si>
  <si>
    <t>SAFE</t>
  </si>
  <si>
    <t>Release 21.1</t>
  </si>
  <si>
    <t>Release 21.2</t>
  </si>
  <si>
    <t>Release 21.3</t>
  </si>
  <si>
    <t>Release 21.4/SQL UAT</t>
  </si>
  <si>
    <t>Release 21.5</t>
  </si>
  <si>
    <t>s</t>
  </si>
  <si>
    <t>ProM</t>
  </si>
  <si>
    <t>Feb Regression</t>
  </si>
  <si>
    <t>TVROCS</t>
  </si>
  <si>
    <t>March Regression</t>
  </si>
  <si>
    <t>April Regression</t>
  </si>
  <si>
    <t>May Regression</t>
  </si>
  <si>
    <t>June Regression</t>
  </si>
  <si>
    <t>July Regression</t>
  </si>
  <si>
    <t>PDM</t>
  </si>
  <si>
    <t>AssetTracker</t>
  </si>
  <si>
    <t>APAR</t>
  </si>
  <si>
    <t>March  Regression</t>
  </si>
  <si>
    <t>Producer Dashboard</t>
  </si>
  <si>
    <t>Staging</t>
  </si>
  <si>
    <t>OVC</t>
  </si>
  <si>
    <t>Medea 2021.03</t>
  </si>
  <si>
    <t>Medea 2022.01</t>
  </si>
  <si>
    <t>Sprint 83</t>
  </si>
  <si>
    <t>Creative Asset Reactive</t>
  </si>
  <si>
    <t>Pricing Engine</t>
  </si>
  <si>
    <t>Jan</t>
  </si>
  <si>
    <t>20.1/20.2</t>
  </si>
  <si>
    <t>R2023 - 1.1 &amp; 1.2</t>
  </si>
  <si>
    <t>R2023 - 2.1 &amp; 2.2</t>
  </si>
  <si>
    <t>Sprint 85</t>
  </si>
  <si>
    <t>Feburay Release</t>
  </si>
  <si>
    <t>Pre Order</t>
  </si>
  <si>
    <t>Digital Force</t>
  </si>
  <si>
    <t>Feb</t>
  </si>
  <si>
    <t>R2023 - 3.1 &amp; 3.2</t>
  </si>
  <si>
    <t>Sprint 86</t>
  </si>
  <si>
    <t>March Release</t>
  </si>
  <si>
    <t>PEST Pre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</si>
</sst>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&quot;$&quot;#,##0.00_);[Red]\(&quot;$&quot;#,##0.00\)"/>
    <numFmt numFmtId="166" formatCode="&quot;$&quot;#,##0.00"/>
    <numFmt numFmtId="167" formatCode="0.0%"/>
  </numFmts>
  <fonts count="2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Calibri"/>
      <family val="2"/>
      <scheme val="minor"/>
    </font>
    <font>
      <sz val="8"/>
      <color theme="1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8"/>
      <color rgb="FF000000"/>
      <name val="Calibri"/>
      <family val="2"/>
      <scheme val="minor"/>
    </font>
    <font>
      <sz val="11"/>
      <color theme="1"/>
      <name val="Wingdings 3"/>
      <family val="1"/>
      <charset val="2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000000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ashed">
        <color theme="8" tint="0.39991454817346722"/>
      </left>
      <right style="dashed">
        <color theme="8" tint="0.39991454817346722"/>
      </right>
      <top style="dashed">
        <color theme="8" tint="0.39991454817346722"/>
      </top>
      <bottom/>
      <diagonal/>
    </border>
    <border>
      <left style="dashed">
        <color theme="8" tint="0.39991454817346722"/>
      </left>
      <right style="dashed">
        <color theme="8" tint="0.39991454817346722"/>
      </right>
      <top style="dashed">
        <color theme="8" tint="0.39991454817346722"/>
      </top>
      <bottom style="dashed">
        <color theme="8" tint="0.399914548173467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5" fillId="0" borderId="0"/>
    <xf numFmtId="0" fontId="20" fillId="0" borderId="0"/>
    <xf numFmtId="0" fontId="25" fillId="0" borderId="0"/>
    <xf numFmtId="9" fontId="20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7">
    <xf numFmtId="0" fontId="0" fillId="0" borderId="0" xfId="0"/>
    <xf numFmtId="0" fontId="0" fillId="0" borderId="0" xfId="0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 applyProtection="1">
      <alignment horizontal="left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164" fontId="6" fillId="0" borderId="0" xfId="0" applyNumberFormat="1" applyFont="1" applyAlignment="1" applyProtection="1">
      <alignment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2" fontId="5" fillId="0" borderId="0" xfId="0" applyNumberFormat="1" applyFont="1" applyAlignment="1" applyProtection="1">
      <alignment horizontal="center" vertical="center" wrapText="1"/>
      <protection locked="0"/>
    </xf>
    <xf numFmtId="10" fontId="5" fillId="0" borderId="0" xfId="0" applyNumberFormat="1" applyFont="1" applyAlignment="1" applyProtection="1">
      <alignment horizontal="center" vertical="center" wrapText="1"/>
      <protection locked="0"/>
    </xf>
    <xf numFmtId="166" fontId="5" fillId="0" borderId="0" xfId="0" applyNumberFormat="1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left" vertical="center" wrapText="1"/>
      <protection locked="0"/>
    </xf>
    <xf numFmtId="2" fontId="4" fillId="0" borderId="0" xfId="0" applyNumberFormat="1" applyFont="1" applyAlignment="1" applyProtection="1">
      <alignment horizontal="center" vertical="center" wrapText="1"/>
      <protection locked="0"/>
    </xf>
    <xf numFmtId="10" fontId="4" fillId="0" borderId="0" xfId="0" applyNumberFormat="1" applyFont="1" applyAlignment="1" applyProtection="1">
      <alignment horizontal="center" vertical="center" wrapText="1"/>
      <protection locked="0"/>
    </xf>
    <xf numFmtId="166" fontId="4" fillId="0" borderId="0" xfId="0" applyNumberFormat="1" applyFont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vertical="center" wrapText="1"/>
      <protection locked="0"/>
    </xf>
    <xf numFmtId="2" fontId="5" fillId="0" borderId="1" xfId="0" applyNumberFormat="1" applyFont="1" applyBorder="1" applyAlignment="1" applyProtection="1">
      <alignment horizontal="center" vertical="center" wrapText="1"/>
      <protection locked="0"/>
    </xf>
    <xf numFmtId="2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2" fontId="5" fillId="5" borderId="1" xfId="0" applyNumberFormat="1" applyFont="1" applyFill="1" applyBorder="1" applyAlignment="1">
      <alignment horizontal="center" vertical="center" wrapText="1"/>
    </xf>
    <xf numFmtId="2" fontId="5" fillId="6" borderId="1" xfId="0" applyNumberFormat="1" applyFont="1" applyFill="1" applyBorder="1" applyAlignment="1" applyProtection="1">
      <alignment horizontal="center" vertical="center" wrapText="1"/>
      <protection locked="0"/>
    </xf>
    <xf numFmtId="2" fontId="8" fillId="0" borderId="1" xfId="0" applyNumberFormat="1" applyFont="1" applyBorder="1" applyAlignment="1" applyProtection="1">
      <alignment horizontal="center" vertical="center"/>
      <protection locked="0"/>
    </xf>
    <xf numFmtId="10" fontId="5" fillId="0" borderId="1" xfId="0" applyNumberFormat="1" applyFont="1" applyBorder="1" applyAlignment="1" applyProtection="1">
      <alignment horizontal="center" vertical="center" wrapText="1"/>
      <protection locked="0"/>
    </xf>
    <xf numFmtId="166" fontId="5" fillId="0" borderId="1" xfId="0" applyNumberFormat="1" applyFont="1" applyBorder="1" applyAlignment="1" applyProtection="1">
      <alignment horizontal="center" vertical="center" wrapText="1"/>
      <protection locked="0"/>
    </xf>
    <xf numFmtId="10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" xfId="0" applyNumberFormat="1" applyFont="1" applyBorder="1" applyAlignment="1" applyProtection="1">
      <alignment horizontal="center" vertical="center"/>
      <protection locked="0"/>
    </xf>
    <xf numFmtId="10" fontId="5" fillId="5" borderId="1" xfId="0" applyNumberFormat="1" applyFont="1" applyFill="1" applyBorder="1" applyAlignment="1">
      <alignment horizontal="center" vertical="center" wrapText="1"/>
    </xf>
    <xf numFmtId="165" fontId="0" fillId="7" borderId="1" xfId="0" applyNumberFormat="1" applyFill="1" applyBorder="1" applyAlignment="1">
      <alignment vertical="center" wrapText="1"/>
    </xf>
    <xf numFmtId="167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0" fillId="7" borderId="1" xfId="0" applyNumberFormat="1" applyFill="1" applyBorder="1" applyAlignment="1" applyProtection="1">
      <alignment vertical="center" wrapText="1"/>
      <protection locked="0"/>
    </xf>
    <xf numFmtId="165" fontId="0" fillId="0" borderId="0" xfId="0" applyNumberFormat="1" applyAlignment="1" applyProtection="1">
      <alignment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17" fontId="5" fillId="0" borderId="1" xfId="0" applyNumberFormat="1" applyFont="1" applyBorder="1" applyAlignment="1" applyProtection="1">
      <alignment horizontal="center" vertical="center" wrapText="1"/>
      <protection locked="0"/>
    </xf>
    <xf numFmtId="14" fontId="5" fillId="0" borderId="1" xfId="0" applyNumberFormat="1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vertical="center" wrapText="1"/>
      <protection locked="0"/>
    </xf>
    <xf numFmtId="165" fontId="5" fillId="7" borderId="1" xfId="0" applyNumberFormat="1" applyFont="1" applyFill="1" applyBorder="1" applyAlignment="1">
      <alignment vertical="center" wrapText="1"/>
    </xf>
    <xf numFmtId="0" fontId="4" fillId="8" borderId="1" xfId="0" applyFont="1" applyFill="1" applyBorder="1" applyAlignment="1" applyProtection="1">
      <alignment horizontal="center" vertical="center" wrapText="1"/>
      <protection locked="0"/>
    </xf>
    <xf numFmtId="0" fontId="5" fillId="0" borderId="8" xfId="3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0" fontId="5" fillId="0" borderId="9" xfId="3" applyFont="1" applyBorder="1" applyAlignment="1">
      <alignment horizontal="center" vertical="center"/>
    </xf>
    <xf numFmtId="2" fontId="0" fillId="0" borderId="0" xfId="0" applyNumberFormat="1" applyAlignment="1" applyProtection="1">
      <alignment vertical="center" wrapText="1"/>
      <protection locked="0"/>
    </xf>
    <xf numFmtId="0" fontId="0" fillId="0" borderId="8" xfId="3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>
      <alignment wrapText="1"/>
    </xf>
    <xf numFmtId="0" fontId="11" fillId="0" borderId="0" xfId="0" applyFont="1" applyAlignment="1">
      <alignment wrapText="1"/>
    </xf>
    <xf numFmtId="0" fontId="9" fillId="6" borderId="0" xfId="0" applyFont="1" applyFill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165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8" fillId="0" borderId="0" xfId="0" applyFont="1" applyAlignment="1" applyProtection="1">
      <alignment vertical="center" wrapText="1"/>
      <protection locked="0"/>
    </xf>
    <xf numFmtId="0" fontId="25" fillId="0" borderId="0" xfId="1" applyAlignment="1" applyProtection="1">
      <alignment horizontal="center" vertical="center" wrapText="1"/>
      <protection locked="0"/>
    </xf>
    <xf numFmtId="0" fontId="3" fillId="0" borderId="0" xfId="1" applyFont="1" applyAlignment="1" applyProtection="1">
      <alignment vertical="center" wrapText="1"/>
      <protection locked="0"/>
    </xf>
    <xf numFmtId="0" fontId="25" fillId="0" borderId="0" xfId="1" applyAlignment="1" applyProtection="1">
      <alignment vertical="center" wrapText="1"/>
      <protection locked="0"/>
    </xf>
    <xf numFmtId="0" fontId="4" fillId="2" borderId="1" xfId="1" applyFont="1" applyFill="1" applyBorder="1" applyAlignment="1" applyProtection="1">
      <alignment horizontal="center" vertical="center" wrapText="1"/>
      <protection locked="0"/>
    </xf>
    <xf numFmtId="0" fontId="5" fillId="0" borderId="1" xfId="1" applyFont="1" applyBorder="1" applyAlignment="1" applyProtection="1">
      <alignment horizontal="left" vertical="center" wrapText="1"/>
      <protection locked="0"/>
    </xf>
    <xf numFmtId="0" fontId="5" fillId="0" borderId="1" xfId="1" applyFont="1" applyBorder="1" applyAlignment="1" applyProtection="1">
      <alignment horizontal="center" vertical="center" wrapText="1"/>
      <protection locked="0"/>
    </xf>
    <xf numFmtId="0" fontId="4" fillId="3" borderId="1" xfId="1" applyFont="1" applyFill="1" applyBorder="1" applyAlignment="1" applyProtection="1">
      <alignment horizontal="center" vertical="center" wrapText="1"/>
      <protection locked="0"/>
    </xf>
    <xf numFmtId="0" fontId="6" fillId="0" borderId="0" xfId="1" applyFont="1" applyAlignment="1" applyProtection="1">
      <alignment horizontal="left" vertical="center" wrapText="1"/>
      <protection locked="0"/>
    </xf>
    <xf numFmtId="164" fontId="6" fillId="0" borderId="0" xfId="1" applyNumberFormat="1" applyFont="1" applyAlignment="1" applyProtection="1">
      <alignment vertical="center" wrapText="1"/>
      <protection locked="0"/>
    </xf>
    <xf numFmtId="0" fontId="6" fillId="0" borderId="0" xfId="1" applyFont="1" applyAlignment="1" applyProtection="1">
      <alignment horizontal="center" vertical="center" wrapText="1"/>
      <protection locked="0"/>
    </xf>
    <xf numFmtId="0" fontId="4" fillId="0" borderId="0" xfId="1" applyFont="1" applyAlignment="1" applyProtection="1">
      <alignment horizontal="center" vertical="center" wrapText="1"/>
      <protection locked="0"/>
    </xf>
    <xf numFmtId="0" fontId="5" fillId="0" borderId="0" xfId="1" applyFont="1" applyAlignment="1" applyProtection="1">
      <alignment horizontal="left" vertical="center" wrapText="1"/>
      <protection locked="0"/>
    </xf>
    <xf numFmtId="0" fontId="5" fillId="0" borderId="0" xfId="1" applyFont="1" applyAlignment="1" applyProtection="1">
      <alignment horizontal="center" vertical="center" wrapText="1"/>
      <protection locked="0"/>
    </xf>
    <xf numFmtId="2" fontId="5" fillId="0" borderId="0" xfId="1" applyNumberFormat="1" applyFont="1" applyAlignment="1" applyProtection="1">
      <alignment horizontal="center" vertical="center" wrapText="1"/>
      <protection locked="0"/>
    </xf>
    <xf numFmtId="10" fontId="5" fillId="0" borderId="0" xfId="1" applyNumberFormat="1" applyFont="1" applyAlignment="1" applyProtection="1">
      <alignment horizontal="center" vertical="center" wrapText="1"/>
      <protection locked="0"/>
    </xf>
    <xf numFmtId="166" fontId="5" fillId="0" borderId="0" xfId="1" applyNumberFormat="1" applyFont="1" applyAlignment="1" applyProtection="1">
      <alignment horizontal="center" vertical="center" wrapText="1"/>
      <protection locked="0"/>
    </xf>
    <xf numFmtId="0" fontId="4" fillId="0" borderId="0" xfId="1" applyFont="1" applyAlignment="1" applyProtection="1">
      <alignment horizontal="left" vertical="center" wrapText="1"/>
      <protection locked="0"/>
    </xf>
    <xf numFmtId="2" fontId="4" fillId="0" borderId="0" xfId="1" applyNumberFormat="1" applyFont="1" applyAlignment="1" applyProtection="1">
      <alignment horizontal="center" vertical="center" wrapText="1"/>
      <protection locked="0"/>
    </xf>
    <xf numFmtId="10" fontId="4" fillId="0" borderId="0" xfId="1" applyNumberFormat="1" applyFont="1" applyAlignment="1" applyProtection="1">
      <alignment horizontal="center" vertical="center" wrapText="1"/>
      <protection locked="0"/>
    </xf>
    <xf numFmtId="166" fontId="4" fillId="0" borderId="0" xfId="1" applyNumberFormat="1" applyFont="1" applyAlignment="1" applyProtection="1">
      <alignment horizontal="center" vertical="center" wrapText="1"/>
      <protection locked="0"/>
    </xf>
    <xf numFmtId="0" fontId="9" fillId="0" borderId="0" xfId="1" applyFont="1" applyAlignment="1" applyProtection="1">
      <alignment vertical="center" wrapText="1"/>
      <protection locked="0"/>
    </xf>
    <xf numFmtId="0" fontId="7" fillId="0" borderId="0" xfId="1" applyFont="1" applyAlignment="1" applyProtection="1">
      <alignment vertical="center" wrapText="1"/>
      <protection locked="0"/>
    </xf>
    <xf numFmtId="2" fontId="5" fillId="0" borderId="1" xfId="1" applyNumberFormat="1" applyFont="1" applyBorder="1" applyAlignment="1" applyProtection="1">
      <alignment horizontal="center" vertical="center" wrapText="1"/>
      <protection locked="0"/>
    </xf>
    <xf numFmtId="2" fontId="4" fillId="3" borderId="1" xfId="1" applyNumberFormat="1" applyFont="1" applyFill="1" applyBorder="1" applyAlignment="1" applyProtection="1">
      <alignment horizontal="center" vertical="center" wrapText="1"/>
      <protection locked="0"/>
    </xf>
    <xf numFmtId="2" fontId="5" fillId="5" borderId="1" xfId="1" applyNumberFormat="1" applyFont="1" applyFill="1" applyBorder="1" applyAlignment="1">
      <alignment horizontal="center" vertical="center" wrapText="1"/>
    </xf>
    <xf numFmtId="10" fontId="5" fillId="0" borderId="1" xfId="1" applyNumberFormat="1" applyFont="1" applyBorder="1" applyAlignment="1" applyProtection="1">
      <alignment horizontal="center" vertical="center" wrapText="1"/>
      <protection locked="0"/>
    </xf>
    <xf numFmtId="166" fontId="5" fillId="0" borderId="1" xfId="1" applyNumberFormat="1" applyFont="1" applyBorder="1" applyAlignment="1" applyProtection="1">
      <alignment horizontal="center" vertical="center" wrapText="1"/>
      <protection locked="0"/>
    </xf>
    <xf numFmtId="10" fontId="4" fillId="3" borderId="1" xfId="1" applyNumberFormat="1" applyFont="1" applyFill="1" applyBorder="1" applyAlignment="1" applyProtection="1">
      <alignment horizontal="center" vertical="center" wrapText="1"/>
      <protection locked="0"/>
    </xf>
    <xf numFmtId="166" fontId="4" fillId="3" borderId="1" xfId="1" applyNumberFormat="1" applyFont="1" applyFill="1" applyBorder="1" applyAlignment="1" applyProtection="1">
      <alignment horizontal="center" vertical="center" wrapText="1"/>
      <protection locked="0"/>
    </xf>
    <xf numFmtId="10" fontId="5" fillId="5" borderId="1" xfId="1" applyNumberFormat="1" applyFont="1" applyFill="1" applyBorder="1" applyAlignment="1">
      <alignment horizontal="center" vertical="center" wrapText="1"/>
    </xf>
    <xf numFmtId="167" fontId="4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5" fillId="0" borderId="0" xfId="0" applyFont="1" applyAlignment="1">
      <alignment horizontal="left"/>
    </xf>
    <xf numFmtId="0" fontId="5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 wrapText="1"/>
    </xf>
    <xf numFmtId="164" fontId="5" fillId="6" borderId="1" xfId="0" applyNumberFormat="1" applyFont="1" applyFill="1" applyBorder="1" applyAlignment="1">
      <alignment horizontal="center" vertical="center" wrapText="1"/>
    </xf>
    <xf numFmtId="17" fontId="5" fillId="6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2" fontId="5" fillId="6" borderId="1" xfId="0" applyNumberFormat="1" applyFont="1" applyFill="1" applyBorder="1" applyAlignment="1">
      <alignment horizontal="center" vertical="center" wrapText="1"/>
    </xf>
    <xf numFmtId="1" fontId="5" fillId="6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165" fontId="5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5" fillId="0" borderId="1" xfId="0" applyFont="1" applyBorder="1"/>
    <xf numFmtId="0" fontId="5" fillId="6" borderId="1" xfId="0" applyFont="1" applyFill="1" applyBorder="1"/>
    <xf numFmtId="166" fontId="5" fillId="5" borderId="1" xfId="0" applyNumberFormat="1" applyFont="1" applyFill="1" applyBorder="1" applyAlignment="1">
      <alignment horizontal="center" vertical="center" wrapText="1"/>
    </xf>
    <xf numFmtId="2" fontId="5" fillId="6" borderId="1" xfId="0" applyNumberFormat="1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right" vertical="center" wrapText="1"/>
    </xf>
    <xf numFmtId="0" fontId="17" fillId="10" borderId="1" xfId="0" applyFont="1" applyFill="1" applyBorder="1"/>
    <xf numFmtId="2" fontId="5" fillId="0" borderId="1" xfId="0" applyNumberFormat="1" applyFont="1" applyBorder="1"/>
    <xf numFmtId="2" fontId="4" fillId="0" borderId="1" xfId="0" applyNumberFormat="1" applyFont="1" applyBorder="1"/>
    <xf numFmtId="2" fontId="4" fillId="3" borderId="1" xfId="0" applyNumberFormat="1" applyFont="1" applyFill="1" applyBorder="1" applyAlignment="1">
      <alignment horizontal="center" vertical="center" wrapText="1"/>
    </xf>
    <xf numFmtId="2" fontId="5" fillId="6" borderId="1" xfId="0" applyNumberFormat="1" applyFont="1" applyFill="1" applyBorder="1"/>
    <xf numFmtId="2" fontId="4" fillId="6" borderId="1" xfId="0" applyNumberFormat="1" applyFont="1" applyFill="1" applyBorder="1"/>
    <xf numFmtId="2" fontId="15" fillId="0" borderId="0" xfId="0" applyNumberFormat="1" applyFont="1"/>
    <xf numFmtId="2" fontId="5" fillId="6" borderId="1" xfId="0" applyNumberFormat="1" applyFont="1" applyFill="1" applyBorder="1" applyAlignment="1">
      <alignment horizontal="left" vertical="center" wrapText="1"/>
    </xf>
    <xf numFmtId="2" fontId="5" fillId="6" borderId="0" xfId="0" applyNumberFormat="1" applyFont="1" applyFill="1" applyAlignment="1">
      <alignment horizontal="left" vertical="center" wrapText="1"/>
    </xf>
    <xf numFmtId="2" fontId="15" fillId="6" borderId="0" xfId="0" applyNumberFormat="1" applyFont="1" applyFill="1"/>
    <xf numFmtId="2" fontId="5" fillId="0" borderId="0" xfId="0" applyNumberFormat="1" applyFont="1"/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0" fillId="5" borderId="0" xfId="0" applyFill="1" applyAlignment="1">
      <alignment vertical="center" wrapText="1"/>
    </xf>
    <xf numFmtId="0" fontId="16" fillId="0" borderId="1" xfId="0" applyFont="1" applyBorder="1" applyAlignment="1" applyProtection="1">
      <alignment horizontal="left" vertical="center" wrapText="1"/>
      <protection locked="0"/>
    </xf>
    <xf numFmtId="0" fontId="16" fillId="0" borderId="6" xfId="0" applyFont="1" applyBorder="1" applyAlignment="1" applyProtection="1">
      <alignment horizontal="left" vertical="center" wrapText="1"/>
      <protection locked="0"/>
    </xf>
    <xf numFmtId="0" fontId="16" fillId="0" borderId="6" xfId="0" applyFont="1" applyBorder="1" applyAlignment="1">
      <alignment horizontal="center" vertical="center" wrapText="1"/>
    </xf>
    <xf numFmtId="0" fontId="5" fillId="0" borderId="1" xfId="5" applyFont="1" applyBorder="1" applyAlignment="1" applyProtection="1">
      <alignment horizontal="left" vertical="center" wrapText="1"/>
      <protection locked="0"/>
    </xf>
    <xf numFmtId="0" fontId="5" fillId="0" borderId="1" xfId="5" applyFont="1" applyBorder="1" applyAlignment="1" applyProtection="1">
      <alignment horizontal="center" vertical="center" wrapText="1"/>
      <protection locked="0"/>
    </xf>
    <xf numFmtId="0" fontId="5" fillId="4" borderId="1" xfId="5" applyFont="1" applyFill="1" applyBorder="1" applyAlignment="1" applyProtection="1">
      <alignment horizontal="center" vertical="center" wrapText="1"/>
      <protection locked="0"/>
    </xf>
    <xf numFmtId="2" fontId="5" fillId="0" borderId="1" xfId="5" applyNumberFormat="1" applyFont="1" applyBorder="1" applyAlignment="1" applyProtection="1">
      <alignment horizontal="center" vertical="center" wrapText="1"/>
      <protection locked="0"/>
    </xf>
    <xf numFmtId="0" fontId="8" fillId="0" borderId="1" xfId="5" applyFont="1" applyBorder="1" applyAlignment="1" applyProtection="1">
      <alignment horizontal="center" vertical="center" wrapText="1"/>
      <protection locked="0"/>
    </xf>
    <xf numFmtId="2" fontId="5" fillId="5" borderId="1" xfId="5" applyNumberFormat="1" applyFont="1" applyFill="1" applyBorder="1" applyAlignment="1">
      <alignment horizontal="center" vertical="center" wrapText="1"/>
    </xf>
    <xf numFmtId="2" fontId="5" fillId="6" borderId="1" xfId="5" applyNumberFormat="1" applyFont="1" applyFill="1" applyBorder="1" applyAlignment="1" applyProtection="1">
      <alignment horizontal="center" vertical="center" wrapText="1"/>
      <protection locked="0"/>
    </xf>
    <xf numFmtId="2" fontId="8" fillId="0" borderId="1" xfId="5" applyNumberFormat="1" applyFont="1" applyBorder="1" applyAlignment="1" applyProtection="1">
      <alignment horizontal="center" vertical="center"/>
      <protection locked="0"/>
    </xf>
    <xf numFmtId="1" fontId="5" fillId="0" borderId="1" xfId="5" applyNumberFormat="1" applyFont="1" applyBorder="1" applyAlignment="1" applyProtection="1">
      <alignment horizontal="center" vertical="center"/>
      <protection locked="0"/>
    </xf>
    <xf numFmtId="165" fontId="2" fillId="7" borderId="1" xfId="5" applyNumberFormat="1" applyFill="1" applyBorder="1" applyAlignment="1">
      <alignment vertical="center" wrapText="1"/>
    </xf>
    <xf numFmtId="14" fontId="5" fillId="0" borderId="1" xfId="5" applyNumberFormat="1" applyFont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4" borderId="11" xfId="0" applyFont="1" applyFill="1" applyBorder="1" applyAlignment="1" applyProtection="1">
      <alignment horizontal="center" vertical="center" wrapText="1"/>
      <protection locked="0"/>
    </xf>
    <xf numFmtId="2" fontId="5" fillId="0" borderId="11" xfId="0" applyNumberFormat="1" applyFont="1" applyBorder="1" applyAlignment="1" applyProtection="1">
      <alignment horizontal="center" vertical="center" wrapText="1"/>
      <protection locked="0"/>
    </xf>
    <xf numFmtId="0" fontId="8" fillId="0" borderId="11" xfId="0" applyFont="1" applyBorder="1" applyAlignment="1" applyProtection="1">
      <alignment horizontal="center" vertical="center" wrapText="1"/>
      <protection locked="0"/>
    </xf>
    <xf numFmtId="2" fontId="5" fillId="5" borderId="11" xfId="0" applyNumberFormat="1" applyFont="1" applyFill="1" applyBorder="1" applyAlignment="1">
      <alignment horizontal="center" vertical="center" wrapText="1"/>
    </xf>
    <xf numFmtId="2" fontId="5" fillId="6" borderId="11" xfId="0" applyNumberFormat="1" applyFont="1" applyFill="1" applyBorder="1" applyAlignment="1" applyProtection="1">
      <alignment horizontal="center" vertical="center" wrapText="1"/>
      <protection locked="0"/>
    </xf>
    <xf numFmtId="2" fontId="8" fillId="0" borderId="11" xfId="0" applyNumberFormat="1" applyFont="1" applyBorder="1" applyAlignment="1" applyProtection="1">
      <alignment horizontal="center" vertical="center"/>
      <protection locked="0"/>
    </xf>
    <xf numFmtId="1" fontId="5" fillId="0" borderId="11" xfId="0" applyNumberFormat="1" applyFont="1" applyBorder="1" applyAlignment="1" applyProtection="1">
      <alignment horizontal="center" vertical="center"/>
      <protection locked="0"/>
    </xf>
    <xf numFmtId="10" fontId="5" fillId="5" borderId="11" xfId="0" applyNumberFormat="1" applyFont="1" applyFill="1" applyBorder="1" applyAlignment="1">
      <alignment horizontal="center" vertical="center" wrapText="1"/>
    </xf>
    <xf numFmtId="165" fontId="0" fillId="7" borderId="11" xfId="0" applyNumberFormat="1" applyFill="1" applyBorder="1" applyAlignment="1">
      <alignment vertical="center" wrapText="1"/>
    </xf>
    <xf numFmtId="0" fontId="5" fillId="0" borderId="11" xfId="0" applyFont="1" applyBorder="1" applyAlignment="1" applyProtection="1">
      <alignment horizontal="left" vertical="center" wrapText="1"/>
      <protection locked="0"/>
    </xf>
    <xf numFmtId="14" fontId="5" fillId="0" borderId="11" xfId="0" applyNumberFormat="1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8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1" xfId="1" applyFont="1" applyFill="1" applyBorder="1" applyAlignment="1" applyProtection="1">
      <alignment horizontal="center" vertical="center" wrapText="1"/>
      <protection locked="0"/>
    </xf>
    <xf numFmtId="0" fontId="4" fillId="0" borderId="0" xfId="1" applyFont="1" applyAlignment="1" applyProtection="1">
      <alignment horizontal="center" vertical="center" wrapText="1"/>
      <protection locked="0"/>
    </xf>
    <xf numFmtId="0" fontId="4" fillId="2" borderId="2" xfId="1" applyFont="1" applyFill="1" applyBorder="1" applyAlignment="1" applyProtection="1">
      <alignment horizontal="center" vertical="center" wrapText="1"/>
      <protection locked="0"/>
    </xf>
    <xf numFmtId="0" fontId="4" fillId="2" borderId="3" xfId="1" applyFont="1" applyFill="1" applyBorder="1" applyAlignment="1" applyProtection="1">
      <alignment horizontal="center" vertical="center" wrapText="1"/>
      <protection locked="0"/>
    </xf>
    <xf numFmtId="0" fontId="4" fillId="8" borderId="2" xfId="0" applyFont="1" applyFill="1" applyBorder="1" applyAlignment="1" applyProtection="1">
      <alignment horizontal="center" vertical="center" wrapText="1"/>
      <protection locked="0"/>
    </xf>
    <xf numFmtId="0" fontId="4" fillId="8" borderId="3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horizontal="center" vertical="center" wrapText="1"/>
      <protection locked="0"/>
    </xf>
  </cellXfs>
  <cellStyles count="11">
    <cellStyle name="Normal" xfId="0" builtinId="0"/>
    <cellStyle name="Normal 2" xfId="2" xr:uid="{00000000-0005-0000-0000-000021000000}"/>
    <cellStyle name="Normal 3" xfId="3" xr:uid="{00000000-0005-0000-0000-000026000000}"/>
    <cellStyle name="Normal 3 2" xfId="6" xr:uid="{39995681-A1B5-4ABB-8307-7A321DE85478}"/>
    <cellStyle name="Normal 3 2 2" xfId="10" xr:uid="{FC5B247C-9876-4689-8D02-46BD21032F28}"/>
    <cellStyle name="Normal 3 3" xfId="8" xr:uid="{ACA820A7-99F8-4003-BCF2-6BE2C236F83C}"/>
    <cellStyle name="Normal 4" xfId="1" xr:uid="{00000000-0005-0000-0000-000016000000}"/>
    <cellStyle name="Normal 4 2" xfId="5" xr:uid="{DD5A2ACD-3A11-44A4-B3B5-194231D6BB9C}"/>
    <cellStyle name="Normal 4 2 2" xfId="9" xr:uid="{AC431B95-279A-4726-92FE-DB09E7098B55}"/>
    <cellStyle name="Normal 4 3" xfId="7" xr:uid="{A8CBA58F-AFF8-42B7-96F9-8D03FB14A384}"/>
    <cellStyle name="Percent 2" xfId="4" xr:uid="{00000000-0005-0000-0000-00002E000000}"/>
  </cellStyles>
  <dxfs count="0"/>
  <tableStyles count="0" defaultTableStyle="TableStyleMedium2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234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35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43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44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46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47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51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53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54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55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56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57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58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59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60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63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64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65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66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67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68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69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70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71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72.xml.rels><?xml version="1.0" encoding="UTF-8" standalone="yes"?>
<Relationships xmlns="http://schemas.openxmlformats.org/package/2006/relationships"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73.xml.rels><?xml version="1.0" encoding="UTF-8" standalone="yes"?>
<Relationships xmlns="http://schemas.openxmlformats.org/package/2006/relationships"><Relationship Id="rId2" Type="http://schemas.microsoft.com/office/2011/relationships/chartColorStyle" Target="colors234.xml"/><Relationship Id="rId1" Type="http://schemas.microsoft.com/office/2011/relationships/chartStyle" Target="style234.xml"/></Relationships>
</file>

<file path=xl/charts/_rels/chart275.xml.rels><?xml version="1.0" encoding="UTF-8" standalone="yes"?>
<Relationships xmlns="http://schemas.openxmlformats.org/package/2006/relationships"><Relationship Id="rId2" Type="http://schemas.microsoft.com/office/2011/relationships/chartColorStyle" Target="colors235.xml"/><Relationship Id="rId1" Type="http://schemas.microsoft.com/office/2011/relationships/chartStyle" Target="style235.xml"/></Relationships>
</file>

<file path=xl/charts/_rels/chart276.xml.rels><?xml version="1.0" encoding="UTF-8" standalone="yes"?>
<Relationships xmlns="http://schemas.openxmlformats.org/package/2006/relationships"><Relationship Id="rId2" Type="http://schemas.microsoft.com/office/2011/relationships/chartColorStyle" Target="colors236.xml"/><Relationship Id="rId1" Type="http://schemas.microsoft.com/office/2011/relationships/chartStyle" Target="style236.xml"/></Relationships>
</file>

<file path=xl/charts/_rels/chart277.xml.rels><?xml version="1.0" encoding="UTF-8" standalone="yes"?>
<Relationships xmlns="http://schemas.openxmlformats.org/package/2006/relationships"><Relationship Id="rId2" Type="http://schemas.microsoft.com/office/2011/relationships/chartColorStyle" Target="colors237.xml"/><Relationship Id="rId1" Type="http://schemas.microsoft.com/office/2011/relationships/chartStyle" Target="style237.xml"/></Relationships>
</file>

<file path=xl/charts/_rels/chart278.xml.rels><?xml version="1.0" encoding="UTF-8" standalone="yes"?>
<Relationships xmlns="http://schemas.openxmlformats.org/package/2006/relationships"><Relationship Id="rId2" Type="http://schemas.microsoft.com/office/2011/relationships/chartColorStyle" Target="colors238.xml"/><Relationship Id="rId1" Type="http://schemas.microsoft.com/office/2011/relationships/chartStyle" Target="style23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'EffortSavings 2021'!$N$1</c:f>
              <c:strCache>
                <c:ptCount val="1"/>
                <c:pt idx="0">
                  <c:v>Cumulative Effort Savings per Application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'EffortSavings 2021'!$A$2:$A$29</c:f>
              <c:strCache>
                <c:ptCount val="28"/>
                <c:pt idx="1">
                  <c:v>Recap</c:v>
                </c:pt>
                <c:pt idx="2">
                  <c:v>ALF</c:v>
                </c:pt>
                <c:pt idx="3">
                  <c:v>Promotional Order Portal(SF)</c:v>
                </c:pt>
                <c:pt idx="4">
                  <c:v>Medea</c:v>
                </c:pt>
                <c:pt idx="5">
                  <c:v>#REF!</c:v>
                </c:pt>
                <c:pt idx="6">
                  <c:v>CompassRePlatform</c:v>
                </c:pt>
                <c:pt idx="7">
                  <c:v>GTM</c:v>
                </c:pt>
                <c:pt idx="8">
                  <c:v>TBT and RSG</c:v>
                </c:pt>
                <c:pt idx="9">
                  <c:v>0</c:v>
                </c:pt>
                <c:pt idx="10">
                  <c:v>USH EzRez</c:v>
                </c:pt>
                <c:pt idx="11">
                  <c:v>USH OmniBasket</c:v>
                </c:pt>
                <c:pt idx="12">
                  <c:v>TicketingPOS</c:v>
                </c:pt>
                <c:pt idx="13">
                  <c:v>WideOrbit</c:v>
                </c:pt>
                <c:pt idx="14">
                  <c:v>#REF!</c:v>
                </c:pt>
                <c:pt idx="15">
                  <c:v>CAR</c:v>
                </c:pt>
                <c:pt idx="16">
                  <c:v>KAM</c:v>
                </c:pt>
                <c:pt idx="17">
                  <c:v>Finance</c:v>
                </c:pt>
                <c:pt idx="18">
                  <c:v>Score</c:v>
                </c:pt>
                <c:pt idx="19">
                  <c:v>DeptSystems</c:v>
                </c:pt>
                <c:pt idx="20">
                  <c:v>Sphere</c:v>
                </c:pt>
                <c:pt idx="21">
                  <c:v>CAFÉ</c:v>
                </c:pt>
                <c:pt idx="22">
                  <c:v>SAFE</c:v>
                </c:pt>
                <c:pt idx="23">
                  <c:v>PDM</c:v>
                </c:pt>
                <c:pt idx="24">
                  <c:v>ProM</c:v>
                </c:pt>
                <c:pt idx="25">
                  <c:v>AssetTracker</c:v>
                </c:pt>
                <c:pt idx="26">
                  <c:v>APAR</c:v>
                </c:pt>
                <c:pt idx="27">
                  <c:v>TVROCS</c:v>
                </c:pt>
              </c:strCache>
            </c:strRef>
          </c:cat>
          <c:val>
            <c:numRef>
              <c:f>'EffortSavings 2021'!$N$2:$N$29</c:f>
              <c:numCache>
                <c:formatCode>0.00</c:formatCode>
                <c:ptCount val="28"/>
                <c:pt idx="1">
                  <c:v>0</c:v>
                </c:pt>
                <c:pt idx="2">
                  <c:v>13</c:v>
                </c:pt>
                <c:pt idx="3">
                  <c:v>1.6</c:v>
                </c:pt>
                <c:pt idx="4">
                  <c:v>176</c:v>
                </c:pt>
                <c:pt idx="5">
                  <c:v>0</c:v>
                </c:pt>
                <c:pt idx="6">
                  <c:v>0</c:v>
                </c:pt>
                <c:pt idx="7">
                  <c:v>2221.6</c:v>
                </c:pt>
                <c:pt idx="8">
                  <c:v>259.2</c:v>
                </c:pt>
                <c:pt idx="9">
                  <c:v>436.8</c:v>
                </c:pt>
                <c:pt idx="10">
                  <c:v>19</c:v>
                </c:pt>
                <c:pt idx="11">
                  <c:v>8743</c:v>
                </c:pt>
                <c:pt idx="12">
                  <c:v>5.333333333333333</c:v>
                </c:pt>
                <c:pt idx="13">
                  <c:v>418.5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44</c:v>
                </c:pt>
                <c:pt idx="19">
                  <c:v>45</c:v>
                </c:pt>
                <c:pt idx="20">
                  <c:v>25</c:v>
                </c:pt>
                <c:pt idx="21">
                  <c:v>291</c:v>
                </c:pt>
                <c:pt idx="22">
                  <c:v>603.33333333333326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C-45F9-A4B7-9136B4772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01771680"/>
        <c:axId val="801766584"/>
      </c:barChart>
      <c:catAx>
        <c:axId val="80177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66584"/>
        <c:crosses val="autoZero"/>
        <c:auto val="1"/>
        <c:lblAlgn val="ctr"/>
        <c:lblOffset val="100"/>
        <c:noMultiLvlLbl val="0"/>
      </c:catAx>
      <c:valAx>
        <c:axId val="80176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7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SAMPLE!$C$3:$C$4</c:f>
              <c:strCache>
                <c:ptCount val="2"/>
                <c:pt idx="0">
                  <c:v>Jan Regression</c:v>
                </c:pt>
                <c:pt idx="1">
                  <c:v>Jan Regression</c:v>
                </c:pt>
              </c:strCache>
            </c:strRef>
          </c:cat>
          <c:val>
            <c:numRef>
              <c:f>SAMPLE!$AC$3:$AC$4</c:f>
              <c:numCache>
                <c:formatCode>0.00%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3-4254-B0C1-8B766E1919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72072"/>
        <c:axId val="801768936"/>
      </c:barChart>
      <c:catAx>
        <c:axId val="80177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68936"/>
        <c:crosses val="autoZero"/>
        <c:auto val="1"/>
        <c:lblAlgn val="ctr"/>
        <c:lblOffset val="100"/>
        <c:noMultiLvlLbl val="0"/>
      </c:catAx>
      <c:valAx>
        <c:axId val="801768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7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POP!$R$1</c:f>
              <c:strCache>
                <c:ptCount val="1"/>
                <c:pt idx="0">
                  <c:v>Manual Effort For Execution (PH)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POP!$G$3:$G$3</c:f>
              <c:strCache>
                <c:ptCount val="1"/>
                <c:pt idx="0">
                  <c:v>June</c:v>
                </c:pt>
              </c:strCache>
            </c:strRef>
          </c:cat>
          <c:val>
            <c:numRef>
              <c:f>POP!$R$3:$R$3</c:f>
              <c:numCache>
                <c:formatCode>0.00</c:formatCode>
                <c:ptCount val="1"/>
                <c:pt idx="0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D-456E-ACC3-7B9445F80D12}"/>
            </c:ext>
          </c:extLst>
        </c:ser>
        <c:ser>
          <c:idx val="1"/>
          <c:order val="1"/>
          <c:tx>
            <c:strRef>
              <c:f>POP!$X$1</c:f>
              <c:strCache>
                <c:ptCount val="1"/>
                <c:pt idx="0">
                  <c:v>Test Execution effort spent after automation
(PH)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POP!$G$3:$G$3</c:f>
              <c:strCache>
                <c:ptCount val="1"/>
                <c:pt idx="0">
                  <c:v>June</c:v>
                </c:pt>
              </c:strCache>
            </c:strRef>
          </c:cat>
          <c:val>
            <c:numRef>
              <c:f>POP!$X$3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D-456E-ACC3-7B9445F80D12}"/>
            </c:ext>
          </c:extLst>
        </c:ser>
        <c:ser>
          <c:idx val="2"/>
          <c:order val="2"/>
          <c:tx>
            <c:strRef>
              <c:f>POP!$Y$1</c:f>
              <c:strCache>
                <c:ptCount val="1"/>
                <c:pt idx="0">
                  <c:v>Effort Savings Per Cycle (PH)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POP!$G$3:$G$3</c:f>
              <c:strCache>
                <c:ptCount val="1"/>
                <c:pt idx="0">
                  <c:v>June</c:v>
                </c:pt>
              </c:strCache>
            </c:strRef>
          </c:cat>
          <c:val>
            <c:numRef>
              <c:f>POP!$Y$3:$Y$3</c:f>
              <c:numCache>
                <c:formatCode>0.00</c:formatCode>
                <c:ptCount val="1"/>
                <c:pt idx="0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FD-456E-ACC3-7B9445F80D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681472"/>
        <c:axId val="971678728"/>
      </c:barChart>
      <c:catAx>
        <c:axId val="9716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78728"/>
        <c:crosses val="autoZero"/>
        <c:auto val="1"/>
        <c:lblAlgn val="ctr"/>
        <c:lblOffset val="100"/>
        <c:noMultiLvlLbl val="0"/>
      </c:catAx>
      <c:valAx>
        <c:axId val="97167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8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POP!$AD$2</c:f>
              <c:strCache>
                <c:ptCount val="1"/>
                <c:pt idx="0">
                  <c:v>Effort Savings 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POP!$G$3:$G$3</c:f>
              <c:strCache>
                <c:ptCount val="1"/>
                <c:pt idx="0">
                  <c:v>June</c:v>
                </c:pt>
              </c:strCache>
            </c:strRef>
          </c:cat>
          <c:val>
            <c:numRef>
              <c:f>POP!$AD$3:$AD$3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3-473A-852B-AB95266071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674416"/>
        <c:axId val="971684608"/>
      </c:barChart>
      <c:catAx>
        <c:axId val="97167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84608"/>
        <c:crosses val="autoZero"/>
        <c:auto val="1"/>
        <c:lblAlgn val="ctr"/>
        <c:lblOffset val="100"/>
        <c:noMultiLvlLbl val="0"/>
      </c:catAx>
      <c:valAx>
        <c:axId val="971684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7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POP!$AE$2</c:f>
              <c:strCache>
                <c:ptCount val="1"/>
                <c:pt idx="0">
                  <c:v>Cost Savings Per Cycle ($)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POP!$G$3:$G$3</c:f>
              <c:strCache>
                <c:ptCount val="1"/>
                <c:pt idx="0">
                  <c:v>June</c:v>
                </c:pt>
              </c:strCache>
            </c:strRef>
          </c:cat>
          <c:val>
            <c:numRef>
              <c:f>POP!$AE$3:$AE$3</c:f>
              <c:numCache>
                <c:formatCode>"$"#,##0.00_);[Red]\("$"#,##0.00\)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3-4420-A4E9-351EB3FF05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683432"/>
        <c:axId val="971685000"/>
      </c:barChart>
      <c:catAx>
        <c:axId val="97168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85000"/>
        <c:crosses val="autoZero"/>
        <c:auto val="1"/>
        <c:lblAlgn val="ctr"/>
        <c:lblOffset val="100"/>
        <c:noMultiLvlLbl val="0"/>
      </c:catAx>
      <c:valAx>
        <c:axId val="971685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8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Month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98250468603"/>
          <c:y val="0.21747703412073499"/>
          <c:w val="0.84600483612867095"/>
          <c:h val="0.5478069762467899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POP!$O$44:$O$55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POP!$S$44:$S$55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E-4A3F-9ED2-D277FCFE81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674808"/>
        <c:axId val="971681080"/>
      </c:barChart>
      <c:catAx>
        <c:axId val="97167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81080"/>
        <c:crosses val="autoZero"/>
        <c:auto val="1"/>
        <c:lblAlgn val="ctr"/>
        <c:lblOffset val="100"/>
        <c:noMultiLvlLbl val="0"/>
      </c:catAx>
      <c:valAx>
        <c:axId val="97168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7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- Per Month  (%)</a:t>
            </a:r>
          </a:p>
        </c:rich>
      </c:tx>
      <c:layout>
        <c:manualLayout>
          <c:xMode val="edge"/>
          <c:yMode val="edge"/>
          <c:x val="0.154602479941648"/>
          <c:y val="4.826098935028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POP!$O$44:$O$55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POP!$R$44:$R$55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C-4486-A875-44B0B0E5D3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675592"/>
        <c:axId val="971679904"/>
      </c:barChart>
      <c:catAx>
        <c:axId val="97167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79904"/>
        <c:crosses val="autoZero"/>
        <c:auto val="1"/>
        <c:lblAlgn val="ctr"/>
        <c:lblOffset val="100"/>
        <c:noMultiLvlLbl val="0"/>
      </c:catAx>
      <c:valAx>
        <c:axId val="9716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7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TicketingPOS!$AA$2</c:f>
              <c:strCache>
                <c:ptCount val="1"/>
                <c:pt idx="0">
                  <c:v>Testcases Completed /Testcases Automatable(%)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TicketingPOS!$C$3:$C$3</c:f>
              <c:strCache>
                <c:ptCount val="1"/>
                <c:pt idx="0">
                  <c:v>November</c:v>
                </c:pt>
              </c:strCache>
            </c:strRef>
          </c:cat>
          <c:val>
            <c:numRef>
              <c:f>TicketingPOS!$AA$3:$AA$3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7-4B09-B8E8-3097D66ED8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680296"/>
        <c:axId val="971677944"/>
      </c:barChart>
      <c:catAx>
        <c:axId val="97168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77944"/>
        <c:crosses val="autoZero"/>
        <c:auto val="1"/>
        <c:lblAlgn val="ctr"/>
        <c:lblOffset val="100"/>
        <c:noMultiLvlLbl val="0"/>
      </c:catAx>
      <c:valAx>
        <c:axId val="97167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8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TicketingPOS!$C$3:$C$3</c:f>
              <c:strCache>
                <c:ptCount val="1"/>
                <c:pt idx="0">
                  <c:v>November</c:v>
                </c:pt>
              </c:strCache>
            </c:strRef>
          </c:cat>
          <c:val>
            <c:numRef>
              <c:f>TicketingPOS!$AB$3:$AB$3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D-494F-905F-C6470449D1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675984"/>
        <c:axId val="971681864"/>
      </c:barChart>
      <c:catAx>
        <c:axId val="97167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81864"/>
        <c:crosses val="autoZero"/>
        <c:auto val="1"/>
        <c:lblAlgn val="ctr"/>
        <c:lblOffset val="100"/>
        <c:noMultiLvlLbl val="0"/>
      </c:catAx>
      <c:valAx>
        <c:axId val="971681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7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TicketingPOS!$C$3:$C$3</c:f>
              <c:strCache>
                <c:ptCount val="1"/>
                <c:pt idx="0">
                  <c:v>November</c:v>
                </c:pt>
              </c:strCache>
            </c:strRef>
          </c:cat>
          <c:val>
            <c:numRef>
              <c:f>TicketingPOS!$AC$3:$AC$3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B-4349-BB92-1DEFE21ECF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676376"/>
        <c:axId val="971678336"/>
      </c:barChart>
      <c:catAx>
        <c:axId val="97167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78336"/>
        <c:crosses val="autoZero"/>
        <c:auto val="1"/>
        <c:lblAlgn val="ctr"/>
        <c:lblOffset val="100"/>
        <c:noMultiLvlLbl val="0"/>
      </c:catAx>
      <c:valAx>
        <c:axId val="9716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7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534127123171101"/>
          <c:y val="0.23637457689444599"/>
          <c:w val="0.85735832001453205"/>
          <c:h val="0.624908481132871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TicketingPOS!$R$1</c:f>
              <c:strCache>
                <c:ptCount val="1"/>
                <c:pt idx="0">
                  <c:v>Manual Effort For Execution (PH)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TicketingPOS!$G$3:$G$3</c:f>
              <c:strCache>
                <c:ptCount val="1"/>
                <c:pt idx="0">
                  <c:v>November</c:v>
                </c:pt>
              </c:strCache>
            </c:strRef>
          </c:cat>
          <c:val>
            <c:numRef>
              <c:f>TicketingPOS!$R$3:$R$3</c:f>
              <c:numCache>
                <c:formatCode>0.00</c:formatCode>
                <c:ptCount val="1"/>
                <c:pt idx="0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3-4646-B19B-572495485B44}"/>
            </c:ext>
          </c:extLst>
        </c:ser>
        <c:ser>
          <c:idx val="1"/>
          <c:order val="1"/>
          <c:tx>
            <c:strRef>
              <c:f>TicketingPOS!$X$1</c:f>
              <c:strCache>
                <c:ptCount val="1"/>
                <c:pt idx="0">
                  <c:v>Test Execution effort spent after automation
(PH)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TicketingPOS!$G$3:$G$3</c:f>
              <c:strCache>
                <c:ptCount val="1"/>
                <c:pt idx="0">
                  <c:v>November</c:v>
                </c:pt>
              </c:strCache>
            </c:strRef>
          </c:cat>
          <c:val>
            <c:numRef>
              <c:f>TicketingPOS!$X$3:$X$3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3-4646-B19B-572495485B44}"/>
            </c:ext>
          </c:extLst>
        </c:ser>
        <c:ser>
          <c:idx val="2"/>
          <c:order val="2"/>
          <c:tx>
            <c:strRef>
              <c:f>TicketingPOS!$Y$1</c:f>
              <c:strCache>
                <c:ptCount val="1"/>
                <c:pt idx="0">
                  <c:v>Effort Savings Per Cycle (PH)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TicketingPOS!$G$3:$G$3</c:f>
              <c:strCache>
                <c:ptCount val="1"/>
                <c:pt idx="0">
                  <c:v>November</c:v>
                </c:pt>
              </c:strCache>
            </c:strRef>
          </c:cat>
          <c:val>
            <c:numRef>
              <c:f>TicketingPOS!$Y$3:$Y$3</c:f>
              <c:numCache>
                <c:formatCode>0.00</c:formatCode>
                <c:ptCount val="1"/>
                <c:pt idx="0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13-4646-B19B-572495485B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687352"/>
        <c:axId val="971686568"/>
      </c:barChart>
      <c:catAx>
        <c:axId val="97168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86568"/>
        <c:crosses val="autoZero"/>
        <c:auto val="1"/>
        <c:lblAlgn val="ctr"/>
        <c:lblOffset val="100"/>
        <c:noMultiLvlLbl val="0"/>
      </c:catAx>
      <c:valAx>
        <c:axId val="97168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8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TicketingPOS!$AD$2</c:f>
              <c:strCache>
                <c:ptCount val="1"/>
                <c:pt idx="0">
                  <c:v>Effort Savings 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TicketingPOS!$C$3:$C$3</c:f>
              <c:strCache>
                <c:ptCount val="1"/>
                <c:pt idx="0">
                  <c:v>November</c:v>
                </c:pt>
              </c:strCache>
            </c:strRef>
          </c:cat>
          <c:val>
            <c:numRef>
              <c:f>TicketingPOS!$AD$3:$AD$3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F-4434-B89C-D0DA696C48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686960"/>
        <c:axId val="971688136"/>
      </c:barChart>
      <c:catAx>
        <c:axId val="97168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88136"/>
        <c:crosses val="autoZero"/>
        <c:auto val="1"/>
        <c:lblAlgn val="ctr"/>
        <c:lblOffset val="100"/>
        <c:noMultiLvlLbl val="0"/>
      </c:catAx>
      <c:valAx>
        <c:axId val="971688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8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SAMPLE!$C$3:$C$4</c:f>
              <c:strCache>
                <c:ptCount val="2"/>
                <c:pt idx="0">
                  <c:v>Jan Regression</c:v>
                </c:pt>
                <c:pt idx="1">
                  <c:v>Jan Regression</c:v>
                </c:pt>
              </c:strCache>
            </c:strRef>
          </c:cat>
          <c:val>
            <c:numRef>
              <c:f>SAMPLE!$AD$3:$AD$4</c:f>
              <c:numCache>
                <c:formatCode>0.00%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B-461C-B5AD-0AF49D044B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80696"/>
        <c:axId val="801782264"/>
      </c:barChart>
      <c:catAx>
        <c:axId val="80178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82264"/>
        <c:crosses val="autoZero"/>
        <c:auto val="1"/>
        <c:lblAlgn val="ctr"/>
        <c:lblOffset val="100"/>
        <c:noMultiLvlLbl val="0"/>
      </c:catAx>
      <c:valAx>
        <c:axId val="80178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8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TicketingPOS!$AE$2</c:f>
              <c:strCache>
                <c:ptCount val="1"/>
                <c:pt idx="0">
                  <c:v>Cost Savings Per Cycle ($)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TicketingPOS!$C$3:$C$3</c:f>
              <c:strCache>
                <c:ptCount val="1"/>
                <c:pt idx="0">
                  <c:v>November</c:v>
                </c:pt>
              </c:strCache>
            </c:strRef>
          </c:cat>
          <c:val>
            <c:numRef>
              <c:f>TicketingPOS!$AE$3:$AE$3</c:f>
              <c:numCache>
                <c:formatCode>"$"#,##0.00_);[Red]\("$"#,##0.00\)</c:formatCode>
                <c:ptCount val="1"/>
                <c:pt idx="0">
                  <c:v>133.33333333333331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8-4B53-8B63-EA7CAB5A39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693232"/>
        <c:axId val="971688528"/>
      </c:barChart>
      <c:catAx>
        <c:axId val="971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88528"/>
        <c:crosses val="autoZero"/>
        <c:auto val="1"/>
        <c:lblAlgn val="ctr"/>
        <c:lblOffset val="100"/>
        <c:noMultiLvlLbl val="0"/>
      </c:catAx>
      <c:valAx>
        <c:axId val="971688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9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Month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98250468603"/>
          <c:y val="0.21747703412073499"/>
          <c:w val="0.84600483612867095"/>
          <c:h val="0.5478069762467899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TicketingPOS!$O$44:$O$55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TicketingPOS!$S$44:$S$55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133.33333333333331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D-440B-B7B2-097DCA32DD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689312"/>
        <c:axId val="971690096"/>
      </c:barChart>
      <c:catAx>
        <c:axId val="97168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90096"/>
        <c:crosses val="autoZero"/>
        <c:auto val="1"/>
        <c:lblAlgn val="ctr"/>
        <c:lblOffset val="100"/>
        <c:noMultiLvlLbl val="0"/>
      </c:catAx>
      <c:valAx>
        <c:axId val="9716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8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- Per Month  (%)</a:t>
            </a:r>
          </a:p>
        </c:rich>
      </c:tx>
      <c:layout>
        <c:manualLayout>
          <c:xMode val="edge"/>
          <c:yMode val="edge"/>
          <c:x val="0.154602479941648"/>
          <c:y val="4.826098935028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TicketingPOS!$O$44:$O$55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TicketingPOS!$R$44:$R$55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3-4260-9726-5BD8FD4DB2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690488"/>
        <c:axId val="971690880"/>
      </c:barChart>
      <c:catAx>
        <c:axId val="97169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90880"/>
        <c:crosses val="autoZero"/>
        <c:auto val="1"/>
        <c:lblAlgn val="ctr"/>
        <c:lblOffset val="100"/>
        <c:noMultiLvlLbl val="0"/>
      </c:catAx>
      <c:valAx>
        <c:axId val="9716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9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layout>
        <c:manualLayout>
          <c:xMode val="edge"/>
          <c:yMode val="edge"/>
          <c:x val="8.3309453511621695E-2"/>
          <c:y val="0.2494975056388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USH_EzRez!$C$3:$C$3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USH_EzRez!$AB$3:$AB$3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0-45A1-8189-F9F6E39FFD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692056"/>
        <c:axId val="971691272"/>
      </c:barChart>
      <c:catAx>
        <c:axId val="97169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91272"/>
        <c:crosses val="autoZero"/>
        <c:auto val="1"/>
        <c:lblAlgn val="ctr"/>
        <c:lblOffset val="100"/>
        <c:noMultiLvlLbl val="0"/>
      </c:catAx>
      <c:valAx>
        <c:axId val="97169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9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USH_EzRez!$C$3:$C$3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USH_EzRez!$AA$3:$AA$3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B-4C7C-97F2-C446D138F8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661088"/>
        <c:axId val="971661480"/>
      </c:barChart>
      <c:catAx>
        <c:axId val="9716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61480"/>
        <c:crosses val="autoZero"/>
        <c:auto val="1"/>
        <c:lblAlgn val="ctr"/>
        <c:lblOffset val="100"/>
        <c:noMultiLvlLbl val="0"/>
      </c:catAx>
      <c:valAx>
        <c:axId val="971661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6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USH_EzRez!$C$3:$C$3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USH_EzRez!$AC$3:$AC$3</c:f>
              <c:numCache>
                <c:formatCode>0.00%</c:formatCode>
                <c:ptCount val="1"/>
                <c:pt idx="0">
                  <c:v>0.38167938931297712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A-4806-8C0B-5E63E5A3C4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670104"/>
        <c:axId val="971666968"/>
      </c:barChart>
      <c:catAx>
        <c:axId val="97167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66968"/>
        <c:crosses val="autoZero"/>
        <c:auto val="1"/>
        <c:lblAlgn val="ctr"/>
        <c:lblOffset val="100"/>
        <c:noMultiLvlLbl val="0"/>
      </c:catAx>
      <c:valAx>
        <c:axId val="9716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7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USH_EzRez!$C$3:$C$3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USH_EzRez!$Y$3:$Y$3</c:f>
              <c:numCache>
                <c:formatCode>0.00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8-40AD-93F8-A7AC95BB10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672456"/>
        <c:axId val="971668144"/>
      </c:barChart>
      <c:catAx>
        <c:axId val="97167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68144"/>
        <c:crosses val="autoZero"/>
        <c:auto val="1"/>
        <c:lblAlgn val="ctr"/>
        <c:lblOffset val="100"/>
        <c:noMultiLvlLbl val="0"/>
      </c:catAx>
      <c:valAx>
        <c:axId val="9716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72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USH_EzRez!$C$3:$C$3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USH_EzRez!$AD$3:$AD$3</c:f>
              <c:numCache>
                <c:formatCode>0.00%</c:formatCode>
                <c:ptCount val="1"/>
                <c:pt idx="0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C-4532-83E9-8565C7B587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662656"/>
        <c:axId val="971664616"/>
      </c:barChart>
      <c:catAx>
        <c:axId val="97166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64616"/>
        <c:crosses val="autoZero"/>
        <c:auto val="1"/>
        <c:lblAlgn val="ctr"/>
        <c:lblOffset val="100"/>
        <c:noMultiLvlLbl val="0"/>
      </c:catAx>
      <c:valAx>
        <c:axId val="971664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6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USH_EzRez!$C$3:$C$3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USH_EzRez!$AE$3:$AE$3</c:f>
              <c:numCache>
                <c:formatCode>"$"#,##0.00_);[Red]\("$"#,##0.00\)</c:formatCode>
                <c:ptCount val="1"/>
                <c:pt idx="0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F-4132-B6CD-4CE84FB3BD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668928"/>
        <c:axId val="971667360"/>
      </c:barChart>
      <c:catAx>
        <c:axId val="97166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67360"/>
        <c:crosses val="autoZero"/>
        <c:auto val="1"/>
        <c:lblAlgn val="ctr"/>
        <c:lblOffset val="100"/>
        <c:noMultiLvlLbl val="0"/>
      </c:catAx>
      <c:valAx>
        <c:axId val="971667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6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Month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98250468603"/>
          <c:y val="0.21747703412073499"/>
          <c:w val="0.84600483612867095"/>
          <c:h val="0.5478069762467899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USH_EzRez!$C$3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USH_EzRez!$AE$3</c:f>
              <c:numCache>
                <c:formatCode>"$"#,##0.00_);[Red]\("$"#,##0.00\)</c:formatCode>
                <c:ptCount val="1"/>
                <c:pt idx="0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E-465D-AF8E-9C1BDD107E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663048"/>
        <c:axId val="971672064"/>
      </c:barChart>
      <c:catAx>
        <c:axId val="97166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72064"/>
        <c:crosses val="autoZero"/>
        <c:auto val="1"/>
        <c:lblAlgn val="ctr"/>
        <c:lblOffset val="100"/>
        <c:noMultiLvlLbl val="0"/>
      </c:catAx>
      <c:valAx>
        <c:axId val="9716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6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SAMPLE!$R$1</c:f>
              <c:strCache>
                <c:ptCount val="1"/>
                <c:pt idx="0">
                  <c:v>Manual Effort For Execution (PH)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SAMPLE!$C$3:$C$4</c:f>
              <c:strCache>
                <c:ptCount val="2"/>
                <c:pt idx="0">
                  <c:v>Jan Regression</c:v>
                </c:pt>
                <c:pt idx="1">
                  <c:v>Jan Regression</c:v>
                </c:pt>
              </c:strCache>
            </c:strRef>
          </c:cat>
          <c:val>
            <c:numRef>
              <c:f>SAMPLE!$R$3:$R$4</c:f>
              <c:numCache>
                <c:formatCode>0.00</c:formatCode>
                <c:ptCount val="2"/>
                <c:pt idx="0">
                  <c:v>211</c:v>
                </c:pt>
                <c:pt idx="1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8-489B-AFDC-3B2B8CD14241}"/>
            </c:ext>
          </c:extLst>
        </c:ser>
        <c:ser>
          <c:idx val="1"/>
          <c:order val="1"/>
          <c:tx>
            <c:strRef>
              <c:f>SAMPLE!$X$1</c:f>
              <c:strCache>
                <c:ptCount val="1"/>
                <c:pt idx="0">
                  <c:v>Test Execution effort spent after automation
(PH)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SAMPLE!$C$3:$C$4</c:f>
              <c:strCache>
                <c:ptCount val="2"/>
                <c:pt idx="0">
                  <c:v>Jan Regression</c:v>
                </c:pt>
                <c:pt idx="1">
                  <c:v>Jan Regression</c:v>
                </c:pt>
              </c:strCache>
            </c:strRef>
          </c:cat>
          <c:val>
            <c:numRef>
              <c:f>SAMPLE!$X$3:$X$4</c:f>
              <c:numCache>
                <c:formatCode>0.00</c:formatCode>
                <c:ptCount val="2"/>
                <c:pt idx="0">
                  <c:v>22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8-489B-AFDC-3B2B8CD14241}"/>
            </c:ext>
          </c:extLst>
        </c:ser>
        <c:ser>
          <c:idx val="2"/>
          <c:order val="2"/>
          <c:tx>
            <c:strRef>
              <c:f>SAMPLE!$Y$1</c:f>
              <c:strCache>
                <c:ptCount val="1"/>
                <c:pt idx="0">
                  <c:v>Effort Savings Per Cycle (PH)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SAMPLE!$C$3:$C$4</c:f>
              <c:strCache>
                <c:ptCount val="2"/>
                <c:pt idx="0">
                  <c:v>Jan Regression</c:v>
                </c:pt>
                <c:pt idx="1">
                  <c:v>Jan Regression</c:v>
                </c:pt>
              </c:strCache>
            </c:strRef>
          </c:cat>
          <c:val>
            <c:numRef>
              <c:f>SAMPLE!$Y$3:$Y$4</c:f>
              <c:numCache>
                <c:formatCode>0.00</c:formatCode>
                <c:ptCount val="2"/>
                <c:pt idx="0">
                  <c:v>189</c:v>
                </c:pt>
                <c:pt idx="1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78-489B-AFDC-3B2B8CD142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87360"/>
        <c:axId val="801786968"/>
      </c:barChart>
      <c:catAx>
        <c:axId val="80178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86968"/>
        <c:crosses val="autoZero"/>
        <c:auto val="1"/>
        <c:lblAlgn val="ctr"/>
        <c:lblOffset val="100"/>
        <c:noMultiLvlLbl val="0"/>
      </c:catAx>
      <c:valAx>
        <c:axId val="80178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8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- Per Month  (%)</a:t>
            </a:r>
          </a:p>
        </c:rich>
      </c:tx>
      <c:layout>
        <c:manualLayout>
          <c:xMode val="edge"/>
          <c:yMode val="edge"/>
          <c:x val="0.154602479941648"/>
          <c:y val="4.826098935028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USH_EzRez!$C$3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USH_EzRez!$AD$3</c:f>
              <c:numCache>
                <c:formatCode>0.00%</c:formatCode>
                <c:ptCount val="1"/>
                <c:pt idx="0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E-4A4C-B222-F038D851F7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668536"/>
        <c:axId val="971670888"/>
      </c:barChart>
      <c:catAx>
        <c:axId val="97166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70888"/>
        <c:crosses val="autoZero"/>
        <c:auto val="1"/>
        <c:lblAlgn val="ctr"/>
        <c:lblOffset val="100"/>
        <c:noMultiLvlLbl val="0"/>
      </c:catAx>
      <c:valAx>
        <c:axId val="9716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6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Medea!$AA$2</c:f>
              <c:strCache>
                <c:ptCount val="1"/>
                <c:pt idx="0">
                  <c:v>Testcases Completed /Testcases Automatable(%)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Medea!$G$3:$G$5</c:f>
              <c:strCache>
                <c:ptCount val="3"/>
                <c:pt idx="0">
                  <c:v>February</c:v>
                </c:pt>
                <c:pt idx="1">
                  <c:v>June</c:v>
                </c:pt>
                <c:pt idx="2">
                  <c:v>July</c:v>
                </c:pt>
              </c:strCache>
            </c:strRef>
          </c:cat>
          <c:val>
            <c:numRef>
              <c:f>Medea!$AA$3:$AA$5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A-4D32-A6D4-A8F0FDD844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665792"/>
        <c:axId val="971666184"/>
      </c:barChart>
      <c:catAx>
        <c:axId val="9716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66184"/>
        <c:crosses val="autoZero"/>
        <c:auto val="1"/>
        <c:lblAlgn val="ctr"/>
        <c:lblOffset val="100"/>
        <c:noMultiLvlLbl val="0"/>
      </c:catAx>
      <c:valAx>
        <c:axId val="97166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6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Medea!$G$3:$G$5</c:f>
              <c:strCache>
                <c:ptCount val="3"/>
                <c:pt idx="0">
                  <c:v>February</c:v>
                </c:pt>
                <c:pt idx="1">
                  <c:v>June</c:v>
                </c:pt>
                <c:pt idx="2">
                  <c:v>July</c:v>
                </c:pt>
              </c:strCache>
            </c:strRef>
          </c:cat>
          <c:val>
            <c:numRef>
              <c:f>Medea!$AB$3:$AB$5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0-4827-A0EE-AB37808220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663832"/>
        <c:axId val="971669320"/>
      </c:barChart>
      <c:catAx>
        <c:axId val="97166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69320"/>
        <c:crosses val="autoZero"/>
        <c:auto val="1"/>
        <c:lblAlgn val="ctr"/>
        <c:lblOffset val="100"/>
        <c:noMultiLvlLbl val="0"/>
      </c:catAx>
      <c:valAx>
        <c:axId val="971669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63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Medea!$G$3:$G$5</c:f>
              <c:strCache>
                <c:ptCount val="3"/>
                <c:pt idx="0">
                  <c:v>February</c:v>
                </c:pt>
                <c:pt idx="1">
                  <c:v>June</c:v>
                </c:pt>
                <c:pt idx="2">
                  <c:v>July</c:v>
                </c:pt>
              </c:strCache>
            </c:strRef>
          </c:cat>
          <c:val>
            <c:numRef>
              <c:f>Medea!$AC$3:$AC$5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0-4EA5-AD75-E0393CF1B3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670496"/>
        <c:axId val="971671280"/>
      </c:barChart>
      <c:catAx>
        <c:axId val="97167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71280"/>
        <c:crosses val="autoZero"/>
        <c:auto val="1"/>
        <c:lblAlgn val="ctr"/>
        <c:lblOffset val="100"/>
        <c:noMultiLvlLbl val="0"/>
      </c:catAx>
      <c:valAx>
        <c:axId val="9716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7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Medea!$R$1</c:f>
              <c:strCache>
                <c:ptCount val="1"/>
                <c:pt idx="0">
                  <c:v>Manual Effort For Execution (PH)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Medea!$G$5:$G$5</c:f>
              <c:strCache>
                <c:ptCount val="1"/>
                <c:pt idx="0">
                  <c:v>July</c:v>
                </c:pt>
              </c:strCache>
            </c:strRef>
          </c:cat>
          <c:val>
            <c:numRef>
              <c:f>Medea!$R$5:$R$5</c:f>
              <c:numCache>
                <c:formatCode>0.00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F-430F-9732-1ED35EA0EE35}"/>
            </c:ext>
          </c:extLst>
        </c:ser>
        <c:ser>
          <c:idx val="1"/>
          <c:order val="1"/>
          <c:tx>
            <c:strRef>
              <c:f>Medea!$X$1</c:f>
              <c:strCache>
                <c:ptCount val="1"/>
                <c:pt idx="0">
                  <c:v>Test Execution effort spent after automation
(PH)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Medea!$G$5:$G$5</c:f>
              <c:strCache>
                <c:ptCount val="1"/>
                <c:pt idx="0">
                  <c:v>July</c:v>
                </c:pt>
              </c:strCache>
            </c:strRef>
          </c:cat>
          <c:val>
            <c:numRef>
              <c:f>Medea!$X$5:$X$5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F-430F-9732-1ED35EA0EE35}"/>
            </c:ext>
          </c:extLst>
        </c:ser>
        <c:ser>
          <c:idx val="2"/>
          <c:order val="2"/>
          <c:tx>
            <c:strRef>
              <c:f>Medea!$Y$1</c:f>
              <c:strCache>
                <c:ptCount val="1"/>
                <c:pt idx="0">
                  <c:v>Effort Savings Per Cycle (PH)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Medea!$G$5:$G$5</c:f>
              <c:strCache>
                <c:ptCount val="1"/>
                <c:pt idx="0">
                  <c:v>July</c:v>
                </c:pt>
              </c:strCache>
            </c:strRef>
          </c:cat>
          <c:val>
            <c:numRef>
              <c:f>Medea!$Y$5:$Y$5</c:f>
              <c:numCache>
                <c:formatCode>0.00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F-430F-9732-1ED35EA0EE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451616"/>
        <c:axId val="738444952"/>
      </c:barChart>
      <c:catAx>
        <c:axId val="7384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44952"/>
        <c:crosses val="autoZero"/>
        <c:auto val="1"/>
        <c:lblAlgn val="ctr"/>
        <c:lblOffset val="100"/>
        <c:noMultiLvlLbl val="0"/>
      </c:catAx>
      <c:valAx>
        <c:axId val="73844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Medea!$AD$2</c:f>
              <c:strCache>
                <c:ptCount val="1"/>
                <c:pt idx="0">
                  <c:v>Effort Savings 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Medea!$G$3:$G$5</c:f>
              <c:strCache>
                <c:ptCount val="3"/>
                <c:pt idx="0">
                  <c:v>February</c:v>
                </c:pt>
                <c:pt idx="1">
                  <c:v>June</c:v>
                </c:pt>
                <c:pt idx="2">
                  <c:v>July</c:v>
                </c:pt>
              </c:strCache>
            </c:strRef>
          </c:cat>
          <c:val>
            <c:numRef>
              <c:f>Medea!$AD$3:$AD$5</c:f>
              <c:numCache>
                <c:formatCode>0.00%</c:formatCode>
                <c:ptCount val="3"/>
                <c:pt idx="0">
                  <c:v>0.93181818181818177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D-417E-87D2-BF7194852E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449264"/>
        <c:axId val="738442600"/>
      </c:barChart>
      <c:catAx>
        <c:axId val="7384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42600"/>
        <c:crosses val="autoZero"/>
        <c:auto val="1"/>
        <c:lblAlgn val="ctr"/>
        <c:lblOffset val="100"/>
        <c:noMultiLvlLbl val="0"/>
      </c:catAx>
      <c:valAx>
        <c:axId val="738442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4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Medea!$AE$2</c:f>
              <c:strCache>
                <c:ptCount val="1"/>
                <c:pt idx="0">
                  <c:v>Cost Savings Per Cycle ($)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Medea!$G$3:$G$5</c:f>
              <c:strCache>
                <c:ptCount val="3"/>
                <c:pt idx="0">
                  <c:v>February</c:v>
                </c:pt>
                <c:pt idx="1">
                  <c:v>June</c:v>
                </c:pt>
                <c:pt idx="2">
                  <c:v>July</c:v>
                </c:pt>
              </c:strCache>
            </c:strRef>
          </c:cat>
          <c:val>
            <c:numRef>
              <c:f>Medea!$AE$3:$AE$5</c:f>
              <c:numCache>
                <c:formatCode>"$"#,##0.00_);[Red]\("$"#,##0.00\)</c:formatCode>
                <c:ptCount val="3"/>
                <c:pt idx="0">
                  <c:v>2050</c:v>
                </c:pt>
                <c:pt idx="1">
                  <c:v>2200</c:v>
                </c:pt>
                <c:pt idx="2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B-45EF-95C6-14A9D05D5D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448088"/>
        <c:axId val="738440248"/>
      </c:barChart>
      <c:catAx>
        <c:axId val="73844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40248"/>
        <c:crosses val="autoZero"/>
        <c:auto val="1"/>
        <c:lblAlgn val="ctr"/>
        <c:lblOffset val="100"/>
        <c:noMultiLvlLbl val="0"/>
      </c:catAx>
      <c:valAx>
        <c:axId val="738440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4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Month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98250468603"/>
          <c:y val="0.21747703412073499"/>
          <c:w val="0.84600483612867095"/>
          <c:h val="0.5478069762467899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Medea!$O$46:$O$57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Medea!$S$46:$S$57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2200</c:v>
                </c:pt>
                <c:pt idx="6">
                  <c:v>2200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0-4A18-A8AC-ACB9DE61FF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446128"/>
        <c:axId val="738441816"/>
      </c:barChart>
      <c:catAx>
        <c:axId val="7384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41816"/>
        <c:crosses val="autoZero"/>
        <c:auto val="1"/>
        <c:lblAlgn val="ctr"/>
        <c:lblOffset val="100"/>
        <c:noMultiLvlLbl val="0"/>
      </c:catAx>
      <c:valAx>
        <c:axId val="73844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4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- Per Month  (%)</a:t>
            </a:r>
          </a:p>
        </c:rich>
      </c:tx>
      <c:layout>
        <c:manualLayout>
          <c:xMode val="edge"/>
          <c:yMode val="edge"/>
          <c:x val="0.154602479941648"/>
          <c:y val="4.826098935028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Medea!$O$46:$O$57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Medea!$R$46:$R$57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8-4C80-A9E2-715ABFF6CC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441032"/>
        <c:axId val="738443384"/>
      </c:barChart>
      <c:catAx>
        <c:axId val="73844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43384"/>
        <c:crosses val="autoZero"/>
        <c:auto val="1"/>
        <c:lblAlgn val="ctr"/>
        <c:lblOffset val="100"/>
        <c:noMultiLvlLbl val="0"/>
      </c:catAx>
      <c:valAx>
        <c:axId val="73844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4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CAR!$AA$2</c:f>
              <c:strCache>
                <c:ptCount val="1"/>
                <c:pt idx="0">
                  <c:v>Testcases Completed /Testcases Automatable(%)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CAR!$C$3:$C$3</c:f>
              <c:strCache>
                <c:ptCount val="1"/>
                <c:pt idx="0">
                  <c:v>March</c:v>
                </c:pt>
              </c:strCache>
            </c:strRef>
          </c:cat>
          <c:val>
            <c:numRef>
              <c:f>CAR!$AA$3:$AA$3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F-4271-8312-1FFDB93B5B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442208"/>
        <c:axId val="738450048"/>
      </c:barChart>
      <c:catAx>
        <c:axId val="7384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50048"/>
        <c:crosses val="autoZero"/>
        <c:auto val="1"/>
        <c:lblAlgn val="ctr"/>
        <c:lblOffset val="100"/>
        <c:noMultiLvlLbl val="0"/>
      </c:catAx>
      <c:valAx>
        <c:axId val="7384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4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SAMPLE!$AE$2</c:f>
              <c:strCache>
                <c:ptCount val="1"/>
                <c:pt idx="0">
                  <c:v>Effort Savings 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SAMPLE!$C$3:$C$4</c:f>
              <c:strCache>
                <c:ptCount val="2"/>
                <c:pt idx="0">
                  <c:v>Jan Regression</c:v>
                </c:pt>
                <c:pt idx="1">
                  <c:v>Jan Regression</c:v>
                </c:pt>
              </c:strCache>
            </c:strRef>
          </c:cat>
          <c:val>
            <c:numRef>
              <c:f>SAMPLE!$AE$3:$AE$4</c:f>
              <c:numCache>
                <c:formatCode>0.00%</c:formatCode>
                <c:ptCount val="2"/>
                <c:pt idx="0">
                  <c:v>0.89573459715639814</c:v>
                </c:pt>
                <c:pt idx="1">
                  <c:v>0.89573459715639814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8-4699-9E3F-5129606C50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82656"/>
        <c:axId val="801781088"/>
      </c:barChart>
      <c:catAx>
        <c:axId val="80178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81088"/>
        <c:crosses val="autoZero"/>
        <c:auto val="1"/>
        <c:lblAlgn val="ctr"/>
        <c:lblOffset val="100"/>
        <c:noMultiLvlLbl val="0"/>
      </c:catAx>
      <c:valAx>
        <c:axId val="801781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8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CAR!$C$3:$C$3</c:f>
              <c:strCache>
                <c:ptCount val="1"/>
                <c:pt idx="0">
                  <c:v>March</c:v>
                </c:pt>
              </c:strCache>
            </c:strRef>
          </c:cat>
          <c:val>
            <c:numRef>
              <c:f>CAR!$AB$3:$AB$3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9-44B8-AE26-C51A889B4B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446912"/>
        <c:axId val="738447304"/>
      </c:barChart>
      <c:catAx>
        <c:axId val="73844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47304"/>
        <c:crosses val="autoZero"/>
        <c:auto val="1"/>
        <c:lblAlgn val="ctr"/>
        <c:lblOffset val="100"/>
        <c:noMultiLvlLbl val="0"/>
      </c:catAx>
      <c:valAx>
        <c:axId val="738447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4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CAR!$C$3:$C$3</c:f>
              <c:strCache>
                <c:ptCount val="1"/>
                <c:pt idx="0">
                  <c:v>March</c:v>
                </c:pt>
              </c:strCache>
            </c:strRef>
          </c:cat>
          <c:val>
            <c:numRef>
              <c:f>CAR!$AC$3:$AC$3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3-42FF-B03C-D7B779D0B8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443776"/>
        <c:axId val="738445736"/>
      </c:barChart>
      <c:catAx>
        <c:axId val="73844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45736"/>
        <c:crosses val="autoZero"/>
        <c:auto val="1"/>
        <c:lblAlgn val="ctr"/>
        <c:lblOffset val="100"/>
        <c:noMultiLvlLbl val="0"/>
      </c:catAx>
      <c:valAx>
        <c:axId val="73844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4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CAR!$R$1</c:f>
              <c:strCache>
                <c:ptCount val="1"/>
                <c:pt idx="0">
                  <c:v>Manual Effort For Execution (PH)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CAR!$C$3:$C$3</c:f>
              <c:strCache>
                <c:ptCount val="1"/>
                <c:pt idx="0">
                  <c:v>March</c:v>
                </c:pt>
              </c:strCache>
            </c:strRef>
          </c:cat>
          <c:val>
            <c:numRef>
              <c:f>CAR!$R$3:$R$3</c:f>
              <c:numCache>
                <c:formatCode>General</c:formatCode>
                <c:ptCount val="1"/>
                <c:pt idx="0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C-4850-8723-EF98D1297AAA}"/>
            </c:ext>
          </c:extLst>
        </c:ser>
        <c:ser>
          <c:idx val="1"/>
          <c:order val="1"/>
          <c:tx>
            <c:strRef>
              <c:f>CAR!$X$1</c:f>
              <c:strCache>
                <c:ptCount val="1"/>
                <c:pt idx="0">
                  <c:v>Test Execution effort spent after automation
(PH)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CAR!$C$3:$C$3</c:f>
              <c:strCache>
                <c:ptCount val="1"/>
                <c:pt idx="0">
                  <c:v>March</c:v>
                </c:pt>
              </c:strCache>
            </c:strRef>
          </c:cat>
          <c:val>
            <c:numRef>
              <c:f>CAR!$X$3:$X$3</c:f>
              <c:numCache>
                <c:formatCode>0.00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C-4850-8723-EF98D1297AAA}"/>
            </c:ext>
          </c:extLst>
        </c:ser>
        <c:ser>
          <c:idx val="2"/>
          <c:order val="2"/>
          <c:tx>
            <c:strRef>
              <c:f>CAR!$Y$1</c:f>
              <c:strCache>
                <c:ptCount val="1"/>
                <c:pt idx="0">
                  <c:v>Effort Savings Per Cycle (PH)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CAR!$C$3:$C$3</c:f>
              <c:strCache>
                <c:ptCount val="1"/>
                <c:pt idx="0">
                  <c:v>March</c:v>
                </c:pt>
              </c:strCache>
            </c:strRef>
          </c:cat>
          <c:val>
            <c:numRef>
              <c:f>CAR!$Y$3:$Y$3</c:f>
              <c:numCache>
                <c:formatCode>0.00</c:formatCode>
                <c:ptCount val="1"/>
                <c:pt idx="0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AC-4850-8723-EF98D1297A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444168"/>
        <c:axId val="738447696"/>
      </c:barChart>
      <c:catAx>
        <c:axId val="73844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47696"/>
        <c:crosses val="autoZero"/>
        <c:auto val="1"/>
        <c:lblAlgn val="ctr"/>
        <c:lblOffset val="100"/>
        <c:noMultiLvlLbl val="0"/>
      </c:catAx>
      <c:valAx>
        <c:axId val="7384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4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CAR!$AD$2</c:f>
              <c:strCache>
                <c:ptCount val="1"/>
                <c:pt idx="0">
                  <c:v>Effort Savings 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CAR!$C$3:$C$3</c:f>
              <c:strCache>
                <c:ptCount val="1"/>
                <c:pt idx="0">
                  <c:v>March</c:v>
                </c:pt>
              </c:strCache>
            </c:strRef>
          </c:cat>
          <c:val>
            <c:numRef>
              <c:f>CAR!$AD$3:$AD$3</c:f>
              <c:numCache>
                <c:formatCode>0.00%</c:formatCode>
                <c:ptCount val="1"/>
                <c:pt idx="0">
                  <c:v>0.97489539748953979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9-4F41-8E50-52D901F06B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448872"/>
        <c:axId val="738450832"/>
      </c:barChart>
      <c:catAx>
        <c:axId val="73844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50832"/>
        <c:crosses val="autoZero"/>
        <c:auto val="1"/>
        <c:lblAlgn val="ctr"/>
        <c:lblOffset val="100"/>
        <c:noMultiLvlLbl val="0"/>
      </c:catAx>
      <c:valAx>
        <c:axId val="738450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4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CAR!$AE$2</c:f>
              <c:strCache>
                <c:ptCount val="1"/>
                <c:pt idx="0">
                  <c:v>Cost Savings Per Cycle ($)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CAR!$C$3:$C$3</c:f>
              <c:strCache>
                <c:ptCount val="1"/>
                <c:pt idx="0">
                  <c:v>March</c:v>
                </c:pt>
              </c:strCache>
            </c:strRef>
          </c:cat>
          <c:val>
            <c:numRef>
              <c:f>CAR!$AE$3:$AE$3</c:f>
              <c:numCache>
                <c:formatCode>"$"#,##0.00_);[Red]\("$"#,##0.00\)</c:formatCode>
                <c:ptCount val="1"/>
                <c:pt idx="0">
                  <c:v>5825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D-4C16-98A7-444465A834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452008"/>
        <c:axId val="738456712"/>
      </c:barChart>
      <c:catAx>
        <c:axId val="73845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56712"/>
        <c:crosses val="autoZero"/>
        <c:auto val="1"/>
        <c:lblAlgn val="ctr"/>
        <c:lblOffset val="100"/>
        <c:noMultiLvlLbl val="0"/>
      </c:catAx>
      <c:valAx>
        <c:axId val="738456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5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Month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98250468603"/>
          <c:y val="0.21747703412073499"/>
          <c:w val="0.84600483612867095"/>
          <c:h val="0.5478069762467899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CAR!$O$44:$O$55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CAR!$S$44:$S$55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1-4ABC-B778-F231026781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456320"/>
        <c:axId val="738453184"/>
      </c:barChart>
      <c:catAx>
        <c:axId val="73845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53184"/>
        <c:crosses val="autoZero"/>
        <c:auto val="1"/>
        <c:lblAlgn val="ctr"/>
        <c:lblOffset val="100"/>
        <c:noMultiLvlLbl val="0"/>
      </c:catAx>
      <c:valAx>
        <c:axId val="7384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5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- Per Month  (%)</a:t>
            </a:r>
          </a:p>
        </c:rich>
      </c:tx>
      <c:layout>
        <c:manualLayout>
          <c:xMode val="edge"/>
          <c:yMode val="edge"/>
          <c:x val="0.154602479941648"/>
          <c:y val="4.826098935028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CAR!$O$44:$O$55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CAR!$R$44:$R$55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A-45A4-8CA3-5BDE185AD7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458280"/>
        <c:axId val="738457104"/>
      </c:barChart>
      <c:catAx>
        <c:axId val="73845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57104"/>
        <c:crosses val="autoZero"/>
        <c:auto val="1"/>
        <c:lblAlgn val="ctr"/>
        <c:lblOffset val="100"/>
        <c:noMultiLvlLbl val="0"/>
      </c:catAx>
      <c:valAx>
        <c:axId val="7384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58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KAM!$AA$2</c:f>
              <c:strCache>
                <c:ptCount val="1"/>
                <c:pt idx="0">
                  <c:v>Testcases Completed /Testcases Automatable(%)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KAM!$C$3:$C$3</c:f>
              <c:strCache>
                <c:ptCount val="1"/>
                <c:pt idx="0">
                  <c:v>Mar</c:v>
                </c:pt>
              </c:strCache>
            </c:strRef>
          </c:cat>
          <c:val>
            <c:numRef>
              <c:f>KAM!$AA$3:$AA$3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4-48CA-906B-BEEBDA3B12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459456"/>
        <c:axId val="738453576"/>
      </c:barChart>
      <c:catAx>
        <c:axId val="7384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53576"/>
        <c:crosses val="autoZero"/>
        <c:auto val="1"/>
        <c:lblAlgn val="ctr"/>
        <c:lblOffset val="100"/>
        <c:noMultiLvlLbl val="0"/>
      </c:catAx>
      <c:valAx>
        <c:axId val="73845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5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KAM!$C$3:$C$3</c:f>
              <c:strCache>
                <c:ptCount val="1"/>
                <c:pt idx="0">
                  <c:v>Mar</c:v>
                </c:pt>
              </c:strCache>
            </c:strRef>
          </c:cat>
          <c:val>
            <c:numRef>
              <c:f>KAM!$AB$3:$AB$3</c:f>
              <c:numCache>
                <c:formatCode>0.00%</c:formatCode>
                <c:ptCount val="1"/>
                <c:pt idx="0">
                  <c:v>0.96865203761755481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4-45FA-B114-15FC4AED42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452792"/>
        <c:axId val="738453968"/>
      </c:barChart>
      <c:catAx>
        <c:axId val="73845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53968"/>
        <c:crosses val="autoZero"/>
        <c:auto val="1"/>
        <c:lblAlgn val="ctr"/>
        <c:lblOffset val="100"/>
        <c:noMultiLvlLbl val="0"/>
      </c:catAx>
      <c:valAx>
        <c:axId val="738453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5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KAM!$C$3:$C$3</c:f>
              <c:strCache>
                <c:ptCount val="1"/>
                <c:pt idx="0">
                  <c:v>Mar</c:v>
                </c:pt>
              </c:strCache>
            </c:strRef>
          </c:cat>
          <c:val>
            <c:numRef>
              <c:f>KAM!$AC$3:$AC$3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B-426D-8F85-9DC001E5C1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455144"/>
        <c:axId val="738457496"/>
      </c:barChart>
      <c:catAx>
        <c:axId val="73845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57496"/>
        <c:crosses val="autoZero"/>
        <c:auto val="1"/>
        <c:lblAlgn val="ctr"/>
        <c:lblOffset val="100"/>
        <c:noMultiLvlLbl val="0"/>
      </c:catAx>
      <c:valAx>
        <c:axId val="73845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5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SAMPLE!$AF$2</c:f>
              <c:strCache>
                <c:ptCount val="1"/>
                <c:pt idx="0">
                  <c:v>Cost Savings Per Cycle ($)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SAMPLE!$C$3:$C$4</c:f>
              <c:strCache>
                <c:ptCount val="2"/>
                <c:pt idx="0">
                  <c:v>Jan Regression</c:v>
                </c:pt>
                <c:pt idx="1">
                  <c:v>Jan Regression</c:v>
                </c:pt>
              </c:strCache>
            </c:strRef>
          </c:cat>
          <c:val>
            <c:numRef>
              <c:f>SAMPLE!$AF$3:$AF$4</c:f>
              <c:numCache>
                <c:formatCode>"$"#,##0.00_);[Red]\("$"#,##0.00\)</c:formatCode>
                <c:ptCount val="2"/>
                <c:pt idx="0">
                  <c:v>4725</c:v>
                </c:pt>
                <c:pt idx="1">
                  <c:v>14175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9-4A9B-A9B0-9933A4F86D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87752"/>
        <c:axId val="801780304"/>
      </c:barChart>
      <c:catAx>
        <c:axId val="80178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80304"/>
        <c:crosses val="autoZero"/>
        <c:auto val="1"/>
        <c:lblAlgn val="ctr"/>
        <c:lblOffset val="100"/>
        <c:noMultiLvlLbl val="0"/>
      </c:catAx>
      <c:valAx>
        <c:axId val="801780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8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KAM!$R$1</c:f>
              <c:strCache>
                <c:ptCount val="1"/>
                <c:pt idx="0">
                  <c:v>Manual Effort For Execution (PH)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KAM!$C$3:$C$3</c:f>
              <c:strCache>
                <c:ptCount val="1"/>
                <c:pt idx="0">
                  <c:v>Mar</c:v>
                </c:pt>
              </c:strCache>
            </c:strRef>
          </c:cat>
          <c:val>
            <c:numRef>
              <c:f>KAM!$R$3:$R$3</c:f>
              <c:numCache>
                <c:formatCode>0.00</c:formatCode>
                <c:ptCount val="1"/>
                <c:pt idx="0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7-454B-837F-DB39551D045E}"/>
            </c:ext>
          </c:extLst>
        </c:ser>
        <c:ser>
          <c:idx val="1"/>
          <c:order val="1"/>
          <c:tx>
            <c:strRef>
              <c:f>KAM!$X$1</c:f>
              <c:strCache>
                <c:ptCount val="1"/>
                <c:pt idx="0">
                  <c:v>Test Execution effort spent after automation
(PH)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KAM!$C$3:$C$3</c:f>
              <c:strCache>
                <c:ptCount val="1"/>
                <c:pt idx="0">
                  <c:v>Mar</c:v>
                </c:pt>
              </c:strCache>
            </c:strRef>
          </c:cat>
          <c:val>
            <c:numRef>
              <c:f>KAM!$X$3:$X$3</c:f>
              <c:numCache>
                <c:formatCode>0.00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7-454B-837F-DB39551D045E}"/>
            </c:ext>
          </c:extLst>
        </c:ser>
        <c:ser>
          <c:idx val="2"/>
          <c:order val="2"/>
          <c:tx>
            <c:strRef>
              <c:f>KAM!$Y$1</c:f>
              <c:strCache>
                <c:ptCount val="1"/>
                <c:pt idx="0">
                  <c:v>Effort Savings Per Cycle (PH)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KAM!$C$3:$C$3</c:f>
              <c:strCache>
                <c:ptCount val="1"/>
                <c:pt idx="0">
                  <c:v>Mar</c:v>
                </c:pt>
              </c:strCache>
            </c:strRef>
          </c:cat>
          <c:val>
            <c:numRef>
              <c:f>KAM!$Y$3:$Y$3</c:f>
              <c:numCache>
                <c:formatCode>0.00</c:formatCode>
                <c:ptCount val="1"/>
                <c:pt idx="0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97-454B-837F-DB39551D04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458672"/>
        <c:axId val="738428880"/>
      </c:barChart>
      <c:catAx>
        <c:axId val="73845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28880"/>
        <c:crosses val="autoZero"/>
        <c:auto val="1"/>
        <c:lblAlgn val="ctr"/>
        <c:lblOffset val="100"/>
        <c:noMultiLvlLbl val="0"/>
      </c:catAx>
      <c:valAx>
        <c:axId val="7384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5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KAM!$AD$2</c:f>
              <c:strCache>
                <c:ptCount val="1"/>
                <c:pt idx="0">
                  <c:v>Effort Savings 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KAM!$C$3:$C$3</c:f>
              <c:strCache>
                <c:ptCount val="1"/>
                <c:pt idx="0">
                  <c:v>Mar</c:v>
                </c:pt>
              </c:strCache>
            </c:strRef>
          </c:cat>
          <c:val>
            <c:numRef>
              <c:f>KAM!$AD$3:$AD$3</c:f>
              <c:numCache>
                <c:formatCode>0.00%</c:formatCode>
                <c:ptCount val="1"/>
                <c:pt idx="0">
                  <c:v>0.96763754045307449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3-4AB2-949B-D6B675CB31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428488"/>
        <c:axId val="738439464"/>
      </c:barChart>
      <c:catAx>
        <c:axId val="73842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9464"/>
        <c:crosses val="autoZero"/>
        <c:auto val="1"/>
        <c:lblAlgn val="ctr"/>
        <c:lblOffset val="100"/>
        <c:noMultiLvlLbl val="0"/>
      </c:catAx>
      <c:valAx>
        <c:axId val="738439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2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KAM!$AE$2</c:f>
              <c:strCache>
                <c:ptCount val="1"/>
                <c:pt idx="0">
                  <c:v>Cost Savings Per Cycle ($)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KAM!$C$3:$C$3</c:f>
              <c:strCache>
                <c:ptCount val="1"/>
                <c:pt idx="0">
                  <c:v>Mar</c:v>
                </c:pt>
              </c:strCache>
            </c:strRef>
          </c:cat>
          <c:val>
            <c:numRef>
              <c:f>KAM!$AE$3:$AE$3</c:f>
              <c:numCache>
                <c:formatCode>"$"#,##0.00_);[Red]\("$"#,##0.00\)</c:formatCode>
                <c:ptCount val="1"/>
                <c:pt idx="0">
                  <c:v>7475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4-4B65-9356-6AC14F96EC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435936"/>
        <c:axId val="738430448"/>
      </c:barChart>
      <c:catAx>
        <c:axId val="7384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0448"/>
        <c:crosses val="autoZero"/>
        <c:auto val="1"/>
        <c:lblAlgn val="ctr"/>
        <c:lblOffset val="100"/>
        <c:noMultiLvlLbl val="0"/>
      </c:catAx>
      <c:valAx>
        <c:axId val="738430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Month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98250468603"/>
          <c:y val="0.21747703412073499"/>
          <c:w val="0.84600483612867095"/>
          <c:h val="0.5478069762467899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KAM!$O$44:$O$55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KAM!$S$44:$S$55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A-4056-93F8-3F769B76BF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437896"/>
        <c:axId val="738439072"/>
      </c:barChart>
      <c:catAx>
        <c:axId val="73843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9072"/>
        <c:crosses val="autoZero"/>
        <c:auto val="1"/>
        <c:lblAlgn val="ctr"/>
        <c:lblOffset val="100"/>
        <c:noMultiLvlLbl val="0"/>
      </c:catAx>
      <c:valAx>
        <c:axId val="7384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- Per Month  (%)</a:t>
            </a:r>
          </a:p>
        </c:rich>
      </c:tx>
      <c:layout>
        <c:manualLayout>
          <c:xMode val="edge"/>
          <c:yMode val="edge"/>
          <c:x val="0.154602479941648"/>
          <c:y val="4.826098935028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KAM!$O$44:$O$55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KAM!$R$44:$R$55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3-4B27-836A-3D456193C7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433192"/>
        <c:axId val="738427704"/>
      </c:barChart>
      <c:catAx>
        <c:axId val="73843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27704"/>
        <c:crosses val="autoZero"/>
        <c:auto val="1"/>
        <c:lblAlgn val="ctr"/>
        <c:lblOffset val="100"/>
        <c:noMultiLvlLbl val="0"/>
      </c:catAx>
      <c:valAx>
        <c:axId val="73842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Recap!$AA$2</c:f>
              <c:strCache>
                <c:ptCount val="1"/>
                <c:pt idx="0">
                  <c:v>Testcases Completed /Testcases Automatable(%)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Recap!$C$3:$C$3</c:f>
              <c:strCache>
                <c:ptCount val="1"/>
                <c:pt idx="0">
                  <c:v>RRCP-468-Compliance code Optimizations</c:v>
                </c:pt>
              </c:strCache>
            </c:strRef>
          </c:cat>
          <c:val>
            <c:numRef>
              <c:f>Recap!$AA$3:$AA$3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0-40AD-BFA0-11A6B58786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432408"/>
        <c:axId val="738430056"/>
      </c:barChart>
      <c:catAx>
        <c:axId val="73843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0056"/>
        <c:crosses val="autoZero"/>
        <c:auto val="1"/>
        <c:lblAlgn val="ctr"/>
        <c:lblOffset val="100"/>
        <c:noMultiLvlLbl val="0"/>
      </c:catAx>
      <c:valAx>
        <c:axId val="73843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Recap!$C$3:$C$3</c:f>
              <c:strCache>
                <c:ptCount val="1"/>
                <c:pt idx="0">
                  <c:v>RRCP-468-Compliance code Optimizations</c:v>
                </c:pt>
              </c:strCache>
            </c:strRef>
          </c:cat>
          <c:val>
            <c:numRef>
              <c:f>Recap!$AB$3:$AB$3</c:f>
              <c:numCache>
                <c:formatCode>0.00%</c:formatCode>
                <c:ptCount val="1"/>
                <c:pt idx="0">
                  <c:v>0.84536082474226804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E-4E64-860C-418FE98DB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439856"/>
        <c:axId val="738438288"/>
      </c:barChart>
      <c:catAx>
        <c:axId val="7384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8288"/>
        <c:crosses val="autoZero"/>
        <c:auto val="1"/>
        <c:lblAlgn val="ctr"/>
        <c:lblOffset val="100"/>
        <c:noMultiLvlLbl val="0"/>
      </c:catAx>
      <c:valAx>
        <c:axId val="738438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Recap!$C$3:$C$3</c:f>
              <c:strCache>
                <c:ptCount val="1"/>
                <c:pt idx="0">
                  <c:v>RRCP-468-Compliance code Optimizations</c:v>
                </c:pt>
              </c:strCache>
            </c:strRef>
          </c:cat>
          <c:val>
            <c:numRef>
              <c:f>Recap!$AC$3:$AC$3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7-45AC-AEB9-B51119534A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431232"/>
        <c:axId val="738437504"/>
      </c:barChart>
      <c:catAx>
        <c:axId val="73843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7504"/>
        <c:crosses val="autoZero"/>
        <c:auto val="1"/>
        <c:lblAlgn val="ctr"/>
        <c:lblOffset val="100"/>
        <c:noMultiLvlLbl val="0"/>
      </c:catAx>
      <c:valAx>
        <c:axId val="7384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Recap!$R$1</c:f>
              <c:strCache>
                <c:ptCount val="1"/>
                <c:pt idx="0">
                  <c:v>Manual Effort For Execution (PH)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Recap!$C$3:$C$3</c:f>
              <c:strCache>
                <c:ptCount val="1"/>
                <c:pt idx="0">
                  <c:v>RRCP-468-Compliance code Optimizations</c:v>
                </c:pt>
              </c:strCache>
            </c:strRef>
          </c:cat>
          <c:val>
            <c:numRef>
              <c:f>Recap!#REF!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A-4E13-9CA3-6B705BA0DB0C}"/>
            </c:ext>
          </c:extLst>
        </c:ser>
        <c:ser>
          <c:idx val="1"/>
          <c:order val="1"/>
          <c:tx>
            <c:strRef>
              <c:f>Recap!$X$1</c:f>
              <c:strCache>
                <c:ptCount val="1"/>
                <c:pt idx="0">
                  <c:v>Test Execution effort spent after automation
(PH)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Recap!$C$3:$C$3</c:f>
              <c:strCache>
                <c:ptCount val="1"/>
                <c:pt idx="0">
                  <c:v>RRCP-468-Compliance code Optimizations</c:v>
                </c:pt>
              </c:strCache>
            </c:strRef>
          </c:cat>
          <c:val>
            <c:numRef>
              <c:f>Recap!$X$3:$X$3</c:f>
              <c:numCache>
                <c:formatCode>0.00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A-4E13-9CA3-6B705BA0DB0C}"/>
            </c:ext>
          </c:extLst>
        </c:ser>
        <c:ser>
          <c:idx val="2"/>
          <c:order val="2"/>
          <c:tx>
            <c:strRef>
              <c:f>Recap!$Y$1</c:f>
              <c:strCache>
                <c:ptCount val="1"/>
                <c:pt idx="0">
                  <c:v>Effort Savings Per Cycle (PH)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Recap!$C$3:$C$3</c:f>
              <c:strCache>
                <c:ptCount val="1"/>
                <c:pt idx="0">
                  <c:v>RRCP-468-Compliance code Optimizations</c:v>
                </c:pt>
              </c:strCache>
            </c:strRef>
          </c:cat>
          <c:val>
            <c:numRef>
              <c:f>Recap!#REF!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2A-4E13-9CA3-6B705BA0DB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436720"/>
        <c:axId val="738430840"/>
      </c:barChart>
      <c:catAx>
        <c:axId val="73843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0840"/>
        <c:crosses val="autoZero"/>
        <c:auto val="1"/>
        <c:lblAlgn val="ctr"/>
        <c:lblOffset val="100"/>
        <c:noMultiLvlLbl val="0"/>
      </c:catAx>
      <c:valAx>
        <c:axId val="73843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Recap!$AD$2</c:f>
              <c:strCache>
                <c:ptCount val="1"/>
                <c:pt idx="0">
                  <c:v>Effort Savings 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Recap!$C$3:$C$3</c:f>
              <c:strCache>
                <c:ptCount val="1"/>
                <c:pt idx="0">
                  <c:v>RRCP-468-Compliance code Optimizations</c:v>
                </c:pt>
              </c:strCache>
            </c:strRef>
          </c:cat>
          <c:val>
            <c:numRef>
              <c:f>Recap!$AD$3:$AD$3</c:f>
              <c:numCache>
                <c:formatCode>0.00%</c:formatCode>
                <c:ptCount val="1"/>
                <c:pt idx="0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1-44BD-9460-0268CBD806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438680"/>
        <c:axId val="738428096"/>
      </c:barChart>
      <c:catAx>
        <c:axId val="73843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28096"/>
        <c:crosses val="autoZero"/>
        <c:auto val="1"/>
        <c:lblAlgn val="ctr"/>
        <c:lblOffset val="100"/>
        <c:noMultiLvlLbl val="0"/>
      </c:catAx>
      <c:valAx>
        <c:axId val="738428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Month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98250468603"/>
          <c:y val="0.21747703412073499"/>
          <c:w val="0.84600483612867095"/>
          <c:h val="0.5478069762467899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SAMPLE!$O$45:$O$56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SAMPLE!$S$45:$S$56</c:f>
              <c:numCache>
                <c:formatCode>"$"#,##0.00</c:formatCode>
                <c:ptCount val="12"/>
                <c:pt idx="0">
                  <c:v>18900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6-4668-B94C-0AAF9A1A8D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83048"/>
        <c:axId val="801784616"/>
      </c:barChart>
      <c:catAx>
        <c:axId val="80178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84616"/>
        <c:crosses val="autoZero"/>
        <c:auto val="1"/>
        <c:lblAlgn val="ctr"/>
        <c:lblOffset val="100"/>
        <c:noMultiLvlLbl val="0"/>
      </c:catAx>
      <c:valAx>
        <c:axId val="80178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8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Recap!$AE$2</c:f>
              <c:strCache>
                <c:ptCount val="1"/>
                <c:pt idx="0">
                  <c:v>Cost Savings Per Cycle ($)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Recap!$C$3:$C$3</c:f>
              <c:strCache>
                <c:ptCount val="1"/>
                <c:pt idx="0">
                  <c:v>RRCP-468-Compliance code Optimizations</c:v>
                </c:pt>
              </c:strCache>
            </c:strRef>
          </c:cat>
          <c:val>
            <c:numRef>
              <c:f>Recap!$AE$3:$AE$3</c:f>
              <c:numCache>
                <c:formatCode>"$"#,##0.00_);[Red]\("$"#,##0.00\)</c:formatCode>
                <c:ptCount val="1"/>
                <c:pt idx="0">
                  <c:v>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B-4246-91C0-D02E10488B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429664"/>
        <c:axId val="738431624"/>
      </c:barChart>
      <c:catAx>
        <c:axId val="73842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1624"/>
        <c:crosses val="autoZero"/>
        <c:auto val="1"/>
        <c:lblAlgn val="ctr"/>
        <c:lblOffset val="100"/>
        <c:noMultiLvlLbl val="0"/>
      </c:catAx>
      <c:valAx>
        <c:axId val="738431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2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Month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98250468603"/>
          <c:y val="0.21747703412073499"/>
          <c:w val="0.84600483612867095"/>
          <c:h val="0.5478069762467899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Recap!$O$44:$O$55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Recap!$S$44:$S$55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3-410A-938F-36FCE17CE0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6884152"/>
        <c:axId val="796887680"/>
      </c:barChart>
      <c:catAx>
        <c:axId val="79688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87680"/>
        <c:crosses val="autoZero"/>
        <c:auto val="1"/>
        <c:lblAlgn val="ctr"/>
        <c:lblOffset val="100"/>
        <c:noMultiLvlLbl val="0"/>
      </c:catAx>
      <c:valAx>
        <c:axId val="7968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8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- Per Month  (%)</a:t>
            </a:r>
          </a:p>
        </c:rich>
      </c:tx>
      <c:layout>
        <c:manualLayout>
          <c:xMode val="edge"/>
          <c:yMode val="edge"/>
          <c:x val="0.154602479941648"/>
          <c:y val="4.826098935028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Recap!$O$44:$O$55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Recap!$R$44:$R$55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9-4D4B-98FB-904A10B7CC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6895912"/>
        <c:axId val="796891992"/>
      </c:barChart>
      <c:catAx>
        <c:axId val="79689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91992"/>
        <c:crosses val="autoZero"/>
        <c:auto val="1"/>
        <c:lblAlgn val="ctr"/>
        <c:lblOffset val="100"/>
        <c:noMultiLvlLbl val="0"/>
      </c:catAx>
      <c:valAx>
        <c:axId val="79689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9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TBT!$AA$2</c:f>
              <c:strCache>
                <c:ptCount val="1"/>
                <c:pt idx="0">
                  <c:v>Testcases Completed /Testcases Automatable(%)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TBT!$C$3:$C$5</c:f>
              <c:strCache>
                <c:ptCount val="3"/>
                <c:pt idx="0">
                  <c:v>February</c:v>
                </c:pt>
                <c:pt idx="1">
                  <c:v>March</c:v>
                </c:pt>
                <c:pt idx="2">
                  <c:v>August</c:v>
                </c:pt>
              </c:strCache>
            </c:strRef>
          </c:cat>
          <c:val>
            <c:numRef>
              <c:f>TBT!$AA$3:$AA$5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E-4822-BD87-2A35B55575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6893560"/>
        <c:axId val="796896304"/>
      </c:barChart>
      <c:catAx>
        <c:axId val="79689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96304"/>
        <c:crosses val="autoZero"/>
        <c:auto val="1"/>
        <c:lblAlgn val="ctr"/>
        <c:lblOffset val="100"/>
        <c:noMultiLvlLbl val="0"/>
      </c:catAx>
      <c:valAx>
        <c:axId val="7968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9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TBT!$C$3:$C$5</c:f>
              <c:strCache>
                <c:ptCount val="3"/>
                <c:pt idx="0">
                  <c:v>February</c:v>
                </c:pt>
                <c:pt idx="1">
                  <c:v>March</c:v>
                </c:pt>
                <c:pt idx="2">
                  <c:v>August</c:v>
                </c:pt>
              </c:strCache>
            </c:strRef>
          </c:cat>
          <c:val>
            <c:numRef>
              <c:f>TBT!$AB$3:$AB$5</c:f>
              <c:numCache>
                <c:formatCode>0.00%</c:formatCode>
                <c:ptCount val="3"/>
                <c:pt idx="0">
                  <c:v>1</c:v>
                </c:pt>
                <c:pt idx="1">
                  <c:v>0.9662921348314607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5-4CD1-B4B9-24DD5A6383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6886504"/>
        <c:axId val="796894344"/>
      </c:barChart>
      <c:catAx>
        <c:axId val="79688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94344"/>
        <c:crosses val="autoZero"/>
        <c:auto val="1"/>
        <c:lblAlgn val="ctr"/>
        <c:lblOffset val="100"/>
        <c:noMultiLvlLbl val="0"/>
      </c:catAx>
      <c:valAx>
        <c:axId val="796894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86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layout>
        <c:manualLayout>
          <c:xMode val="edge"/>
          <c:yMode val="edge"/>
          <c:x val="0.10795570765054301"/>
          <c:y val="3.1410278209737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TBT!$C$3:$C$5</c:f>
              <c:strCache>
                <c:ptCount val="3"/>
                <c:pt idx="0">
                  <c:v>February</c:v>
                </c:pt>
                <c:pt idx="1">
                  <c:v>March</c:v>
                </c:pt>
                <c:pt idx="2">
                  <c:v>August</c:v>
                </c:pt>
              </c:strCache>
            </c:strRef>
          </c:cat>
          <c:val>
            <c:numRef>
              <c:f>TBT!$AC$3:$AC$5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6-4E9B-99D2-07C908A444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6885328"/>
        <c:axId val="796890816"/>
      </c:barChart>
      <c:catAx>
        <c:axId val="79688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90816"/>
        <c:crosses val="autoZero"/>
        <c:auto val="1"/>
        <c:lblAlgn val="ctr"/>
        <c:lblOffset val="100"/>
        <c:noMultiLvlLbl val="0"/>
      </c:catAx>
      <c:valAx>
        <c:axId val="7968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8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TBT!$R$1</c:f>
              <c:strCache>
                <c:ptCount val="1"/>
                <c:pt idx="0">
                  <c:v>Manual Effort For Execution (PH)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TBT!$C$3:$C$3</c:f>
              <c:strCache>
                <c:ptCount val="1"/>
                <c:pt idx="0">
                  <c:v>February</c:v>
                </c:pt>
              </c:strCache>
            </c:strRef>
          </c:cat>
          <c:val>
            <c:numRef>
              <c:f>TBT!$R$3:$R$3</c:f>
              <c:numCache>
                <c:formatCode>0.00</c:formatCode>
                <c:ptCount val="1"/>
                <c:pt idx="0">
                  <c:v>137.6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E-4E99-B481-882C35637085}"/>
            </c:ext>
          </c:extLst>
        </c:ser>
        <c:ser>
          <c:idx val="1"/>
          <c:order val="1"/>
          <c:tx>
            <c:strRef>
              <c:f>TBT!$X$1</c:f>
              <c:strCache>
                <c:ptCount val="1"/>
                <c:pt idx="0">
                  <c:v>Test Execution effort spent after automation
(PH)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TBT!$C$3:$C$3</c:f>
              <c:strCache>
                <c:ptCount val="1"/>
                <c:pt idx="0">
                  <c:v>February</c:v>
                </c:pt>
              </c:strCache>
            </c:strRef>
          </c:cat>
          <c:val>
            <c:numRef>
              <c:f>TBT!$X$3:$X$3</c:f>
              <c:numCache>
                <c:formatCode>0.00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6E-4E99-B481-882C35637085}"/>
            </c:ext>
          </c:extLst>
        </c:ser>
        <c:ser>
          <c:idx val="2"/>
          <c:order val="2"/>
          <c:tx>
            <c:strRef>
              <c:f>TBT!$Y$1</c:f>
              <c:strCache>
                <c:ptCount val="1"/>
                <c:pt idx="0">
                  <c:v>Effort Savings Per Cycle (PH)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TBT!$C$3:$C$3</c:f>
              <c:strCache>
                <c:ptCount val="1"/>
                <c:pt idx="0">
                  <c:v>February</c:v>
                </c:pt>
              </c:strCache>
            </c:strRef>
          </c:cat>
          <c:val>
            <c:numRef>
              <c:f>TBT!$Y$3:$Y$3</c:f>
              <c:numCache>
                <c:formatCode>0.00</c:formatCode>
                <c:ptCount val="1"/>
                <c:pt idx="0">
                  <c:v>121.6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6E-4E99-B481-882C356370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6886112"/>
        <c:axId val="796890032"/>
      </c:barChart>
      <c:catAx>
        <c:axId val="79688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90032"/>
        <c:crosses val="autoZero"/>
        <c:auto val="1"/>
        <c:lblAlgn val="ctr"/>
        <c:lblOffset val="100"/>
        <c:noMultiLvlLbl val="0"/>
      </c:catAx>
      <c:valAx>
        <c:axId val="7968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8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TBT!$AD$2</c:f>
              <c:strCache>
                <c:ptCount val="1"/>
                <c:pt idx="0">
                  <c:v>Effort Savings 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TBT!$C$3:$C$3</c:f>
              <c:strCache>
                <c:ptCount val="1"/>
                <c:pt idx="0">
                  <c:v>February</c:v>
                </c:pt>
              </c:strCache>
            </c:strRef>
          </c:cat>
          <c:val>
            <c:numRef>
              <c:f>TBT!$AD$3:$AD$3</c:f>
              <c:numCache>
                <c:formatCode>0.00%</c:formatCode>
                <c:ptCount val="1"/>
                <c:pt idx="0">
                  <c:v>0.88372093023255816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0-4E0B-89AF-A294A0CDDE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6886896"/>
        <c:axId val="796890424"/>
      </c:barChart>
      <c:catAx>
        <c:axId val="79688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90424"/>
        <c:crosses val="autoZero"/>
        <c:auto val="1"/>
        <c:lblAlgn val="ctr"/>
        <c:lblOffset val="100"/>
        <c:noMultiLvlLbl val="0"/>
      </c:catAx>
      <c:valAx>
        <c:axId val="79689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8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TBT!$AE$2</c:f>
              <c:strCache>
                <c:ptCount val="1"/>
                <c:pt idx="0">
                  <c:v>Cost Savings Per Cycle ($)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TBT!$C$3:$C$3</c:f>
              <c:strCache>
                <c:ptCount val="1"/>
                <c:pt idx="0">
                  <c:v>February</c:v>
                </c:pt>
              </c:strCache>
            </c:strRef>
          </c:cat>
          <c:val>
            <c:numRef>
              <c:f>TBT!$AE$3:$AE$3</c:f>
              <c:numCache>
                <c:formatCode>"$"#,##0.00_);[Red]\("$"#,##0.00\)</c:formatCode>
                <c:ptCount val="1"/>
                <c:pt idx="0">
                  <c:v>3040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8-470F-BD2C-0E52107A7D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6888856"/>
        <c:axId val="796892384"/>
      </c:barChart>
      <c:catAx>
        <c:axId val="79688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92384"/>
        <c:crosses val="autoZero"/>
        <c:auto val="1"/>
        <c:lblAlgn val="ctr"/>
        <c:lblOffset val="100"/>
        <c:noMultiLvlLbl val="0"/>
      </c:catAx>
      <c:valAx>
        <c:axId val="796892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8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Month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98250468603"/>
          <c:y val="0.21747703412073499"/>
          <c:w val="0.84600483612867095"/>
          <c:h val="0.5478069762467899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TBT!$O$46:$O$57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TBT!$S$46:$S$57</c:f>
              <c:numCache>
                <c:formatCode>"$"#,##0.00</c:formatCode>
                <c:ptCount val="12"/>
                <c:pt idx="0">
                  <c:v>0</c:v>
                </c:pt>
                <c:pt idx="1">
                  <c:v>3040</c:v>
                </c:pt>
                <c:pt idx="2">
                  <c:v>3440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E-456D-AB6C-72FC2AC02C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6892776"/>
        <c:axId val="796895128"/>
      </c:barChart>
      <c:catAx>
        <c:axId val="79689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95128"/>
        <c:crosses val="autoZero"/>
        <c:auto val="1"/>
        <c:lblAlgn val="ctr"/>
        <c:lblOffset val="100"/>
        <c:noMultiLvlLbl val="0"/>
      </c:catAx>
      <c:valAx>
        <c:axId val="79689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9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- Per Month  (%)</a:t>
            </a:r>
          </a:p>
        </c:rich>
      </c:tx>
      <c:layout>
        <c:manualLayout>
          <c:xMode val="edge"/>
          <c:yMode val="edge"/>
          <c:x val="0.154602479941648"/>
          <c:y val="4.826098935028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SAMPLE!$O$45:$O$56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SAMPLE!$R$45:$R$56</c:f>
              <c:numCache>
                <c:formatCode>0.00%</c:formatCode>
                <c:ptCount val="12"/>
                <c:pt idx="0">
                  <c:v>0.89573459715639814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1-439E-BA45-D06E792D3E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83440"/>
        <c:axId val="801778736"/>
      </c:barChart>
      <c:catAx>
        <c:axId val="8017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78736"/>
        <c:crosses val="autoZero"/>
        <c:auto val="1"/>
        <c:lblAlgn val="ctr"/>
        <c:lblOffset val="100"/>
        <c:noMultiLvlLbl val="0"/>
      </c:catAx>
      <c:valAx>
        <c:axId val="8017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8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- Per Month  (%)</a:t>
            </a:r>
          </a:p>
        </c:rich>
      </c:tx>
      <c:layout>
        <c:manualLayout>
          <c:xMode val="edge"/>
          <c:yMode val="edge"/>
          <c:x val="0.154602479941648"/>
          <c:y val="4.826098935028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TBT!$O$46:$O$57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TBT!$R$46:$R$57</c:f>
              <c:numCache>
                <c:formatCode>0.00%</c:formatCode>
                <c:ptCount val="12"/>
                <c:pt idx="0">
                  <c:v>0</c:v>
                </c:pt>
                <c:pt idx="1">
                  <c:v>0.88372093023255816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BAA-944C-FC424AFF5C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6894736"/>
        <c:axId val="796888464"/>
      </c:barChart>
      <c:catAx>
        <c:axId val="79689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88464"/>
        <c:crosses val="autoZero"/>
        <c:auto val="1"/>
        <c:lblAlgn val="ctr"/>
        <c:lblOffset val="100"/>
        <c:noMultiLvlLbl val="0"/>
      </c:catAx>
      <c:valAx>
        <c:axId val="79688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9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ReleaseForce!$AA$2</c:f>
              <c:strCache>
                <c:ptCount val="1"/>
                <c:pt idx="0">
                  <c:v>Testcases Completed /Testcases Automatable(%)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ReleaseForce!$G$3:$G$3</c:f>
              <c:strCache>
                <c:ptCount val="1"/>
                <c:pt idx="0">
                  <c:v>March</c:v>
                </c:pt>
              </c:strCache>
            </c:strRef>
          </c:cat>
          <c:val>
            <c:numRef>
              <c:f>ReleaseForce!$AA$3:$AA$3</c:f>
              <c:numCache>
                <c:formatCode>0.00%</c:formatCode>
                <c:ptCount val="1"/>
                <c:pt idx="0">
                  <c:v>0.82307692307692304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7-4B14-8DE3-9115F0F463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6898264"/>
        <c:axId val="796902576"/>
      </c:barChart>
      <c:catAx>
        <c:axId val="79689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02576"/>
        <c:crosses val="autoZero"/>
        <c:auto val="1"/>
        <c:lblAlgn val="ctr"/>
        <c:lblOffset val="100"/>
        <c:noMultiLvlLbl val="0"/>
      </c:catAx>
      <c:valAx>
        <c:axId val="7969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98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ReleaseForce!$AB$2</c:f>
              <c:strCache>
                <c:ptCount val="1"/>
                <c:pt idx="0">
                  <c:v>Testcases Completed /Valid Testcases(%)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ReleaseForce!$G$3:$G$3</c:f>
              <c:strCache>
                <c:ptCount val="1"/>
                <c:pt idx="0">
                  <c:v>March</c:v>
                </c:pt>
              </c:strCache>
            </c:strRef>
          </c:cat>
          <c:val>
            <c:numRef>
              <c:f>ReleaseForce!$AB$3:$AB$3</c:f>
              <c:numCache>
                <c:formatCode>0.00%</c:formatCode>
                <c:ptCount val="1"/>
                <c:pt idx="0">
                  <c:v>0.82307692307692304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F-42AB-89D2-D022F4E160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6904144"/>
        <c:axId val="796898656"/>
      </c:barChart>
      <c:catAx>
        <c:axId val="79690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98656"/>
        <c:crosses val="autoZero"/>
        <c:auto val="1"/>
        <c:lblAlgn val="ctr"/>
        <c:lblOffset val="100"/>
        <c:noMultiLvlLbl val="0"/>
      </c:catAx>
      <c:valAx>
        <c:axId val="796898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0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ReleaseForce!$AC$2</c:f>
              <c:strCache>
                <c:ptCount val="1"/>
                <c:pt idx="0">
                  <c:v>Automation Script Utilization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ReleaseForce!$G$3:$G$3</c:f>
              <c:strCache>
                <c:ptCount val="1"/>
                <c:pt idx="0">
                  <c:v>March</c:v>
                </c:pt>
              </c:strCache>
            </c:strRef>
          </c:cat>
          <c:val>
            <c:numRef>
              <c:f>ReleaseForce!$AC$3:$AC$3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5-4D88-9045-90109015F0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6903360"/>
        <c:axId val="796899440"/>
      </c:barChart>
      <c:catAx>
        <c:axId val="79690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99440"/>
        <c:crosses val="autoZero"/>
        <c:auto val="1"/>
        <c:lblAlgn val="ctr"/>
        <c:lblOffset val="100"/>
        <c:noMultiLvlLbl val="0"/>
      </c:catAx>
      <c:valAx>
        <c:axId val="7968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0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ReleaseForce!$R$1</c:f>
              <c:strCache>
                <c:ptCount val="1"/>
                <c:pt idx="0">
                  <c:v>Manual Effort For Execution (PH)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ReleaseForce!$G$3:$G$3</c:f>
              <c:strCache>
                <c:ptCount val="1"/>
                <c:pt idx="0">
                  <c:v>March</c:v>
                </c:pt>
              </c:strCache>
            </c:strRef>
          </c:cat>
          <c:val>
            <c:numRef>
              <c:f>ReleaseForce!$R$3:$R$3</c:f>
              <c:numCache>
                <c:formatCode>0.00</c:formatCode>
                <c:ptCount val="1"/>
                <c:pt idx="0">
                  <c:v>85.6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D-45FF-A5F3-C111004C19FB}"/>
            </c:ext>
          </c:extLst>
        </c:ser>
        <c:ser>
          <c:idx val="1"/>
          <c:order val="1"/>
          <c:tx>
            <c:strRef>
              <c:f>ReleaseForce!$X$1</c:f>
              <c:strCache>
                <c:ptCount val="1"/>
                <c:pt idx="0">
                  <c:v>Test Execution effort spent after automation
(PH)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ReleaseForce!$G$3:$G$3</c:f>
              <c:strCache>
                <c:ptCount val="1"/>
                <c:pt idx="0">
                  <c:v>March</c:v>
                </c:pt>
              </c:strCache>
            </c:strRef>
          </c:cat>
          <c:val>
            <c:numRef>
              <c:f>ReleaseForce!$X$3:$X$3</c:f>
              <c:numCache>
                <c:formatCode>0.00</c:formatCode>
                <c:ptCount val="1"/>
                <c:pt idx="0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D-45FF-A5F3-C111004C19FB}"/>
            </c:ext>
          </c:extLst>
        </c:ser>
        <c:ser>
          <c:idx val="2"/>
          <c:order val="2"/>
          <c:tx>
            <c:strRef>
              <c:f>ReleaseForce!$Y$1</c:f>
              <c:strCache>
                <c:ptCount val="1"/>
                <c:pt idx="0">
                  <c:v>Effort Savings Per Cycle (PH)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ReleaseForce!$G$3:$G$3</c:f>
              <c:strCache>
                <c:ptCount val="1"/>
                <c:pt idx="0">
                  <c:v>March</c:v>
                </c:pt>
              </c:strCache>
            </c:strRef>
          </c:cat>
          <c:val>
            <c:numRef>
              <c:f>ReleaseForce!$Y$3:$Y$3</c:f>
              <c:numCache>
                <c:formatCode>0.00</c:formatCode>
                <c:ptCount val="1"/>
                <c:pt idx="0">
                  <c:v>67.199999999999989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D-45FF-A5F3-C111004C19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6900224"/>
        <c:axId val="796908064"/>
      </c:barChart>
      <c:catAx>
        <c:axId val="79690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08064"/>
        <c:crosses val="autoZero"/>
        <c:auto val="1"/>
        <c:lblAlgn val="ctr"/>
        <c:lblOffset val="100"/>
        <c:noMultiLvlLbl val="0"/>
      </c:catAx>
      <c:valAx>
        <c:axId val="7969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0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ReleaseForce!$AD$2</c:f>
              <c:strCache>
                <c:ptCount val="1"/>
                <c:pt idx="0">
                  <c:v>Effort Savings 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ReleaseForce!$G$3:$G$3</c:f>
              <c:strCache>
                <c:ptCount val="1"/>
                <c:pt idx="0">
                  <c:v>March</c:v>
                </c:pt>
              </c:strCache>
            </c:strRef>
          </c:cat>
          <c:val>
            <c:numRef>
              <c:f>ReleaseForce!$AD$3:$AD$3</c:f>
              <c:numCache>
                <c:formatCode>0.00%</c:formatCode>
                <c:ptCount val="1"/>
                <c:pt idx="0">
                  <c:v>0.78504672897196248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B-4253-80F2-753AC98CE2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6902184"/>
        <c:axId val="796902968"/>
      </c:barChart>
      <c:catAx>
        <c:axId val="79690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02968"/>
        <c:crosses val="autoZero"/>
        <c:auto val="1"/>
        <c:lblAlgn val="ctr"/>
        <c:lblOffset val="100"/>
        <c:noMultiLvlLbl val="0"/>
      </c:catAx>
      <c:valAx>
        <c:axId val="796902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0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ReleaseForce!$AE$2</c:f>
              <c:strCache>
                <c:ptCount val="1"/>
                <c:pt idx="0">
                  <c:v>Cost Savings Per Cycle ($)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ReleaseForce!$G$3:$G$3</c:f>
              <c:strCache>
                <c:ptCount val="1"/>
                <c:pt idx="0">
                  <c:v>March</c:v>
                </c:pt>
              </c:strCache>
            </c:strRef>
          </c:cat>
          <c:val>
            <c:numRef>
              <c:f>ReleaseForce!$AE$3:$AE$3</c:f>
              <c:numCache>
                <c:formatCode>"$"#,##0.00_);[Red]\("$"#,##0.00\)</c:formatCode>
                <c:ptCount val="1"/>
                <c:pt idx="0">
                  <c:v>1679.9999999999998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5-4F39-80F2-807BDC58CC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6904928"/>
        <c:axId val="796906104"/>
      </c:barChart>
      <c:catAx>
        <c:axId val="79690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06104"/>
        <c:crosses val="autoZero"/>
        <c:auto val="1"/>
        <c:lblAlgn val="ctr"/>
        <c:lblOffset val="100"/>
        <c:noMultiLvlLbl val="0"/>
      </c:catAx>
      <c:valAx>
        <c:axId val="796906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0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Month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98250468603"/>
          <c:y val="0.21747703412073499"/>
          <c:w val="0.84600483612867095"/>
          <c:h val="0.5478069762467899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ReleaseForce!$O$44:$O$55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ReleaseForce!$S$44:$S$55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1679.9999999999998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7-4191-8F27-07EEA5D9CA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6903752"/>
        <c:axId val="796901008"/>
      </c:barChart>
      <c:catAx>
        <c:axId val="79690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01008"/>
        <c:crosses val="autoZero"/>
        <c:auto val="1"/>
        <c:lblAlgn val="ctr"/>
        <c:lblOffset val="100"/>
        <c:noMultiLvlLbl val="0"/>
      </c:catAx>
      <c:valAx>
        <c:axId val="7969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0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- Per Month  (%)</a:t>
            </a:r>
          </a:p>
        </c:rich>
      </c:tx>
      <c:layout>
        <c:manualLayout>
          <c:xMode val="edge"/>
          <c:yMode val="edge"/>
          <c:x val="0.154602479941648"/>
          <c:y val="4.826098935028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ReleaseForce!$O$44:$O$55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ReleaseForce!$R$44:$R$55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0.78504672897196248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4-4515-858E-2E5CE2D692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6897088"/>
        <c:axId val="796901792"/>
      </c:barChart>
      <c:catAx>
        <c:axId val="7968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01792"/>
        <c:crosses val="autoZero"/>
        <c:auto val="1"/>
        <c:lblAlgn val="ctr"/>
        <c:lblOffset val="100"/>
        <c:noMultiLvlLbl val="0"/>
      </c:catAx>
      <c:valAx>
        <c:axId val="7969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9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WideOrbit!$AA$2</c:f>
              <c:strCache>
                <c:ptCount val="1"/>
                <c:pt idx="0">
                  <c:v>Testcases Completed /Testcases Automatable(%)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WideOrbit!$G$3:$G$11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February</c:v>
                </c:pt>
                <c:pt idx="3">
                  <c:v>March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July</c:v>
                </c:pt>
                <c:pt idx="8">
                  <c:v>August</c:v>
                </c:pt>
              </c:strCache>
            </c:strRef>
          </c:cat>
          <c:val>
            <c:numRef>
              <c:f>WideOrbit!$AA$3:$AA$11</c:f>
              <c:numCache>
                <c:formatCode>0.00%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0.93500000000000005</c:v>
                </c:pt>
                <c:pt idx="3">
                  <c:v>0.96</c:v>
                </c:pt>
                <c:pt idx="4">
                  <c:v>0.97499999999999998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2-497E-88CE-0CB72892ED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6905712"/>
        <c:axId val="796906496"/>
      </c:barChart>
      <c:catAx>
        <c:axId val="79690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06496"/>
        <c:crosses val="autoZero"/>
        <c:auto val="1"/>
        <c:lblAlgn val="ctr"/>
        <c:lblOffset val="100"/>
        <c:noMultiLvlLbl val="0"/>
      </c:catAx>
      <c:valAx>
        <c:axId val="7969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0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Magic!$AA$2</c:f>
              <c:strCache>
                <c:ptCount val="1"/>
                <c:pt idx="0">
                  <c:v>Testcases Completed /Testcases Automatable(%)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Magic!$C$3:$C$5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Magic!$AA$3:$AA$5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8-471C-9320-6590473E10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39536"/>
        <c:axId val="801745024"/>
      </c:barChart>
      <c:catAx>
        <c:axId val="80173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45024"/>
        <c:crosses val="autoZero"/>
        <c:auto val="1"/>
        <c:lblAlgn val="ctr"/>
        <c:lblOffset val="100"/>
        <c:noMultiLvlLbl val="0"/>
      </c:catAx>
      <c:valAx>
        <c:axId val="8017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3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WideOrbit!$G$3:$G$11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February</c:v>
                </c:pt>
                <c:pt idx="3">
                  <c:v>March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July</c:v>
                </c:pt>
                <c:pt idx="8">
                  <c:v>August</c:v>
                </c:pt>
              </c:strCache>
            </c:strRef>
          </c:cat>
          <c:val>
            <c:numRef>
              <c:f>WideOrbit!$AB$3:$AB$11</c:f>
              <c:numCache>
                <c:formatCode>0.00%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0.93500000000000005</c:v>
                </c:pt>
                <c:pt idx="3">
                  <c:v>0.96</c:v>
                </c:pt>
                <c:pt idx="4">
                  <c:v>0.97499999999999998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B-4D73-BB96-90D09D226A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6906888"/>
        <c:axId val="796908848"/>
      </c:barChart>
      <c:catAx>
        <c:axId val="79690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08848"/>
        <c:crosses val="autoZero"/>
        <c:auto val="1"/>
        <c:lblAlgn val="ctr"/>
        <c:lblOffset val="100"/>
        <c:noMultiLvlLbl val="0"/>
      </c:catAx>
      <c:valAx>
        <c:axId val="796908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0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WideOrbit!$G$3:$G$11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February</c:v>
                </c:pt>
                <c:pt idx="3">
                  <c:v>March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July</c:v>
                </c:pt>
                <c:pt idx="8">
                  <c:v>August</c:v>
                </c:pt>
              </c:strCache>
            </c:strRef>
          </c:cat>
          <c:val>
            <c:numRef>
              <c:f>WideOrbit!$AC$3:$AC$11</c:f>
              <c:numCache>
                <c:formatCode>0.00%</c:formatCode>
                <c:ptCount val="9"/>
                <c:pt idx="0">
                  <c:v>0</c:v>
                </c:pt>
                <c:pt idx="1">
                  <c:v>0.84864864864864864</c:v>
                </c:pt>
                <c:pt idx="2">
                  <c:v>0</c:v>
                </c:pt>
                <c:pt idx="3">
                  <c:v>0</c:v>
                </c:pt>
                <c:pt idx="4">
                  <c:v>3.5897435897435895E-2</c:v>
                </c:pt>
                <c:pt idx="5">
                  <c:v>0.73891625615763545</c:v>
                </c:pt>
                <c:pt idx="6">
                  <c:v>0.4211822660098522</c:v>
                </c:pt>
                <c:pt idx="7">
                  <c:v>0.4211822660098522</c:v>
                </c:pt>
                <c:pt idx="8">
                  <c:v>0.4211822660098522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8-4010-A941-4816973791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6897480"/>
        <c:axId val="796909632"/>
      </c:barChart>
      <c:catAx>
        <c:axId val="79689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09632"/>
        <c:crosses val="autoZero"/>
        <c:auto val="1"/>
        <c:lblAlgn val="ctr"/>
        <c:lblOffset val="100"/>
        <c:noMultiLvlLbl val="0"/>
      </c:catAx>
      <c:valAx>
        <c:axId val="7969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9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WideOrbit!$R$1</c:f>
              <c:strCache>
                <c:ptCount val="1"/>
                <c:pt idx="0">
                  <c:v>Manual Effort For Execution (PH)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WideOrbit!$G$3:$G$11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February</c:v>
                </c:pt>
                <c:pt idx="3">
                  <c:v>March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July</c:v>
                </c:pt>
                <c:pt idx="8">
                  <c:v>August</c:v>
                </c:pt>
              </c:strCache>
            </c:strRef>
          </c:cat>
          <c:val>
            <c:numRef>
              <c:f>WideOrbit!$R$3:$R$11</c:f>
              <c:numCache>
                <c:formatCode>0.00</c:formatCode>
                <c:ptCount val="9"/>
                <c:pt idx="0">
                  <c:v>0</c:v>
                </c:pt>
                <c:pt idx="1">
                  <c:v>209.33333333333334</c:v>
                </c:pt>
                <c:pt idx="2">
                  <c:v>0</c:v>
                </c:pt>
                <c:pt idx="3">
                  <c:v>0</c:v>
                </c:pt>
                <c:pt idx="4">
                  <c:v>9.3333333333333339</c:v>
                </c:pt>
                <c:pt idx="5">
                  <c:v>200</c:v>
                </c:pt>
                <c:pt idx="6">
                  <c:v>114</c:v>
                </c:pt>
                <c:pt idx="7">
                  <c:v>114</c:v>
                </c:pt>
                <c:pt idx="8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E-4BC1-9A68-A1FF282789C1}"/>
            </c:ext>
          </c:extLst>
        </c:ser>
        <c:ser>
          <c:idx val="1"/>
          <c:order val="1"/>
          <c:tx>
            <c:strRef>
              <c:f>WideOrbit!$X$1</c:f>
              <c:strCache>
                <c:ptCount val="1"/>
                <c:pt idx="0">
                  <c:v>Test Execution effort spent after automation
(PH)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WideOrbit!$G$3:$G$11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February</c:v>
                </c:pt>
                <c:pt idx="3">
                  <c:v>March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July</c:v>
                </c:pt>
                <c:pt idx="8">
                  <c:v>August</c:v>
                </c:pt>
              </c:strCache>
            </c:strRef>
          </c:cat>
          <c:val>
            <c:numRef>
              <c:f>WideOrbit!$X$3:$X$11</c:f>
              <c:numCache>
                <c:formatCode>0.00</c:formatCode>
                <c:ptCount val="9"/>
                <c:pt idx="0">
                  <c:v>0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8.1666666666666679</c:v>
                </c:pt>
                <c:pt idx="5">
                  <c:v>36</c:v>
                </c:pt>
                <c:pt idx="6">
                  <c:v>28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0E-4BC1-9A68-A1FF282789C1}"/>
            </c:ext>
          </c:extLst>
        </c:ser>
        <c:ser>
          <c:idx val="2"/>
          <c:order val="2"/>
          <c:tx>
            <c:strRef>
              <c:f>WideOrbit!$Y$1</c:f>
              <c:strCache>
                <c:ptCount val="1"/>
                <c:pt idx="0">
                  <c:v>Effort Savings Per Cycle (PH)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WideOrbit!$G$3:$G$11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February</c:v>
                </c:pt>
                <c:pt idx="3">
                  <c:v>March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July</c:v>
                </c:pt>
                <c:pt idx="8">
                  <c:v>August</c:v>
                </c:pt>
              </c:strCache>
            </c:strRef>
          </c:cat>
          <c:val>
            <c:numRef>
              <c:f>WideOrbit!$Y$3:$Y$11</c:f>
              <c:numCache>
                <c:formatCode>0.00</c:formatCode>
                <c:ptCount val="9"/>
                <c:pt idx="0">
                  <c:v>0</c:v>
                </c:pt>
                <c:pt idx="1">
                  <c:v>167.33333333333334</c:v>
                </c:pt>
                <c:pt idx="2">
                  <c:v>0</c:v>
                </c:pt>
                <c:pt idx="3">
                  <c:v>0</c:v>
                </c:pt>
                <c:pt idx="4">
                  <c:v>1.1666666666666661</c:v>
                </c:pt>
                <c:pt idx="5">
                  <c:v>164</c:v>
                </c:pt>
                <c:pt idx="6">
                  <c:v>86</c:v>
                </c:pt>
                <c:pt idx="7">
                  <c:v>84</c:v>
                </c:pt>
                <c:pt idx="8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0E-4BC1-9A68-A1FF282789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6915904"/>
        <c:axId val="796916296"/>
      </c:barChart>
      <c:catAx>
        <c:axId val="79691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16296"/>
        <c:crosses val="autoZero"/>
        <c:auto val="1"/>
        <c:lblAlgn val="ctr"/>
        <c:lblOffset val="100"/>
        <c:noMultiLvlLbl val="0"/>
      </c:catAx>
      <c:valAx>
        <c:axId val="79691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1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WideOrbit!$AD$2</c:f>
              <c:strCache>
                <c:ptCount val="1"/>
                <c:pt idx="0">
                  <c:v>Effort Savings 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WideOrbit!$G$3:$G$11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February</c:v>
                </c:pt>
                <c:pt idx="3">
                  <c:v>March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July</c:v>
                </c:pt>
                <c:pt idx="8">
                  <c:v>August</c:v>
                </c:pt>
              </c:strCache>
            </c:strRef>
          </c:cat>
          <c:val>
            <c:numRef>
              <c:f>WideOrbit!$AD$3:$AD$11</c:f>
              <c:numCache>
                <c:formatCode>0.00%</c:formatCode>
                <c:ptCount val="9"/>
                <c:pt idx="0">
                  <c:v>0</c:v>
                </c:pt>
                <c:pt idx="1">
                  <c:v>0.79936305732484081</c:v>
                </c:pt>
                <c:pt idx="2">
                  <c:v>0</c:v>
                </c:pt>
                <c:pt idx="3">
                  <c:v>0</c:v>
                </c:pt>
                <c:pt idx="4">
                  <c:v>0.12499999999999993</c:v>
                </c:pt>
                <c:pt idx="5">
                  <c:v>0.82</c:v>
                </c:pt>
                <c:pt idx="6">
                  <c:v>0.75438596491228072</c:v>
                </c:pt>
                <c:pt idx="7">
                  <c:v>0.73684210526315785</c:v>
                </c:pt>
                <c:pt idx="8">
                  <c:v>0.73684210526315785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4-4C40-A888-AE5949E8ED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6911984"/>
        <c:axId val="796913160"/>
      </c:barChart>
      <c:catAx>
        <c:axId val="79691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13160"/>
        <c:crosses val="autoZero"/>
        <c:auto val="1"/>
        <c:lblAlgn val="ctr"/>
        <c:lblOffset val="100"/>
        <c:noMultiLvlLbl val="0"/>
      </c:catAx>
      <c:valAx>
        <c:axId val="796913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WideOrbit!$AE$2</c:f>
              <c:strCache>
                <c:ptCount val="1"/>
                <c:pt idx="0">
                  <c:v>Cost Savings Per Cycle ($)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WideOrbit!$G$3:$G$11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February</c:v>
                </c:pt>
                <c:pt idx="3">
                  <c:v>March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July</c:v>
                </c:pt>
                <c:pt idx="8">
                  <c:v>August</c:v>
                </c:pt>
              </c:strCache>
            </c:strRef>
          </c:cat>
          <c:val>
            <c:numRef>
              <c:f>WideOrbit!$AE$3:$AE$11</c:f>
              <c:numCache>
                <c:formatCode>"$"#,##0.00_);[Red]\("$"#,##0.00\)</c:formatCode>
                <c:ptCount val="9"/>
                <c:pt idx="0">
                  <c:v>0</c:v>
                </c:pt>
                <c:pt idx="1">
                  <c:v>4183.3333333333339</c:v>
                </c:pt>
                <c:pt idx="2">
                  <c:v>0</c:v>
                </c:pt>
                <c:pt idx="3">
                  <c:v>0</c:v>
                </c:pt>
                <c:pt idx="4">
                  <c:v>29.16666666666665</c:v>
                </c:pt>
                <c:pt idx="5">
                  <c:v>4100</c:v>
                </c:pt>
                <c:pt idx="6">
                  <c:v>2150</c:v>
                </c:pt>
                <c:pt idx="7">
                  <c:v>2100</c:v>
                </c:pt>
                <c:pt idx="8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2-4F31-8B6E-CB23D476D4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6910416"/>
        <c:axId val="796913552"/>
      </c:barChart>
      <c:catAx>
        <c:axId val="79691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13552"/>
        <c:crosses val="autoZero"/>
        <c:auto val="1"/>
        <c:lblAlgn val="ctr"/>
        <c:lblOffset val="100"/>
        <c:noMultiLvlLbl val="0"/>
      </c:catAx>
      <c:valAx>
        <c:axId val="796913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1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Month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98250468603"/>
          <c:y val="0.21747703412073499"/>
          <c:w val="0.84600483612867095"/>
          <c:h val="0.5478069762467899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WideOrbit!$O$56:$O$67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WideOrbit!$S$56:$S$67</c:f>
              <c:numCache>
                <c:formatCode>"$"#,##0.00</c:formatCode>
                <c:ptCount val="12"/>
                <c:pt idx="0">
                  <c:v>0</c:v>
                </c:pt>
                <c:pt idx="1">
                  <c:v>4183.3333333333339</c:v>
                </c:pt>
                <c:pt idx="2">
                  <c:v>29.16666666666665</c:v>
                </c:pt>
                <c:pt idx="3">
                  <c:v>4100</c:v>
                </c:pt>
                <c:pt idx="4">
                  <c:v>2150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2-4EA7-B177-F7BDF46DA8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6911200"/>
        <c:axId val="796912376"/>
      </c:barChart>
      <c:catAx>
        <c:axId val="7969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12376"/>
        <c:crosses val="autoZero"/>
        <c:auto val="1"/>
        <c:lblAlgn val="ctr"/>
        <c:lblOffset val="100"/>
        <c:noMultiLvlLbl val="0"/>
      </c:catAx>
      <c:valAx>
        <c:axId val="7969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1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- Per Month  (%)</a:t>
            </a:r>
          </a:p>
        </c:rich>
      </c:tx>
      <c:layout>
        <c:manualLayout>
          <c:xMode val="edge"/>
          <c:yMode val="edge"/>
          <c:x val="0.154602479941648"/>
          <c:y val="4.826098935028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WideOrbit!$O$56:$O$67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WideOrbit!$R$56:$R$67</c:f>
              <c:numCache>
                <c:formatCode>0.00%</c:formatCode>
                <c:ptCount val="12"/>
                <c:pt idx="0">
                  <c:v>0</c:v>
                </c:pt>
                <c:pt idx="1">
                  <c:v>0.79936305732484081</c:v>
                </c:pt>
                <c:pt idx="2">
                  <c:v>0.12499999999999993</c:v>
                </c:pt>
                <c:pt idx="3">
                  <c:v>0.82</c:v>
                </c:pt>
                <c:pt idx="4">
                  <c:v>0.75438596491228072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D-49AA-8223-9934190A65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6912768"/>
        <c:axId val="796914336"/>
      </c:barChart>
      <c:catAx>
        <c:axId val="79691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14336"/>
        <c:crosses val="autoZero"/>
        <c:auto val="1"/>
        <c:lblAlgn val="ctr"/>
        <c:lblOffset val="100"/>
        <c:noMultiLvlLbl val="0"/>
      </c:catAx>
      <c:valAx>
        <c:axId val="7969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1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6"/>
              <c:pt idx="0">
                <c:v>Jan Regression</c:v>
              </c:pt>
              <c:pt idx="1">
                <c:v>Feb Regression</c:v>
              </c:pt>
              <c:pt idx="2">
                <c:v>Mar Regression</c:v>
              </c:pt>
              <c:pt idx="3">
                <c:v>Apr Regression</c:v>
              </c:pt>
              <c:pt idx="4">
                <c:v>May Regression</c:v>
              </c:pt>
              <c:pt idx="5">
                <c:v>Jun Regression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ED74-49BC-A307-C363065623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377760"/>
        <c:axId val="601378544"/>
      </c:barChart>
      <c:catAx>
        <c:axId val="60137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78544"/>
        <c:crosses val="autoZero"/>
        <c:auto val="1"/>
        <c:lblAlgn val="ctr"/>
        <c:lblOffset val="100"/>
        <c:noMultiLvlLbl val="0"/>
      </c:catAx>
      <c:valAx>
        <c:axId val="6013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7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6"/>
              <c:pt idx="0">
                <c:v>Jan Regression</c:v>
              </c:pt>
              <c:pt idx="1">
                <c:v>Feb Regression</c:v>
              </c:pt>
              <c:pt idx="2">
                <c:v>Mar Regression</c:v>
              </c:pt>
              <c:pt idx="3">
                <c:v>Apr Regression</c:v>
              </c:pt>
              <c:pt idx="4">
                <c:v>May Regression</c:v>
              </c:pt>
              <c:pt idx="5">
                <c:v>Jun Regression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F33C-446D-912B-65466340A8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375408"/>
        <c:axId val="601373448"/>
      </c:barChart>
      <c:catAx>
        <c:axId val="60137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73448"/>
        <c:crosses val="autoZero"/>
        <c:auto val="1"/>
        <c:lblAlgn val="ctr"/>
        <c:lblOffset val="100"/>
        <c:noMultiLvlLbl val="0"/>
      </c:catAx>
      <c:valAx>
        <c:axId val="601373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7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Jan Regression</c:v>
              </c:pt>
              <c:pt idx="1">
                <c:v>Feb Regression</c:v>
              </c:pt>
              <c:pt idx="2">
                <c:v>Mar Regression</c:v>
              </c:pt>
              <c:pt idx="3">
                <c:v>Apr Regression</c:v>
              </c:pt>
              <c:pt idx="4">
                <c:v>May Regression</c:v>
              </c:pt>
              <c:pt idx="5">
                <c:v>Jun Regression</c:v>
              </c:pt>
            </c:strLit>
          </c:cat>
          <c:val>
            <c:numLit>
              <c:formatCode>General</c:formatCode>
              <c:ptCount val="6"/>
              <c:pt idx="0">
                <c:v>0.65306122448979598</c:v>
              </c:pt>
              <c:pt idx="1">
                <c:v>0</c:v>
              </c:pt>
              <c:pt idx="2">
                <c:v>0.27947598253275102</c:v>
              </c:pt>
              <c:pt idx="3">
                <c:v>0.53927813163481997</c:v>
              </c:pt>
              <c:pt idx="4">
                <c:v>0.69002123142250504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56E-4109-9AE7-7828E7C0DA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382072"/>
        <c:axId val="601378936"/>
      </c:barChart>
      <c:catAx>
        <c:axId val="601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78936"/>
        <c:crosses val="autoZero"/>
        <c:auto val="1"/>
        <c:lblAlgn val="ctr"/>
        <c:lblOffset val="100"/>
        <c:noMultiLvlLbl val="0"/>
      </c:catAx>
      <c:valAx>
        <c:axId val="6013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8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Magic!$C$3:$C$5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Magic!$AB$3:$AB$5</c:f>
              <c:numCache>
                <c:formatCode>0.00%</c:formatCode>
                <c:ptCount val="3"/>
                <c:pt idx="0">
                  <c:v>0.96196789951151429</c:v>
                </c:pt>
                <c:pt idx="1">
                  <c:v>0.96217904233171414</c:v>
                </c:pt>
                <c:pt idx="2">
                  <c:v>0.96234887737478414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C-4A28-B832-108B7DDC2D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62664"/>
        <c:axId val="801754824"/>
      </c:barChart>
      <c:catAx>
        <c:axId val="80176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4824"/>
        <c:crosses val="autoZero"/>
        <c:auto val="1"/>
        <c:lblAlgn val="ctr"/>
        <c:lblOffset val="100"/>
        <c:noMultiLvlLbl val="0"/>
      </c:catAx>
      <c:valAx>
        <c:axId val="801754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6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6"/>
              <c:pt idx="0">
                <c:v>Jan Regression</c:v>
              </c:pt>
              <c:pt idx="1">
                <c:v>Feb Regression</c:v>
              </c:pt>
              <c:pt idx="2">
                <c:v>Mar Regression</c:v>
              </c:pt>
              <c:pt idx="3">
                <c:v>Apr Regression</c:v>
              </c:pt>
              <c:pt idx="4">
                <c:v>May Regression</c:v>
              </c:pt>
              <c:pt idx="5">
                <c:v>Jun Regression</c:v>
              </c:pt>
            </c:strLit>
          </c:cat>
          <c:val>
            <c:numLit>
              <c:formatCode>General</c:formatCode>
              <c:ptCount val="6"/>
              <c:pt idx="0">
                <c:v>40</c:v>
              </c:pt>
              <c:pt idx="1">
                <c:v>0</c:v>
              </c:pt>
              <c:pt idx="2">
                <c:v>18</c:v>
              </c:pt>
              <c:pt idx="3">
                <c:v>38</c:v>
              </c:pt>
              <c:pt idx="4">
                <c:v>45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2BC-44E8-B606-3668DA7FBCDB}"/>
            </c:ext>
          </c:extLst>
        </c:ser>
        <c:ser>
          <c:idx val="1"/>
          <c:order val="1"/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6"/>
              <c:pt idx="0">
                <c:v>Jan Regression</c:v>
              </c:pt>
              <c:pt idx="1">
                <c:v>Feb Regression</c:v>
              </c:pt>
              <c:pt idx="2">
                <c:v>Mar Regression</c:v>
              </c:pt>
              <c:pt idx="3">
                <c:v>Apr Regression</c:v>
              </c:pt>
              <c:pt idx="4">
                <c:v>May Regression</c:v>
              </c:pt>
              <c:pt idx="5">
                <c:v>Jun Regression</c:v>
              </c:pt>
            </c:strLit>
          </c:cat>
          <c:val>
            <c:numLit>
              <c:formatCode>General</c:formatCode>
              <c:ptCount val="6"/>
              <c:pt idx="0">
                <c:v>9</c:v>
              </c:pt>
              <c:pt idx="1">
                <c:v>0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2BC-44E8-B606-3668DA7FBCDB}"/>
            </c:ext>
          </c:extLst>
        </c:ser>
        <c:ser>
          <c:idx val="2"/>
          <c:order val="2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6"/>
              <c:pt idx="0">
                <c:v>Jan Regression</c:v>
              </c:pt>
              <c:pt idx="1">
                <c:v>Feb Regression</c:v>
              </c:pt>
              <c:pt idx="2">
                <c:v>Mar Regression</c:v>
              </c:pt>
              <c:pt idx="3">
                <c:v>Apr Regression</c:v>
              </c:pt>
              <c:pt idx="4">
                <c:v>May Regression</c:v>
              </c:pt>
              <c:pt idx="5">
                <c:v>Jun Regression</c:v>
              </c:pt>
            </c:strLit>
          </c:cat>
          <c:val>
            <c:numLit>
              <c:formatCode>General</c:formatCode>
              <c:ptCount val="6"/>
              <c:pt idx="0">
                <c:v>31</c:v>
              </c:pt>
              <c:pt idx="1">
                <c:v>0</c:v>
              </c:pt>
              <c:pt idx="2">
                <c:v>12</c:v>
              </c:pt>
              <c:pt idx="3">
                <c:v>30</c:v>
              </c:pt>
              <c:pt idx="4">
                <c:v>36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D2BC-44E8-B606-3668DA7FBC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370704"/>
        <c:axId val="601372272"/>
      </c:barChart>
      <c:catAx>
        <c:axId val="60137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72272"/>
        <c:crosses val="autoZero"/>
        <c:auto val="1"/>
        <c:lblAlgn val="ctr"/>
        <c:lblOffset val="100"/>
        <c:noMultiLvlLbl val="0"/>
      </c:catAx>
      <c:valAx>
        <c:axId val="6013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7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Jan Regression</c:v>
              </c:pt>
              <c:pt idx="1">
                <c:v>Feb Regression</c:v>
              </c:pt>
              <c:pt idx="2">
                <c:v>Mar Regression</c:v>
              </c:pt>
              <c:pt idx="3">
                <c:v>Apr Regression</c:v>
              </c:pt>
              <c:pt idx="4">
                <c:v>May Regression</c:v>
              </c:pt>
              <c:pt idx="5">
                <c:v>Jun Regression</c:v>
              </c:pt>
            </c:strLit>
          </c:cat>
          <c:val>
            <c:numLit>
              <c:formatCode>General</c:formatCode>
              <c:ptCount val="6"/>
              <c:pt idx="0">
                <c:v>0.77500000000000002</c:v>
              </c:pt>
              <c:pt idx="1">
                <c:v>0</c:v>
              </c:pt>
              <c:pt idx="2">
                <c:v>0.66666666666666696</c:v>
              </c:pt>
              <c:pt idx="3">
                <c:v>0.78947368421052599</c:v>
              </c:pt>
              <c:pt idx="4">
                <c:v>0.8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2A7-49BE-A4A2-B55C8250ED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375800"/>
        <c:axId val="601381288"/>
      </c:barChart>
      <c:catAx>
        <c:axId val="60137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81288"/>
        <c:crosses val="autoZero"/>
        <c:auto val="1"/>
        <c:lblAlgn val="ctr"/>
        <c:lblOffset val="100"/>
        <c:noMultiLvlLbl val="0"/>
      </c:catAx>
      <c:valAx>
        <c:axId val="601381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7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Jan Regression</c:v>
              </c:pt>
              <c:pt idx="1">
                <c:v>Feb Regression</c:v>
              </c:pt>
              <c:pt idx="2">
                <c:v>Mar Regression</c:v>
              </c:pt>
              <c:pt idx="3">
                <c:v>Apr Regression</c:v>
              </c:pt>
              <c:pt idx="4">
                <c:v>May Regression</c:v>
              </c:pt>
              <c:pt idx="5">
                <c:v>Jun Regression</c:v>
              </c:pt>
            </c:strLit>
          </c:cat>
          <c:val>
            <c:numLit>
              <c:formatCode>General</c:formatCode>
              <c:ptCount val="6"/>
              <c:pt idx="0">
                <c:v>775</c:v>
              </c:pt>
              <c:pt idx="1">
                <c:v>0</c:v>
              </c:pt>
              <c:pt idx="2">
                <c:v>300</c:v>
              </c:pt>
              <c:pt idx="3">
                <c:v>750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EF2-463A-9A49-7FA46BDD93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373840"/>
        <c:axId val="601375016"/>
      </c:barChart>
      <c:catAx>
        <c:axId val="60137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75016"/>
        <c:crosses val="autoZero"/>
        <c:auto val="1"/>
        <c:lblAlgn val="ctr"/>
        <c:lblOffset val="100"/>
        <c:noMultiLvlLbl val="0"/>
      </c:catAx>
      <c:valAx>
        <c:axId val="601375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Score!$C$3:$C$10</c:f>
              <c:strCache>
                <c:ptCount val="8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Score!$AB$3:$AB$10</c:f>
              <c:numCache>
                <c:formatCode>0.00%</c:formatCode>
                <c:ptCount val="8"/>
                <c:pt idx="0">
                  <c:v>0.32799442896935932</c:v>
                </c:pt>
                <c:pt idx="1">
                  <c:v>0.32799442896935932</c:v>
                </c:pt>
                <c:pt idx="2">
                  <c:v>0.32799442896935932</c:v>
                </c:pt>
                <c:pt idx="3">
                  <c:v>0.32799442896935932</c:v>
                </c:pt>
                <c:pt idx="4">
                  <c:v>0.32799442896935932</c:v>
                </c:pt>
                <c:pt idx="5">
                  <c:v>0.32799442896935932</c:v>
                </c:pt>
                <c:pt idx="6">
                  <c:v>0.32799442896935932</c:v>
                </c:pt>
                <c:pt idx="7">
                  <c:v>0.32799442896935932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05-48FF-891B-FC802D1550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373056"/>
        <c:axId val="601382856"/>
      </c:barChart>
      <c:catAx>
        <c:axId val="60137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82856"/>
        <c:crosses val="autoZero"/>
        <c:auto val="1"/>
        <c:lblAlgn val="ctr"/>
        <c:lblOffset val="100"/>
        <c:noMultiLvlLbl val="0"/>
      </c:catAx>
      <c:valAx>
        <c:axId val="60138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7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Score!$C$3:$C$10</c:f>
              <c:strCache>
                <c:ptCount val="8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Score!$AC$3:$AC$10</c:f>
              <c:numCache>
                <c:formatCode>0.00%</c:formatCode>
                <c:ptCount val="8"/>
                <c:pt idx="0">
                  <c:v>0.32799442896935932</c:v>
                </c:pt>
                <c:pt idx="1">
                  <c:v>0.32799442896935932</c:v>
                </c:pt>
                <c:pt idx="2">
                  <c:v>0.32799442896935932</c:v>
                </c:pt>
                <c:pt idx="3">
                  <c:v>0.32799442896935932</c:v>
                </c:pt>
                <c:pt idx="4">
                  <c:v>0.32799442896935932</c:v>
                </c:pt>
                <c:pt idx="5">
                  <c:v>0.32799442896935932</c:v>
                </c:pt>
                <c:pt idx="6">
                  <c:v>0.32799442896935932</c:v>
                </c:pt>
                <c:pt idx="7">
                  <c:v>0.32799442896935932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8-4C05-B848-713110F99C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377368"/>
        <c:axId val="601374624"/>
      </c:barChart>
      <c:catAx>
        <c:axId val="60137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74624"/>
        <c:crosses val="autoZero"/>
        <c:auto val="1"/>
        <c:lblAlgn val="ctr"/>
        <c:lblOffset val="100"/>
        <c:noMultiLvlLbl val="0"/>
      </c:catAx>
      <c:valAx>
        <c:axId val="601374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7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Score!$C$3:$C$10</c:f>
              <c:strCache>
                <c:ptCount val="8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Score!$AD$3:$AD$10</c:f>
              <c:numCache>
                <c:formatCode>0.00%</c:formatCode>
                <c:ptCount val="8"/>
                <c:pt idx="0">
                  <c:v>0.59872611464968151</c:v>
                </c:pt>
                <c:pt idx="1">
                  <c:v>0.59872611464968151</c:v>
                </c:pt>
                <c:pt idx="2">
                  <c:v>0.58811040339702758</c:v>
                </c:pt>
                <c:pt idx="3">
                  <c:v>0.58811040339702758</c:v>
                </c:pt>
                <c:pt idx="4">
                  <c:v>0.29405520169851379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6-469C-9D9C-5842F37D06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380504"/>
        <c:axId val="601371488"/>
      </c:barChart>
      <c:catAx>
        <c:axId val="60138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71488"/>
        <c:crosses val="autoZero"/>
        <c:auto val="1"/>
        <c:lblAlgn val="ctr"/>
        <c:lblOffset val="100"/>
        <c:noMultiLvlLbl val="0"/>
      </c:catAx>
      <c:valAx>
        <c:axId val="6013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8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Score!$C$3:$C$10</c:f>
              <c:strCache>
                <c:ptCount val="8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Score!$R$3:$R$10</c:f>
              <c:numCache>
                <c:formatCode>0.00</c:formatCode>
                <c:ptCount val="8"/>
                <c:pt idx="0">
                  <c:v>64</c:v>
                </c:pt>
                <c:pt idx="1">
                  <c:v>64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7-4660-86B6-CE6F611CB6B1}"/>
            </c:ext>
          </c:extLst>
        </c:ser>
        <c:ser>
          <c:idx val="1"/>
          <c:order val="1"/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Score!$C$3:$C$10</c:f>
              <c:strCache>
                <c:ptCount val="8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Score!$X$3:$X$10</c:f>
              <c:numCache>
                <c:formatCode>0.00</c:formatCode>
                <c:ptCount val="8"/>
                <c:pt idx="0">
                  <c:v>20</c:v>
                </c:pt>
                <c:pt idx="1">
                  <c:v>16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7-4660-86B6-CE6F611CB6B1}"/>
            </c:ext>
          </c:extLst>
        </c:ser>
        <c:ser>
          <c:idx val="2"/>
          <c:order val="2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Score!$C$3:$C$10</c:f>
              <c:strCache>
                <c:ptCount val="8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Score!$Y$3:$Y$10</c:f>
              <c:numCache>
                <c:formatCode>0.00</c:formatCode>
                <c:ptCount val="8"/>
                <c:pt idx="0">
                  <c:v>44</c:v>
                </c:pt>
                <c:pt idx="1">
                  <c:v>48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A7-4660-86B6-CE6F611CB6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376192"/>
        <c:axId val="601380112"/>
      </c:barChart>
      <c:catAx>
        <c:axId val="60137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80112"/>
        <c:crosses val="autoZero"/>
        <c:auto val="1"/>
        <c:lblAlgn val="ctr"/>
        <c:lblOffset val="100"/>
        <c:noMultiLvlLbl val="0"/>
      </c:catAx>
      <c:valAx>
        <c:axId val="6013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7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Score!$C$3:$C$9</c:f>
              <c:strCache>
                <c:ptCount val="7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Score!$AE$3:$AE$9</c:f>
              <c:numCache>
                <c:formatCode>0.00%</c:formatCode>
                <c:ptCount val="7"/>
                <c:pt idx="0">
                  <c:v>0.6875</c:v>
                </c:pt>
                <c:pt idx="1">
                  <c:v>0.75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1-4C6F-8FAC-84419849ED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395400"/>
        <c:axId val="601387168"/>
      </c:barChart>
      <c:catAx>
        <c:axId val="60139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87168"/>
        <c:crosses val="autoZero"/>
        <c:auto val="1"/>
        <c:lblAlgn val="ctr"/>
        <c:lblOffset val="100"/>
        <c:noMultiLvlLbl val="0"/>
      </c:catAx>
      <c:valAx>
        <c:axId val="601387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95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Score!$C$3:$C$10</c:f>
              <c:strCache>
                <c:ptCount val="8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Score!$AF$3:$AF$10</c:f>
              <c:numCache>
                <c:formatCode>"$"#,##0.00_);[Red]\("$"#,##0.00\)</c:formatCode>
                <c:ptCount val="8"/>
                <c:pt idx="0">
                  <c:v>1100</c:v>
                </c:pt>
                <c:pt idx="1">
                  <c:v>1200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5-42B8-8F32-B6C5052DF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386384"/>
        <c:axId val="601393048"/>
      </c:barChart>
      <c:catAx>
        <c:axId val="60138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93048"/>
        <c:crosses val="autoZero"/>
        <c:auto val="1"/>
        <c:lblAlgn val="ctr"/>
        <c:lblOffset val="100"/>
        <c:noMultiLvlLbl val="0"/>
      </c:catAx>
      <c:valAx>
        <c:axId val="601393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8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Month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98250468603"/>
          <c:y val="0.21747703412073499"/>
          <c:w val="0.84600483612867095"/>
          <c:h val="0.5478069762467899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Score!$O$51:$O$62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Score!$S$51:$S$62</c:f>
              <c:numCache>
                <c:formatCode>"$"#,##0.00</c:formatCode>
                <c:ptCount val="12"/>
                <c:pt idx="0">
                  <c:v>1100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A-442F-A7A6-E90BB81896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383248"/>
        <c:axId val="601393440"/>
      </c:barChart>
      <c:catAx>
        <c:axId val="6013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93440"/>
        <c:crosses val="autoZero"/>
        <c:auto val="1"/>
        <c:lblAlgn val="ctr"/>
        <c:lblOffset val="100"/>
        <c:noMultiLvlLbl val="0"/>
      </c:catAx>
      <c:valAx>
        <c:axId val="6013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8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Magic!$C$3:$C$5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Magic!$AC$3:$AC$5</c:f>
              <c:numCache>
                <c:formatCode>0.00%</c:formatCode>
                <c:ptCount val="3"/>
                <c:pt idx="0">
                  <c:v>0.8620037807183365</c:v>
                </c:pt>
                <c:pt idx="1">
                  <c:v>0.86033519553072624</c:v>
                </c:pt>
                <c:pt idx="2">
                  <c:v>0.85004599816007365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9-4B59-8E82-DE9CB0593C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63056"/>
        <c:axId val="801754432"/>
      </c:barChart>
      <c:catAx>
        <c:axId val="8017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4432"/>
        <c:crosses val="autoZero"/>
        <c:auto val="1"/>
        <c:lblAlgn val="ctr"/>
        <c:lblOffset val="100"/>
        <c:noMultiLvlLbl val="0"/>
      </c:catAx>
      <c:valAx>
        <c:axId val="8017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6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- Per Month  (%)</a:t>
            </a:r>
          </a:p>
        </c:rich>
      </c:tx>
      <c:layout>
        <c:manualLayout>
          <c:xMode val="edge"/>
          <c:yMode val="edge"/>
          <c:x val="0.154602479941648"/>
          <c:y val="4.826098935028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644-462F-A184-9090466938F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644-462F-A184-9090466938F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644-462F-A184-9090466938F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644-462F-A184-9090466938F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E644-462F-A184-9090466938F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E644-462F-A184-9090466938F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E644-462F-A184-9090466938F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E644-462F-A184-9090466938F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E644-462F-A184-9090466938FC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E644-462F-A184-9090466938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Score!$O$51:$O$62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Score!$R$51:$R$62</c:f>
              <c:numCache>
                <c:formatCode>0.00%</c:formatCode>
                <c:ptCount val="12"/>
                <c:pt idx="0">
                  <c:v>0.6875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644-462F-A184-9090466938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383640"/>
        <c:axId val="601385600"/>
      </c:barChart>
      <c:catAx>
        <c:axId val="60138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85600"/>
        <c:crosses val="autoZero"/>
        <c:auto val="1"/>
        <c:lblAlgn val="ctr"/>
        <c:lblOffset val="100"/>
        <c:noMultiLvlLbl val="0"/>
      </c:catAx>
      <c:valAx>
        <c:axId val="6013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8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DeptSystems!$C$3:$C$11</c:f>
              <c:strCache>
                <c:ptCount val="9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  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DeptSystems!$AB$3:$AB$11</c:f>
              <c:numCache>
                <c:formatCode>0.00%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F-415A-A324-13785A0609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389912"/>
        <c:axId val="601386776"/>
      </c:barChart>
      <c:catAx>
        <c:axId val="60138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86776"/>
        <c:crosses val="autoZero"/>
        <c:auto val="1"/>
        <c:lblAlgn val="ctr"/>
        <c:lblOffset val="100"/>
        <c:noMultiLvlLbl val="0"/>
      </c:catAx>
      <c:valAx>
        <c:axId val="60138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8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DeptSystems!$C$3:$C$11</c:f>
              <c:strCache>
                <c:ptCount val="9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  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DeptSystems!$AC$3:$AC$11</c:f>
              <c:numCache>
                <c:formatCode>0.00%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9-4D74-A9DB-1BCEA31421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387952"/>
        <c:axId val="601388344"/>
      </c:barChart>
      <c:catAx>
        <c:axId val="60138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88344"/>
        <c:crosses val="autoZero"/>
        <c:auto val="1"/>
        <c:lblAlgn val="ctr"/>
        <c:lblOffset val="100"/>
        <c:noMultiLvlLbl val="0"/>
      </c:catAx>
      <c:valAx>
        <c:axId val="601388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8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DeptSystems!$C$3:$C$11</c:f>
              <c:strCache>
                <c:ptCount val="9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  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DeptSystems!$AD$3:$AD$11</c:f>
              <c:numCache>
                <c:formatCode>0.00%</c:formatCode>
                <c:ptCount val="9"/>
                <c:pt idx="0">
                  <c:v>0.19292604501607716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C-4B10-9148-4FBC12EA40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390696"/>
        <c:axId val="601391088"/>
      </c:barChart>
      <c:catAx>
        <c:axId val="60139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91088"/>
        <c:crosses val="autoZero"/>
        <c:auto val="1"/>
        <c:lblAlgn val="ctr"/>
        <c:lblOffset val="100"/>
        <c:noMultiLvlLbl val="0"/>
      </c:catAx>
      <c:valAx>
        <c:axId val="6013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9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DeptSystems!$C$3:$C$11</c:f>
              <c:strCache>
                <c:ptCount val="9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  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DeptSystems!$R$3:$R$11</c:f>
              <c:numCache>
                <c:formatCode>0.00</c:formatCode>
                <c:ptCount val="9"/>
                <c:pt idx="0">
                  <c:v>60</c:v>
                </c:pt>
                <c:pt idx="1">
                  <c:v>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80</c:v>
                </c:pt>
                <c:pt idx="7">
                  <c:v>80</c:v>
                </c:pt>
                <c:pt idx="8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5-475A-A03D-9C32E79EC274}"/>
            </c:ext>
          </c:extLst>
        </c:ser>
        <c:ser>
          <c:idx val="1"/>
          <c:order val="1"/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DeptSystems!$C$3:$C$11</c:f>
              <c:strCache>
                <c:ptCount val="9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  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DeptSystems!$X$3:$X$11</c:f>
              <c:numCache>
                <c:formatCode>0.00</c:formatCode>
                <c:ptCount val="9"/>
                <c:pt idx="0">
                  <c:v>15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</c:v>
                </c:pt>
                <c:pt idx="7">
                  <c:v>40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5-475A-A03D-9C32E79EC274}"/>
            </c:ext>
          </c:extLst>
        </c:ser>
        <c:ser>
          <c:idx val="2"/>
          <c:order val="2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DeptSystems!$C$3:$C$11</c:f>
              <c:strCache>
                <c:ptCount val="9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  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DeptSystems!$Y$3:$Y$11</c:f>
              <c:numCache>
                <c:formatCode>0.00</c:formatCode>
                <c:ptCount val="9"/>
                <c:pt idx="0">
                  <c:v>45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</c:v>
                </c:pt>
                <c:pt idx="7">
                  <c:v>40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35-475A-A03D-9C32E79EC2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391872"/>
        <c:axId val="601392264"/>
      </c:barChart>
      <c:catAx>
        <c:axId val="60139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92264"/>
        <c:crosses val="autoZero"/>
        <c:auto val="1"/>
        <c:lblAlgn val="ctr"/>
        <c:lblOffset val="100"/>
        <c:noMultiLvlLbl val="0"/>
      </c:catAx>
      <c:valAx>
        <c:axId val="60139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9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DeptSystems!$C$3:$C$11</c:f>
              <c:strCache>
                <c:ptCount val="9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  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DeptSystems!$AE$3:$AE$11</c:f>
              <c:numCache>
                <c:formatCode>0.00%</c:formatCode>
                <c:ptCount val="9"/>
                <c:pt idx="0">
                  <c:v>0.75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F-49E3-A947-DCDD1F7312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393832"/>
        <c:axId val="601394224"/>
      </c:barChart>
      <c:catAx>
        <c:axId val="60139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94224"/>
        <c:crosses val="autoZero"/>
        <c:auto val="1"/>
        <c:lblAlgn val="ctr"/>
        <c:lblOffset val="100"/>
        <c:noMultiLvlLbl val="0"/>
      </c:catAx>
      <c:valAx>
        <c:axId val="601394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93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DeptSystems!$C$3:$C$11</c:f>
              <c:strCache>
                <c:ptCount val="9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  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DeptSystems!$AF$3:$AF$11</c:f>
              <c:numCache>
                <c:formatCode>"$"#,##0.00_);[Red]\("$"#,##0.00\)</c:formatCode>
                <c:ptCount val="9"/>
                <c:pt idx="0">
                  <c:v>1125</c:v>
                </c:pt>
                <c:pt idx="1">
                  <c:v>1000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1000</c:v>
                </c:pt>
                <c:pt idx="7">
                  <c:v>1000</c:v>
                </c:pt>
                <c:pt idx="8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C-428D-882F-798998B5EE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384032"/>
        <c:axId val="601384424"/>
      </c:barChart>
      <c:catAx>
        <c:axId val="60138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84424"/>
        <c:crosses val="autoZero"/>
        <c:auto val="1"/>
        <c:lblAlgn val="ctr"/>
        <c:lblOffset val="100"/>
        <c:noMultiLvlLbl val="0"/>
      </c:catAx>
      <c:valAx>
        <c:axId val="601384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8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- Per Month  (%)</a:t>
            </a:r>
          </a:p>
        </c:rich>
      </c:tx>
      <c:layout>
        <c:manualLayout>
          <c:xMode val="edge"/>
          <c:yMode val="edge"/>
          <c:x val="0.154602479941648"/>
          <c:y val="4.826098935028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A32-4053-8DC2-D4E2A58CA4A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A32-4053-8DC2-D4E2A58CA4A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1A32-4053-8DC2-D4E2A58CA4A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1A32-4053-8DC2-D4E2A58CA4A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1A32-4053-8DC2-D4E2A58CA4A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1A32-4053-8DC2-D4E2A58CA4A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1A32-4053-8DC2-D4E2A58CA4A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1A32-4053-8DC2-D4E2A58CA4A3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1A32-4053-8DC2-D4E2A58CA4A3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1A32-4053-8DC2-D4E2A58CA4A3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1A32-4053-8DC2-D4E2A58CA4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DeptSystems!$O$51:$O$62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DeptSystems!$R$51:$R$62</c:f>
              <c:numCache>
                <c:formatCode>0.00%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A32-4053-8DC2-D4E2A58CA4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400104"/>
        <c:axId val="601404416"/>
      </c:barChart>
      <c:catAx>
        <c:axId val="60140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04416"/>
        <c:crosses val="autoZero"/>
        <c:auto val="1"/>
        <c:lblAlgn val="ctr"/>
        <c:lblOffset val="100"/>
        <c:noMultiLvlLbl val="0"/>
      </c:catAx>
      <c:valAx>
        <c:axId val="6014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0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Month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98250468603"/>
          <c:y val="0.21747703412073499"/>
          <c:w val="0.84600483612867095"/>
          <c:h val="0.5478069762467899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DeptSystems!$O$51:$O$62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DeptSystems!$S$51:$S$62</c:f>
              <c:numCache>
                <c:formatCode>"$"#,##0.00</c:formatCode>
                <c:ptCount val="12"/>
                <c:pt idx="0">
                  <c:v>1125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1-4116-BA14-712C6254B4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403240"/>
        <c:axId val="601404808"/>
      </c:barChart>
      <c:catAx>
        <c:axId val="60140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04808"/>
        <c:crosses val="autoZero"/>
        <c:auto val="1"/>
        <c:lblAlgn val="ctr"/>
        <c:lblOffset val="100"/>
        <c:noMultiLvlLbl val="0"/>
      </c:catAx>
      <c:valAx>
        <c:axId val="60140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03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Month ($)</a:t>
            </a:r>
          </a:p>
        </c:rich>
      </c:tx>
      <c:layout>
        <c:manualLayout>
          <c:xMode val="edge"/>
          <c:yMode val="edge"/>
          <c:x val="1.00094423159008E-4"/>
          <c:y val="0.1200980264679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98250468603"/>
          <c:y val="0.21747703412073499"/>
          <c:w val="0.84600483612867095"/>
          <c:h val="0.5478069762467899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Sphere!$O$50:$O$61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Sphere!$S$50:$S$61</c:f>
              <c:numCache>
                <c:formatCode>"$"#,##0.00</c:formatCode>
                <c:ptCount val="12"/>
                <c:pt idx="0">
                  <c:v>625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4-4085-8BAE-6062B22AC5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403632"/>
        <c:axId val="601396576"/>
      </c:barChart>
      <c:catAx>
        <c:axId val="6014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96576"/>
        <c:crosses val="autoZero"/>
        <c:auto val="1"/>
        <c:lblAlgn val="ctr"/>
        <c:lblOffset val="100"/>
        <c:noMultiLvlLbl val="0"/>
      </c:catAx>
      <c:valAx>
        <c:axId val="6013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0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Cumulative Effort Savings per Quarter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'EffortSavings 2021'!$A$36</c:f>
              <c:strCache>
                <c:ptCount val="1"/>
                <c:pt idx="0">
                  <c:v>Recap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'EffortSavings 2021'!$B$36:$E$36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5-4812-97B0-09C3EF52063E}"/>
            </c:ext>
          </c:extLst>
        </c:ser>
        <c:ser>
          <c:idx val="2"/>
          <c:order val="1"/>
          <c:tx>
            <c:strRef>
              <c:f>'EffortSavings 2021'!$A$37</c:f>
              <c:strCache>
                <c:ptCount val="1"/>
                <c:pt idx="0">
                  <c:v>ALF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'EffortSavings 2021'!$B$37:$E$37</c:f>
              <c:numCache>
                <c:formatCode>0.00</c:formatCode>
                <c:ptCount val="4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5-4812-97B0-09C3EF52063E}"/>
            </c:ext>
          </c:extLst>
        </c:ser>
        <c:ser>
          <c:idx val="3"/>
          <c:order val="2"/>
          <c:tx>
            <c:strRef>
              <c:f>'EffortSavings 2021'!$A$38</c:f>
              <c:strCache>
                <c:ptCount val="1"/>
                <c:pt idx="0">
                  <c:v>Medea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'EffortSavings 2021'!$B$38:$E$38</c:f>
              <c:numCache>
                <c:formatCode>0.00</c:formatCode>
                <c:ptCount val="4"/>
                <c:pt idx="0">
                  <c:v>0</c:v>
                </c:pt>
                <c:pt idx="1">
                  <c:v>88</c:v>
                </c:pt>
                <c:pt idx="2">
                  <c:v>88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55-4812-97B0-09C3EF52063E}"/>
            </c:ext>
          </c:extLst>
        </c:ser>
        <c:ser>
          <c:idx val="4"/>
          <c:order val="3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extLst>
            <c:ext xmlns:c16="http://schemas.microsoft.com/office/drawing/2014/chart" uri="{C3380CC4-5D6E-409C-BE32-E72D297353CC}">
              <c16:uniqueId val="{00000003-DB55-4812-97B0-09C3EF52063E}"/>
            </c:ext>
          </c:extLst>
        </c:ser>
        <c:ser>
          <c:idx val="5"/>
          <c:order val="4"/>
          <c:tx>
            <c:strRef>
              <c:f>'EffortSavings 2021'!$A$39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'EffortSavings 2021'!$B$39:$E$39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55-4812-97B0-09C3EF52063E}"/>
            </c:ext>
          </c:extLst>
        </c:ser>
        <c:ser>
          <c:idx val="6"/>
          <c:order val="5"/>
          <c:tx>
            <c:strRef>
              <c:f>'EffortSavings 2021'!$A$40</c:f>
              <c:strCache>
                <c:ptCount val="1"/>
                <c:pt idx="0">
                  <c:v>CompassRePlatform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'EffortSavings 2021'!$B$40:$E$40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55-4812-97B0-09C3EF52063E}"/>
            </c:ext>
          </c:extLst>
        </c:ser>
        <c:ser>
          <c:idx val="7"/>
          <c:order val="6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extLst>
            <c:ext xmlns:c16="http://schemas.microsoft.com/office/drawing/2014/chart" uri="{C3380CC4-5D6E-409C-BE32-E72D297353CC}">
              <c16:uniqueId val="{00000006-DB55-4812-97B0-09C3EF52063E}"/>
            </c:ext>
          </c:extLst>
        </c:ser>
        <c:ser>
          <c:idx val="1"/>
          <c:order val="7"/>
          <c:tx>
            <c:strRef>
              <c:f>'EffortSavings 2021'!$A$41</c:f>
              <c:strCache>
                <c:ptCount val="1"/>
                <c:pt idx="0">
                  <c:v>GTM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'EffortSavings 2021'!$B$41:$E$41</c:f>
              <c:numCache>
                <c:formatCode>0.00</c:formatCode>
                <c:ptCount val="4"/>
                <c:pt idx="0">
                  <c:v>2221.6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55-4812-97B0-09C3EF52063E}"/>
            </c:ext>
          </c:extLst>
        </c:ser>
        <c:ser>
          <c:idx val="8"/>
          <c:order val="8"/>
          <c:tx>
            <c:strRef>
              <c:f>'EffortSavings 2021'!$A$42</c:f>
              <c:strCache>
                <c:ptCount val="1"/>
                <c:pt idx="0">
                  <c:v>TBT and RSG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'EffortSavings 2021'!$B$42:$E$42</c:f>
              <c:numCache>
                <c:formatCode>0.00</c:formatCode>
                <c:ptCount val="4"/>
                <c:pt idx="0">
                  <c:v>259.2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55-4812-97B0-09C3EF52063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extLst>
            <c:ext xmlns:c16="http://schemas.microsoft.com/office/drawing/2014/chart" uri="{C3380CC4-5D6E-409C-BE32-E72D297353CC}">
              <c16:uniqueId val="{00000009-DB55-4812-97B0-09C3EF52063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extLst>
            <c:ext xmlns:c16="http://schemas.microsoft.com/office/drawing/2014/chart" uri="{C3380CC4-5D6E-409C-BE32-E72D297353CC}">
              <c16:uniqueId val="{0000000A-DB55-4812-97B0-09C3EF52063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extLst>
            <c:ext xmlns:c16="http://schemas.microsoft.com/office/drawing/2014/chart" uri="{C3380CC4-5D6E-409C-BE32-E72D297353CC}">
              <c16:uniqueId val="{0000000B-DB55-4812-97B0-09C3EF52063E}"/>
            </c:ext>
          </c:extLst>
        </c:ser>
        <c:ser>
          <c:idx val="12"/>
          <c:order val="12"/>
          <c:tx>
            <c:strRef>
              <c:f>'EffortSavings 2021'!$A$43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'EffortSavings 2021'!$B$43:$E$43</c:f>
              <c:numCache>
                <c:formatCode>0.00</c:formatCode>
                <c:ptCount val="4"/>
                <c:pt idx="0">
                  <c:v>436.8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B55-4812-97B0-09C3EF52063E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extLst>
            <c:ext xmlns:c16="http://schemas.microsoft.com/office/drawing/2014/chart" uri="{C3380CC4-5D6E-409C-BE32-E72D297353CC}">
              <c16:uniqueId val="{0000000D-DB55-4812-97B0-09C3EF52063E}"/>
            </c:ext>
          </c:extLst>
        </c:ser>
        <c:ser>
          <c:idx val="14"/>
          <c:order val="14"/>
          <c:tx>
            <c:strRef>
              <c:f>'EffortSavings 2021'!$A$44</c:f>
              <c:strCache>
                <c:ptCount val="1"/>
                <c:pt idx="0">
                  <c:v>USH EzRez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'EffortSavings 2021'!$B$44:$E$44</c:f>
              <c:numCache>
                <c:formatCode>0.00</c:formatCode>
                <c:ptCount val="4"/>
                <c:pt idx="0">
                  <c:v>0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B55-4812-97B0-09C3EF52063E}"/>
            </c:ext>
          </c:extLst>
        </c:ser>
        <c:ser>
          <c:idx val="15"/>
          <c:order val="15"/>
          <c:tx>
            <c:strRef>
              <c:f>'EffortSavings 2021'!$A$45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'EffortSavings 2021'!$B$45:$E$45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B55-4812-97B0-09C3EF52063E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extLst>
            <c:ext xmlns:c16="http://schemas.microsoft.com/office/drawing/2014/chart" uri="{C3380CC4-5D6E-409C-BE32-E72D297353CC}">
              <c16:uniqueId val="{00000010-DB55-4812-97B0-09C3EF52063E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extLst>
            <c:ext xmlns:c16="http://schemas.microsoft.com/office/drawing/2014/chart" uri="{C3380CC4-5D6E-409C-BE32-E72D297353CC}">
              <c16:uniqueId val="{00000011-DB55-4812-97B0-09C3EF52063E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extLst>
            <c:ext xmlns:c16="http://schemas.microsoft.com/office/drawing/2014/chart" uri="{C3380CC4-5D6E-409C-BE32-E72D297353CC}">
              <c16:uniqueId val="{00000012-DB55-4812-97B0-09C3EF52063E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extLst>
            <c:ext xmlns:c16="http://schemas.microsoft.com/office/drawing/2014/chart" uri="{C3380CC4-5D6E-409C-BE32-E72D297353CC}">
              <c16:uniqueId val="{00000013-DB55-4812-97B0-09C3EF52063E}"/>
            </c:ext>
          </c:extLst>
        </c:ser>
        <c:ser>
          <c:idx val="20"/>
          <c:order val="20"/>
          <c:tx>
            <c:strRef>
              <c:f>'EffortSavings 2021'!$A$46</c:f>
              <c:strCache>
                <c:ptCount val="1"/>
                <c:pt idx="0">
                  <c:v>WideOrbit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'EffortSavings 2021'!$B$46:$E$46</c:f>
              <c:numCache>
                <c:formatCode>0.00</c:formatCode>
                <c:ptCount val="4"/>
                <c:pt idx="0">
                  <c:v>168.5</c:v>
                </c:pt>
                <c:pt idx="1">
                  <c:v>250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B55-4812-97B0-09C3EF52063E}"/>
            </c:ext>
          </c:extLst>
        </c:ser>
        <c:ser>
          <c:idx val="21"/>
          <c:order val="21"/>
          <c:tx>
            <c:strRef>
              <c:f>'EffortSavings 2021'!$A$48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'EffortSavings 2021'!$B$48:$E$48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B55-4812-97B0-09C3EF52063E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extLst>
            <c:ext xmlns:c16="http://schemas.microsoft.com/office/drawing/2014/chart" uri="{C3380CC4-5D6E-409C-BE32-E72D297353CC}">
              <c16:uniqueId val="{00000016-DB55-4812-97B0-09C3EF52063E}"/>
            </c:ext>
          </c:extLst>
        </c:ser>
        <c:ser>
          <c:idx val="23"/>
          <c:order val="23"/>
          <c:tx>
            <c:strRef>
              <c:f>'EffortSavings 2021'!$A$49</c:f>
              <c:strCache>
                <c:ptCount val="1"/>
                <c:pt idx="0">
                  <c:v>KAM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'EffortSavings 2021'!$B$49:$E$49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B55-4812-97B0-09C3EF52063E}"/>
            </c:ext>
          </c:extLst>
        </c:ser>
        <c:ser>
          <c:idx val="24"/>
          <c:order val="24"/>
          <c:tx>
            <c:strRef>
              <c:f>'EffortSavings 2021'!$A$50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'EffortSavings 2021'!$B$50:$E$50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B55-4812-97B0-09C3EF52063E}"/>
            </c:ext>
          </c:extLst>
        </c:ser>
        <c:ser>
          <c:idx val="25"/>
          <c:order val="25"/>
          <c:tx>
            <c:strRef>
              <c:f>'EffortSavings 2021'!$A$51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'EffortSavings 2021'!$B$51:$E$51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B55-4812-97B0-09C3EF52063E}"/>
            </c:ext>
          </c:extLst>
        </c:ser>
        <c:ser>
          <c:idx val="26"/>
          <c:order val="26"/>
          <c:tx>
            <c:strRef>
              <c:f>'EffortSavings 2021'!$A$52</c:f>
              <c:strCache>
                <c:ptCount val="1"/>
                <c:pt idx="0">
                  <c:v>DeptSystems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'EffortSavings 2021'!$B$52:$E$52</c:f>
              <c:numCache>
                <c:formatCode>0.00</c:formatCode>
                <c:ptCount val="4"/>
                <c:pt idx="0">
                  <c:v>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B55-4812-97B0-09C3EF52063E}"/>
            </c:ext>
          </c:extLst>
        </c:ser>
        <c:ser>
          <c:idx val="27"/>
          <c:order val="27"/>
          <c:tx>
            <c:strRef>
              <c:f>'EffortSavings 2021'!$A$53</c:f>
              <c:strCache>
                <c:ptCount val="1"/>
                <c:pt idx="0">
                  <c:v>Sphere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'EffortSavings 2021'!$B$53:$E$53</c:f>
              <c:numCache>
                <c:formatCode>0.00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B55-4812-97B0-09C3EF52063E}"/>
            </c:ext>
          </c:extLst>
        </c:ser>
        <c:ser>
          <c:idx val="28"/>
          <c:order val="28"/>
          <c:tx>
            <c:strRef>
              <c:f>'EffortSavings 2021'!$A$54</c:f>
              <c:strCache>
                <c:ptCount val="1"/>
                <c:pt idx="0">
                  <c:v>CAFÉ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'EffortSavings 2021'!$B$54:$E$54</c:f>
              <c:numCache>
                <c:formatCode>0.00</c:formatCode>
                <c:ptCount val="4"/>
                <c:pt idx="0">
                  <c:v>291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B55-4812-97B0-09C3EF52063E}"/>
            </c:ext>
          </c:extLst>
        </c:ser>
        <c:ser>
          <c:idx val="29"/>
          <c:order val="29"/>
          <c:tx>
            <c:strRef>
              <c:f>'EffortSavings 2021'!$A$55</c:f>
              <c:strCache>
                <c:ptCount val="1"/>
                <c:pt idx="0">
                  <c:v>SAFE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'EffortSavings 2021'!$B$55:$E$55</c:f>
              <c:numCache>
                <c:formatCode>0.00</c:formatCode>
                <c:ptCount val="4"/>
                <c:pt idx="0">
                  <c:v>603.33333333333326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B55-4812-97B0-09C3EF52063E}"/>
            </c:ext>
          </c:extLst>
        </c:ser>
        <c:ser>
          <c:idx val="30"/>
          <c:order val="30"/>
          <c:tx>
            <c:strRef>
              <c:f>'EffortSavings 2021'!$A$56</c:f>
              <c:strCache>
                <c:ptCount val="1"/>
                <c:pt idx="0">
                  <c:v>PDM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'EffortSavings 2021'!$B$56:$E$56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B55-4812-97B0-09C3EF52063E}"/>
            </c:ext>
          </c:extLst>
        </c:ser>
        <c:ser>
          <c:idx val="31"/>
          <c:order val="31"/>
          <c:tx>
            <c:strRef>
              <c:f>'EffortSavings 2021'!$A$57</c:f>
              <c:strCache>
                <c:ptCount val="1"/>
                <c:pt idx="0">
                  <c:v>ProM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'EffortSavings 2021'!$B$57:$E$57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B55-4812-97B0-09C3EF52063E}"/>
            </c:ext>
          </c:extLst>
        </c:ser>
        <c:ser>
          <c:idx val="32"/>
          <c:order val="32"/>
          <c:tx>
            <c:strRef>
              <c:f>'EffortSavings 2021'!$A$58</c:f>
              <c:strCache>
                <c:ptCount val="1"/>
                <c:pt idx="0">
                  <c:v>AssetTracker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'EffortSavings 2021'!$B$58:$E$58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B55-4812-97B0-09C3EF52063E}"/>
            </c:ext>
          </c:extLst>
        </c:ser>
        <c:ser>
          <c:idx val="33"/>
          <c:order val="33"/>
          <c:tx>
            <c:strRef>
              <c:f>'EffortSavings 2021'!$A$59</c:f>
              <c:strCache>
                <c:ptCount val="1"/>
                <c:pt idx="0">
                  <c:v>TVROCS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'EffortSavings 2021'!$B$35:$E$35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'EffortSavings 2021'!$B$59:$E$59</c:f>
              <c:numCache>
                <c:formatCode>0.00</c:formatCode>
                <c:ptCount val="4"/>
                <c:pt idx="0">
                  <c:v>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B55-4812-97B0-09C3EF520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774816"/>
        <c:axId val="801775208"/>
      </c:barChart>
      <c:catAx>
        <c:axId val="8017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75208"/>
        <c:crosses val="autoZero"/>
        <c:auto val="1"/>
        <c:lblAlgn val="ctr"/>
        <c:lblOffset val="100"/>
        <c:noMultiLvlLbl val="0"/>
      </c:catAx>
      <c:valAx>
        <c:axId val="80177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Magic!$R$1</c:f>
              <c:strCache>
                <c:ptCount val="1"/>
                <c:pt idx="0">
                  <c:v>Manual Effort For Execution (PH)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Magic!$C$3:$C$5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Magic!$R$3:$R$5</c:f>
              <c:numCache>
                <c:formatCode>0.00</c:formatCode>
                <c:ptCount val="3"/>
                <c:pt idx="0">
                  <c:v>1824</c:v>
                </c:pt>
                <c:pt idx="1">
                  <c:v>1848</c:v>
                </c:pt>
                <c:pt idx="2">
                  <c:v>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D-48CA-B4A7-42C08FF1425A}"/>
            </c:ext>
          </c:extLst>
        </c:ser>
        <c:ser>
          <c:idx val="1"/>
          <c:order val="1"/>
          <c:tx>
            <c:strRef>
              <c:f>Magic!$X$1</c:f>
              <c:strCache>
                <c:ptCount val="1"/>
                <c:pt idx="0">
                  <c:v>Test Execution effort spent after automation
(PH)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Magic!$C$3:$C$5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Magic!$X$5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D-48CA-B4A7-42C08FF1425A}"/>
            </c:ext>
          </c:extLst>
        </c:ser>
        <c:ser>
          <c:idx val="2"/>
          <c:order val="2"/>
          <c:tx>
            <c:strRef>
              <c:f>Magic!$Y$1</c:f>
              <c:strCache>
                <c:ptCount val="1"/>
                <c:pt idx="0">
                  <c:v>Effort Savings Per Cycle (PH)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Magic!$C$3:$C$5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Magic!$Y$3:$Y$5</c:f>
              <c:numCache>
                <c:formatCode>0.00</c:formatCode>
                <c:ptCount val="3"/>
                <c:pt idx="0">
                  <c:v>1823</c:v>
                </c:pt>
                <c:pt idx="1">
                  <c:v>1847</c:v>
                </c:pt>
                <c:pt idx="2">
                  <c:v>1847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2D-48CA-B4A7-42C08FF142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51688"/>
        <c:axId val="801763448"/>
      </c:barChart>
      <c:catAx>
        <c:axId val="80175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63448"/>
        <c:crosses val="autoZero"/>
        <c:auto val="1"/>
        <c:lblAlgn val="ctr"/>
        <c:lblOffset val="100"/>
        <c:noMultiLvlLbl val="0"/>
      </c:catAx>
      <c:valAx>
        <c:axId val="80176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5"/>
              <c:pt idx="0">
                <c:v>Jan Regression</c:v>
              </c:pt>
              <c:pt idx="1">
                <c:v>Feb Regression</c:v>
              </c:pt>
              <c:pt idx="2">
                <c:v>Mar Regression</c:v>
              </c:pt>
              <c:pt idx="3">
                <c:v>Apr Regression</c:v>
              </c:pt>
              <c:pt idx="4">
                <c:v>Overall</c:v>
              </c:pt>
            </c:strLit>
          </c:cat>
          <c:val>
            <c:numLit>
              <c:formatCode>General</c:formatCode>
              <c:ptCount val="5"/>
              <c:pt idx="0">
                <c:v>52</c:v>
              </c:pt>
              <c:pt idx="1">
                <c:v>0</c:v>
              </c:pt>
              <c:pt idx="2">
                <c:v>45</c:v>
              </c:pt>
              <c:pt idx="3">
                <c:v>46</c:v>
              </c:pt>
              <c:pt idx="4">
                <c:v>143</c:v>
              </c:pt>
            </c:numLit>
          </c:val>
          <c:extLst>
            <c:ext xmlns:c16="http://schemas.microsoft.com/office/drawing/2014/chart" uri="{C3380CC4-5D6E-409C-BE32-E72D297353CC}">
              <c16:uniqueId val="{00000000-DDE6-4F33-B287-5438985EA940}"/>
            </c:ext>
          </c:extLst>
        </c:ser>
        <c:ser>
          <c:idx val="1"/>
          <c:order val="1"/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5"/>
              <c:pt idx="0">
                <c:v>Jan Regression</c:v>
              </c:pt>
              <c:pt idx="1">
                <c:v>Feb Regression</c:v>
              </c:pt>
              <c:pt idx="2">
                <c:v>Mar Regression</c:v>
              </c:pt>
              <c:pt idx="3">
                <c:v>Apr Regression</c:v>
              </c:pt>
              <c:pt idx="4">
                <c:v>Overall</c:v>
              </c:pt>
            </c:strLit>
          </c:cat>
          <c:val>
            <c:numLit>
              <c:formatCode>General</c:formatCode>
              <c:ptCount val="5"/>
              <c:pt idx="0">
                <c:v>10</c:v>
              </c:pt>
              <c:pt idx="1">
                <c:v>0</c:v>
              </c:pt>
              <c:pt idx="2">
                <c:v>12</c:v>
              </c:pt>
              <c:pt idx="3">
                <c:v>13</c:v>
              </c:pt>
              <c:pt idx="4">
                <c:v>35</c:v>
              </c:pt>
            </c:numLit>
          </c:val>
          <c:extLst>
            <c:ext xmlns:c16="http://schemas.microsoft.com/office/drawing/2014/chart" uri="{C3380CC4-5D6E-409C-BE32-E72D297353CC}">
              <c16:uniqueId val="{00000001-DDE6-4F33-B287-5438985EA940}"/>
            </c:ext>
          </c:extLst>
        </c:ser>
        <c:ser>
          <c:idx val="2"/>
          <c:order val="2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5"/>
              <c:pt idx="0">
                <c:v>Jan Regression</c:v>
              </c:pt>
              <c:pt idx="1">
                <c:v>Feb Regression</c:v>
              </c:pt>
              <c:pt idx="2">
                <c:v>Mar Regression</c:v>
              </c:pt>
              <c:pt idx="3">
                <c:v>Apr Regression</c:v>
              </c:pt>
              <c:pt idx="4">
                <c:v>Overall</c:v>
              </c:pt>
            </c:strLit>
          </c:cat>
          <c:val>
            <c:numLit>
              <c:formatCode>General</c:formatCode>
              <c:ptCount val="5"/>
              <c:pt idx="0">
                <c:v>42</c:v>
              </c:pt>
              <c:pt idx="1">
                <c:v>0</c:v>
              </c:pt>
              <c:pt idx="2">
                <c:v>33</c:v>
              </c:pt>
              <c:pt idx="3">
                <c:v>33</c:v>
              </c:pt>
              <c:pt idx="4">
                <c:v>108</c:v>
              </c:pt>
            </c:numLit>
          </c:val>
          <c:extLst>
            <c:ext xmlns:c16="http://schemas.microsoft.com/office/drawing/2014/chart" uri="{C3380CC4-5D6E-409C-BE32-E72D297353CC}">
              <c16:uniqueId val="{00000002-DDE6-4F33-B287-5438985EA9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405984"/>
        <c:axId val="601402064"/>
      </c:barChart>
      <c:catAx>
        <c:axId val="6014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02064"/>
        <c:crosses val="autoZero"/>
        <c:auto val="1"/>
        <c:lblAlgn val="ctr"/>
        <c:lblOffset val="100"/>
        <c:noMultiLvlLbl val="0"/>
      </c:catAx>
      <c:valAx>
        <c:axId val="6014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0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Jan Regression</c:v>
              </c:pt>
              <c:pt idx="1">
                <c:v>Feb Regression</c:v>
              </c:pt>
              <c:pt idx="2">
                <c:v>Mar Regression</c:v>
              </c:pt>
              <c:pt idx="3">
                <c:v>Apr Regression</c:v>
              </c:pt>
              <c:pt idx="4">
                <c:v>Overall</c:v>
              </c:pt>
            </c:strLit>
          </c:cat>
          <c:val>
            <c:numLit>
              <c:formatCode>General</c:formatCode>
              <c:ptCount val="5"/>
              <c:pt idx="0">
                <c:v>0.80769230769230804</c:v>
              </c:pt>
              <c:pt idx="1">
                <c:v>0</c:v>
              </c:pt>
              <c:pt idx="2">
                <c:v>0.73333333333333295</c:v>
              </c:pt>
              <c:pt idx="3">
                <c:v>0.71739130434782605</c:v>
              </c:pt>
              <c:pt idx="4">
                <c:v>0.75524475524475498</c:v>
              </c:pt>
            </c:numLit>
          </c:val>
          <c:extLst>
            <c:ext xmlns:c16="http://schemas.microsoft.com/office/drawing/2014/chart" uri="{C3380CC4-5D6E-409C-BE32-E72D297353CC}">
              <c16:uniqueId val="{00000000-FFB0-4E53-859A-86620BF543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401672"/>
        <c:axId val="601405592"/>
      </c:barChart>
      <c:catAx>
        <c:axId val="60140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05592"/>
        <c:crosses val="autoZero"/>
        <c:auto val="1"/>
        <c:lblAlgn val="ctr"/>
        <c:lblOffset val="100"/>
        <c:noMultiLvlLbl val="0"/>
      </c:catAx>
      <c:valAx>
        <c:axId val="6014055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0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Jan Regression</c:v>
              </c:pt>
              <c:pt idx="1">
                <c:v>Feb Regression</c:v>
              </c:pt>
              <c:pt idx="2">
                <c:v>Mar Regression</c:v>
              </c:pt>
              <c:pt idx="3">
                <c:v>Apr Regression</c:v>
              </c:pt>
              <c:pt idx="4">
                <c:v>Overall</c:v>
              </c:pt>
            </c:strLit>
          </c:cat>
          <c:val>
            <c:numLit>
              <c:formatCode>General</c:formatCode>
              <c:ptCount val="5"/>
              <c:pt idx="0">
                <c:v>1050</c:v>
              </c:pt>
              <c:pt idx="1">
                <c:v>0</c:v>
              </c:pt>
              <c:pt idx="2">
                <c:v>825</c:v>
              </c:pt>
              <c:pt idx="3">
                <c:v>825</c:v>
              </c:pt>
              <c:pt idx="4">
                <c:v>2700</c:v>
              </c:pt>
            </c:numLit>
          </c:val>
          <c:extLst>
            <c:ext xmlns:c16="http://schemas.microsoft.com/office/drawing/2014/chart" uri="{C3380CC4-5D6E-409C-BE32-E72D297353CC}">
              <c16:uniqueId val="{00000000-F01C-4A3E-A54B-ECFD1E883A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397752"/>
        <c:axId val="601406376"/>
      </c:barChart>
      <c:catAx>
        <c:axId val="60139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06376"/>
        <c:crosses val="autoZero"/>
        <c:auto val="1"/>
        <c:lblAlgn val="ctr"/>
        <c:lblOffset val="100"/>
        <c:noMultiLvlLbl val="0"/>
      </c:catAx>
      <c:valAx>
        <c:axId val="601406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9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Sphere!$C$3:$C$10</c:f>
              <c:strCache>
                <c:ptCount val="8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Sphere!$AB$3:$AB$10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7-45ED-8B15-A7DDE06528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399712"/>
        <c:axId val="601407160"/>
      </c:barChart>
      <c:catAx>
        <c:axId val="60139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07160"/>
        <c:crosses val="autoZero"/>
        <c:auto val="1"/>
        <c:lblAlgn val="ctr"/>
        <c:lblOffset val="100"/>
        <c:noMultiLvlLbl val="0"/>
      </c:catAx>
      <c:valAx>
        <c:axId val="60140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9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Sphere!$C$3:$C$10</c:f>
              <c:strCache>
                <c:ptCount val="8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Sphere!$AC$3:$AC$10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5-4FBE-9683-5AFD91DED5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398144"/>
        <c:axId val="601398928"/>
      </c:barChart>
      <c:catAx>
        <c:axId val="60139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98928"/>
        <c:crosses val="autoZero"/>
        <c:auto val="1"/>
        <c:lblAlgn val="ctr"/>
        <c:lblOffset val="100"/>
        <c:noMultiLvlLbl val="0"/>
      </c:catAx>
      <c:valAx>
        <c:axId val="6013989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9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Sphere!$C$3:$C$10</c:f>
              <c:strCache>
                <c:ptCount val="8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Sphere!$AD$3:$AD$10</c:f>
              <c:numCache>
                <c:formatCode>0.00%</c:formatCode>
                <c:ptCount val="8"/>
                <c:pt idx="0">
                  <c:v>0.16514954486345904</c:v>
                </c:pt>
                <c:pt idx="1">
                  <c:v>0</c:v>
                </c:pt>
                <c:pt idx="2">
                  <c:v>0.16384915474642392</c:v>
                </c:pt>
                <c:pt idx="3">
                  <c:v>0.16384915474642392</c:v>
                </c:pt>
                <c:pt idx="4">
                  <c:v>0.16514954486345904</c:v>
                </c:pt>
                <c:pt idx="5">
                  <c:v>0</c:v>
                </c:pt>
                <c:pt idx="6">
                  <c:v>0.1599479843953186</c:v>
                </c:pt>
                <c:pt idx="7">
                  <c:v>0.15604681404421328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B-4642-A8F0-E03ECDB38F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400496"/>
        <c:axId val="601404024"/>
      </c:barChart>
      <c:catAx>
        <c:axId val="60140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04024"/>
        <c:crosses val="autoZero"/>
        <c:auto val="1"/>
        <c:lblAlgn val="ctr"/>
        <c:lblOffset val="100"/>
        <c:noMultiLvlLbl val="0"/>
      </c:catAx>
      <c:valAx>
        <c:axId val="60140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0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Sphere!$C$4</c:f>
              <c:numCache>
                <c:formatCode>mmm\-yy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1-4E46-A8F3-2557A6319AE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Sphere!$R$4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1-4E46-A8F3-2557A6319AE1}"/>
            </c:ext>
          </c:extLst>
        </c:ser>
        <c:ser>
          <c:idx val="2"/>
          <c:order val="2"/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Sphere!$X$3:$X$4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01-4E46-A8F3-2557A6319AE1}"/>
            </c:ext>
          </c:extLst>
        </c:ser>
        <c:ser>
          <c:idx val="3"/>
          <c:order val="3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Sphere!$Y$3:$Y$4</c:f>
              <c:numCache>
                <c:formatCode>0.00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01-4E46-A8F3-2557A6319A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420488"/>
        <c:axId val="601416176"/>
      </c:barChart>
      <c:catAx>
        <c:axId val="60142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16176"/>
        <c:crosses val="autoZero"/>
        <c:auto val="1"/>
        <c:lblAlgn val="ctr"/>
        <c:lblOffset val="100"/>
        <c:noMultiLvlLbl val="0"/>
      </c:catAx>
      <c:valAx>
        <c:axId val="6014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Sphere!$C$3:$C$10</c:f>
              <c:strCache>
                <c:ptCount val="8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Sphere!$AE$3:$AE$10</c:f>
              <c:numCache>
                <c:formatCode>0.00%</c:formatCode>
                <c:ptCount val="8"/>
                <c:pt idx="0">
                  <c:v>0.83333333333333337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C-4842-A11E-9476D7E8C5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416568"/>
        <c:axId val="601418136"/>
      </c:barChart>
      <c:catAx>
        <c:axId val="60141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18136"/>
        <c:crosses val="autoZero"/>
        <c:auto val="1"/>
        <c:lblAlgn val="ctr"/>
        <c:lblOffset val="100"/>
        <c:noMultiLvlLbl val="0"/>
      </c:catAx>
      <c:valAx>
        <c:axId val="601418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Sphere!$C$3:$C$10</c:f>
              <c:strCache>
                <c:ptCount val="8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Sphere!$AF$3:$AF$10</c:f>
              <c:numCache>
                <c:formatCode>"$"#,##0.00_);[Red]\("$"#,##0.00\)</c:formatCode>
                <c:ptCount val="8"/>
                <c:pt idx="0">
                  <c:v>625</c:v>
                </c:pt>
                <c:pt idx="1">
                  <c:v>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0</c:v>
                </c:pt>
                <c:pt idx="6">
                  <c:v>600</c:v>
                </c:pt>
                <c:pt idx="7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8-4D04-A846-8236A5C478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411864"/>
        <c:axId val="601413040"/>
      </c:barChart>
      <c:catAx>
        <c:axId val="60141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13040"/>
        <c:crosses val="autoZero"/>
        <c:auto val="1"/>
        <c:lblAlgn val="ctr"/>
        <c:lblOffset val="100"/>
        <c:noMultiLvlLbl val="0"/>
      </c:catAx>
      <c:valAx>
        <c:axId val="601413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1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- Per Month  (%)</a:t>
            </a:r>
          </a:p>
        </c:rich>
      </c:tx>
      <c:layout>
        <c:manualLayout>
          <c:xMode val="edge"/>
          <c:yMode val="edge"/>
          <c:x val="0.154602479941648"/>
          <c:y val="4.826098935028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9A8-46D0-8C34-49E2607B7C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9A8-46D0-8C34-49E2607B7C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39A8-46D0-8C34-49E2607B7C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39A8-46D0-8C34-49E2607B7C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39A8-46D0-8C34-49E2607B7C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39A8-46D0-8C34-49E2607B7C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39A8-46D0-8C34-49E2607B7C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39A8-46D0-8C34-49E2607B7C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39A8-46D0-8C34-49E2607B7C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39A8-46D0-8C34-49E2607B7C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39A8-46D0-8C34-49E2607B7C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Sphere!$O$50:$O$61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Sphere!$R$50:$R$61</c:f>
              <c:numCache>
                <c:formatCode>0.00%</c:formatCode>
                <c:ptCount val="12"/>
                <c:pt idx="0">
                  <c:v>0.83333333333333337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9A8-46D0-8C34-49E2607B7C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413432"/>
        <c:axId val="601410296"/>
      </c:barChart>
      <c:catAx>
        <c:axId val="60141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10296"/>
        <c:crosses val="autoZero"/>
        <c:auto val="1"/>
        <c:lblAlgn val="ctr"/>
        <c:lblOffset val="100"/>
        <c:noMultiLvlLbl val="0"/>
      </c:catAx>
      <c:valAx>
        <c:axId val="60141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1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Magic!$AD$2</c:f>
              <c:strCache>
                <c:ptCount val="1"/>
                <c:pt idx="0">
                  <c:v>Effort Savings 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Magic!$C$3:$C$5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Magic!$AD$3:$AD$5</c:f>
              <c:numCache>
                <c:formatCode>0.00%</c:formatCode>
                <c:ptCount val="3"/>
                <c:pt idx="0">
                  <c:v>0.9994517543859649</c:v>
                </c:pt>
                <c:pt idx="1">
                  <c:v>0.99945887445887449</c:v>
                </c:pt>
                <c:pt idx="2">
                  <c:v>0.99945887445887449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B-4821-AE0C-DBA19CE06E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55216"/>
        <c:axId val="801761880"/>
      </c:barChart>
      <c:catAx>
        <c:axId val="8017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61880"/>
        <c:crosses val="autoZero"/>
        <c:auto val="1"/>
        <c:lblAlgn val="ctr"/>
        <c:lblOffset val="100"/>
        <c:noMultiLvlLbl val="0"/>
      </c:catAx>
      <c:valAx>
        <c:axId val="801761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CAFE!$C$3:$C$9</c:f>
              <c:strCache>
                <c:ptCount val="7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CAFE!$AB$3:$AB$9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463F-BF19-A5DD1341EA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410688"/>
        <c:axId val="601408336"/>
      </c:barChart>
      <c:catAx>
        <c:axId val="60141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08336"/>
        <c:crosses val="autoZero"/>
        <c:auto val="1"/>
        <c:lblAlgn val="ctr"/>
        <c:lblOffset val="100"/>
        <c:noMultiLvlLbl val="0"/>
      </c:catAx>
      <c:valAx>
        <c:axId val="6014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1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layout>
        <c:manualLayout>
          <c:xMode val="edge"/>
          <c:yMode val="edge"/>
          <c:x val="2.6815197419984798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CAFE!$C$3:$C$9</c:f>
              <c:strCache>
                <c:ptCount val="7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CAFE!$AC$3:$AC$9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8-465F-9C8C-9325137BA4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415784"/>
        <c:axId val="601413824"/>
      </c:barChart>
      <c:catAx>
        <c:axId val="60141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13824"/>
        <c:crosses val="autoZero"/>
        <c:auto val="1"/>
        <c:lblAlgn val="ctr"/>
        <c:lblOffset val="100"/>
        <c:noMultiLvlLbl val="0"/>
      </c:catAx>
      <c:valAx>
        <c:axId val="60141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1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CAFE!$C$3:$C$9</c:f>
              <c:strCache>
                <c:ptCount val="7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CAFE!$R$3:$R$9</c:f>
              <c:numCache>
                <c:formatCode>0.00</c:formatCode>
                <c:ptCount val="7"/>
                <c:pt idx="0">
                  <c:v>584</c:v>
                </c:pt>
                <c:pt idx="1">
                  <c:v>1412</c:v>
                </c:pt>
                <c:pt idx="2">
                  <c:v>888</c:v>
                </c:pt>
                <c:pt idx="3">
                  <c:v>568</c:v>
                </c:pt>
                <c:pt idx="4">
                  <c:v>700</c:v>
                </c:pt>
                <c:pt idx="5">
                  <c:v>1026</c:v>
                </c:pt>
                <c:pt idx="6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5-45CD-8324-8723FFA60916}"/>
            </c:ext>
          </c:extLst>
        </c:ser>
        <c:ser>
          <c:idx val="1"/>
          <c:order val="1"/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CAFE!$C$3:$C$9</c:f>
              <c:strCache>
                <c:ptCount val="7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CAFE!$X$3:$X$9</c:f>
              <c:numCache>
                <c:formatCode>0.00</c:formatCode>
                <c:ptCount val="7"/>
                <c:pt idx="0">
                  <c:v>293</c:v>
                </c:pt>
                <c:pt idx="1">
                  <c:v>707</c:v>
                </c:pt>
                <c:pt idx="2">
                  <c:v>445</c:v>
                </c:pt>
                <c:pt idx="3">
                  <c:v>364</c:v>
                </c:pt>
                <c:pt idx="4">
                  <c:v>350</c:v>
                </c:pt>
                <c:pt idx="5">
                  <c:v>513</c:v>
                </c:pt>
                <c:pt idx="6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5-45CD-8324-8723FFA60916}"/>
            </c:ext>
          </c:extLst>
        </c:ser>
        <c:ser>
          <c:idx val="2"/>
          <c:order val="2"/>
          <c:invertIfNegative val="0"/>
          <c:dLbls>
            <c:delete val="1"/>
          </c:dLbls>
          <c:cat>
            <c:strRef>
              <c:f>CAFE!$C$3:$C$9</c:f>
              <c:strCache>
                <c:ptCount val="7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CAFE!$AE$3:$AE$9</c:f>
              <c:numCache>
                <c:formatCode>0.00%</c:formatCode>
                <c:ptCount val="7"/>
                <c:pt idx="0">
                  <c:v>0.49828767123287671</c:v>
                </c:pt>
                <c:pt idx="1">
                  <c:v>0.49929178470254959</c:v>
                </c:pt>
                <c:pt idx="2">
                  <c:v>0.49887387387387389</c:v>
                </c:pt>
                <c:pt idx="3">
                  <c:v>0.35915492957746481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C5-45CD-8324-8723FFA609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412256"/>
        <c:axId val="601416960"/>
      </c:barChart>
      <c:catAx>
        <c:axId val="60141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16960"/>
        <c:crosses val="autoZero"/>
        <c:auto val="1"/>
        <c:lblAlgn val="ctr"/>
        <c:lblOffset val="100"/>
        <c:noMultiLvlLbl val="0"/>
      </c:catAx>
      <c:valAx>
        <c:axId val="6014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1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CAFE!$C$3:$C$8</c:f>
              <c:strCache>
                <c:ptCount val="6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CAFE!$AE$3:$AE$8</c:f>
              <c:numCache>
                <c:formatCode>0.00%</c:formatCode>
                <c:ptCount val="6"/>
                <c:pt idx="0">
                  <c:v>0.49828767123287671</c:v>
                </c:pt>
                <c:pt idx="1">
                  <c:v>0.49929178470254959</c:v>
                </c:pt>
                <c:pt idx="2">
                  <c:v>0.49887387387387389</c:v>
                </c:pt>
                <c:pt idx="3">
                  <c:v>0.35915492957746481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F-41A9-8C27-4624FFAFCF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419704"/>
        <c:axId val="601420096"/>
      </c:barChart>
      <c:catAx>
        <c:axId val="60141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0096"/>
        <c:crosses val="autoZero"/>
        <c:auto val="1"/>
        <c:lblAlgn val="ctr"/>
        <c:lblOffset val="100"/>
        <c:noMultiLvlLbl val="0"/>
      </c:catAx>
      <c:valAx>
        <c:axId val="601420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1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CAFE!$C$3:$C$9</c:f>
              <c:strCache>
                <c:ptCount val="7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CAFE!$AF$3:$AF$9</c:f>
              <c:numCache>
                <c:formatCode>"$"#,##0.00_);[Red]\("$"#,##0.00\)</c:formatCode>
                <c:ptCount val="7"/>
                <c:pt idx="0">
                  <c:v>7275</c:v>
                </c:pt>
                <c:pt idx="1">
                  <c:v>17625</c:v>
                </c:pt>
                <c:pt idx="2">
                  <c:v>11075</c:v>
                </c:pt>
                <c:pt idx="3">
                  <c:v>5100</c:v>
                </c:pt>
                <c:pt idx="4">
                  <c:v>8750</c:v>
                </c:pt>
                <c:pt idx="5">
                  <c:v>12825</c:v>
                </c:pt>
                <c:pt idx="6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7-4141-AFE4-0231E39AD9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409512"/>
        <c:axId val="601409904"/>
      </c:barChart>
      <c:catAx>
        <c:axId val="60140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09904"/>
        <c:crosses val="autoZero"/>
        <c:auto val="1"/>
        <c:lblAlgn val="ctr"/>
        <c:lblOffset val="100"/>
        <c:noMultiLvlLbl val="0"/>
      </c:catAx>
      <c:valAx>
        <c:axId val="601409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0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- Per Month  (%)</a:t>
            </a:r>
          </a:p>
        </c:rich>
      </c:tx>
      <c:layout>
        <c:manualLayout>
          <c:xMode val="edge"/>
          <c:yMode val="edge"/>
          <c:x val="0.154602479941648"/>
          <c:y val="4.826098935028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CAFE!$R$49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7EC-48C8-B89E-652E2C00D2C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7EC-48C8-B89E-652E2C00D2CD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67EC-48C8-B89E-652E2C00D2CD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7EC-48C8-B89E-652E2C00D2CD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67EC-48C8-B89E-652E2C00D2CD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67EC-48C8-B89E-652E2C00D2CD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67EC-48C8-B89E-652E2C00D2CD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67EC-48C8-B89E-652E2C00D2CD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67EC-48C8-B89E-652E2C00D2CD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67EC-48C8-B89E-652E2C00D2CD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67EC-48C8-B89E-652E2C00D2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CAFE!$O$50:$O$61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CAFE!$R$50:$R$61</c:f>
              <c:numCache>
                <c:formatCode>0.00%</c:formatCode>
                <c:ptCount val="12"/>
                <c:pt idx="0">
                  <c:v>0.49828767123287671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7EC-48C8-B89E-652E2C00D2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418920"/>
        <c:axId val="601412648"/>
      </c:barChart>
      <c:catAx>
        <c:axId val="60141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12648"/>
        <c:crosses val="autoZero"/>
        <c:auto val="1"/>
        <c:lblAlgn val="ctr"/>
        <c:lblOffset val="100"/>
        <c:noMultiLvlLbl val="0"/>
      </c:catAx>
      <c:valAx>
        <c:axId val="60141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1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Month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45453058313901"/>
          <c:y val="0.21747719437770999"/>
          <c:w val="0.84600483612867095"/>
          <c:h val="0.547806976246789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CAFE!$S$49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CAFE!$O$50:$O$61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CAFE!$S$50:$S$61</c:f>
              <c:numCache>
                <c:formatCode>"$"#,##0.00</c:formatCode>
                <c:ptCount val="12"/>
                <c:pt idx="0">
                  <c:v>7275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8-4FF3-9E07-2E88408309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431856"/>
        <c:axId val="601425584"/>
      </c:barChart>
      <c:catAx>
        <c:axId val="60143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5584"/>
        <c:crosses val="autoZero"/>
        <c:auto val="1"/>
        <c:lblAlgn val="ctr"/>
        <c:lblOffset val="100"/>
        <c:noMultiLvlLbl val="0"/>
      </c:catAx>
      <c:valAx>
        <c:axId val="6014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3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CAFE!$C$3:$C$9</c:f>
              <c:strCache>
                <c:ptCount val="7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CAFE!$AD$3:$AD$9</c:f>
              <c:numCache>
                <c:formatCode>0.00%</c:formatCode>
                <c:ptCount val="7"/>
                <c:pt idx="0">
                  <c:v>0.33823529411764708</c:v>
                </c:pt>
                <c:pt idx="1">
                  <c:v>0.25735294117647056</c:v>
                </c:pt>
                <c:pt idx="2">
                  <c:v>0.39215686274509803</c:v>
                </c:pt>
                <c:pt idx="3">
                  <c:v>0.2610294117647059</c:v>
                </c:pt>
                <c:pt idx="4">
                  <c:v>0.26428571428571429</c:v>
                </c:pt>
                <c:pt idx="5">
                  <c:v>0.39338235294117646</c:v>
                </c:pt>
                <c:pt idx="6">
                  <c:v>0.23529411764705882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1-4F64-8E04-B75A30CE47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426368"/>
        <c:axId val="601428328"/>
      </c:barChart>
      <c:catAx>
        <c:axId val="6014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8328"/>
        <c:crosses val="autoZero"/>
        <c:auto val="1"/>
        <c:lblAlgn val="ctr"/>
        <c:lblOffset val="100"/>
        <c:noMultiLvlLbl val="0"/>
      </c:catAx>
      <c:valAx>
        <c:axId val="60142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SAFE!$C$3:$C$12</c:f>
              <c:strCache>
                <c:ptCount val="10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</c:strCache>
            </c:strRef>
          </c:cat>
          <c:val>
            <c:numRef>
              <c:f>SAFE!$AB$3:$AB$12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5-44AD-A240-04E3938AF6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424408"/>
        <c:axId val="601429112"/>
      </c:barChart>
      <c:catAx>
        <c:axId val="6014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9112"/>
        <c:crosses val="autoZero"/>
        <c:auto val="1"/>
        <c:lblAlgn val="ctr"/>
        <c:lblOffset val="100"/>
        <c:noMultiLvlLbl val="0"/>
      </c:catAx>
      <c:valAx>
        <c:axId val="60142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SAFE!$C$3:$C$12</c:f>
              <c:strCache>
                <c:ptCount val="10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</c:strCache>
            </c:strRef>
          </c:cat>
          <c:val>
            <c:numRef>
              <c:f>SAFE!$AC$3:$AC$12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F-4F6F-AA64-04B29D651D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430680"/>
        <c:axId val="601427152"/>
      </c:barChart>
      <c:catAx>
        <c:axId val="60143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7152"/>
        <c:crosses val="autoZero"/>
        <c:auto val="1"/>
        <c:lblAlgn val="ctr"/>
        <c:lblOffset val="100"/>
        <c:noMultiLvlLbl val="0"/>
      </c:catAx>
      <c:valAx>
        <c:axId val="601427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3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Magic!$AE$2</c:f>
              <c:strCache>
                <c:ptCount val="1"/>
                <c:pt idx="0">
                  <c:v>Cost Savings Per Cycle ($)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Magic!$C$3:$C$5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Magic!$AE$3:$AE$5</c:f>
              <c:numCache>
                <c:formatCode>"$"#,##0.00_);[Red]\("$"#,##0.00\)</c:formatCode>
                <c:ptCount val="3"/>
                <c:pt idx="0">
                  <c:v>45575</c:v>
                </c:pt>
                <c:pt idx="1">
                  <c:v>46175</c:v>
                </c:pt>
                <c:pt idx="2">
                  <c:v>46175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E-4028-8713-9C6128BE7E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56000"/>
        <c:axId val="801753256"/>
      </c:barChart>
      <c:catAx>
        <c:axId val="8017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3256"/>
        <c:crosses val="autoZero"/>
        <c:auto val="1"/>
        <c:lblAlgn val="ctr"/>
        <c:lblOffset val="100"/>
        <c:noMultiLvlLbl val="0"/>
      </c:catAx>
      <c:valAx>
        <c:axId val="801753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SAFE!$C$3:$C$12</c:f>
              <c:strCache>
                <c:ptCount val="10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</c:strCache>
            </c:strRef>
          </c:cat>
          <c:val>
            <c:numRef>
              <c:f>SAFE!$AD$3:$AD$12</c:f>
              <c:numCache>
                <c:formatCode>0.00%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0.24806629834254143</c:v>
                </c:pt>
                <c:pt idx="3">
                  <c:v>0.75193370165745854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4D5D-8B06-CE1D163BF1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421272"/>
        <c:axId val="601431072"/>
      </c:barChart>
      <c:catAx>
        <c:axId val="60142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31072"/>
        <c:crosses val="autoZero"/>
        <c:auto val="1"/>
        <c:lblAlgn val="ctr"/>
        <c:lblOffset val="100"/>
        <c:noMultiLvlLbl val="0"/>
      </c:catAx>
      <c:valAx>
        <c:axId val="6014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SAFE!$C$3:$C$8</c:f>
              <c:strCache>
                <c:ptCount val="6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SAFE!$C$9</c:f>
              <c:numCache>
                <c:formatCode>mmm\-yy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3-4E83-8EFF-65C2B531863E}"/>
            </c:ext>
          </c:extLst>
        </c:ser>
        <c:ser>
          <c:idx val="4"/>
          <c:order val="1"/>
          <c:tx>
            <c:strRef>
              <c:f>SAFE!$X$3:$X$8</c:f>
              <c:strCache>
                <c:ptCount val="6"/>
                <c:pt idx="0">
                  <c:v>301.67</c:v>
                </c:pt>
                <c:pt idx="1">
                  <c:v>301.67</c:v>
                </c:pt>
                <c:pt idx="2">
                  <c:v>149.67</c:v>
                </c:pt>
                <c:pt idx="3">
                  <c:v>453.67</c:v>
                </c:pt>
                <c:pt idx="4">
                  <c:v>301.67</c:v>
                </c:pt>
                <c:pt idx="5">
                  <c:v>603.33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SAFE!$X$9</c:f>
              <c:numCache>
                <c:formatCode>0.00</c:formatCode>
                <c:ptCount val="1"/>
                <c:pt idx="0">
                  <c:v>603.33333333333337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3-4E83-8EFF-65C2B531863E}"/>
            </c:ext>
          </c:extLst>
        </c:ser>
        <c:ser>
          <c:idx val="5"/>
          <c:order val="2"/>
          <c:tx>
            <c:strRef>
              <c:f>SAFE!$Y$3:$Y$8</c:f>
              <c:strCache>
                <c:ptCount val="6"/>
                <c:pt idx="0">
                  <c:v>603.33</c:v>
                </c:pt>
                <c:pt idx="1">
                  <c:v>603.33</c:v>
                </c:pt>
                <c:pt idx="2">
                  <c:v>299.33</c:v>
                </c:pt>
                <c:pt idx="3">
                  <c:v>907.33</c:v>
                </c:pt>
                <c:pt idx="4">
                  <c:v>603.33</c:v>
                </c:pt>
                <c:pt idx="5">
                  <c:v>1206.67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SAFE!$Y$9</c:f>
              <c:numCache>
                <c:formatCode>0.00</c:formatCode>
                <c:ptCount val="1"/>
                <c:pt idx="0">
                  <c:v>1206.6666666666665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3-4E83-8EFF-65C2B531863E}"/>
            </c:ext>
          </c:extLst>
        </c:ser>
        <c:ser>
          <c:idx val="0"/>
          <c:order val="3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[3]SAFE!$C$3:$C$8</c:f>
              <c:strCache>
                <c:ptCount val="6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[3]SAFE!$R$3:$R$8</c:f>
              <c:numCache>
                <c:formatCode>General</c:formatCode>
                <c:ptCount val="6"/>
                <c:pt idx="0">
                  <c:v>905</c:v>
                </c:pt>
                <c:pt idx="1">
                  <c:v>905</c:v>
                </c:pt>
                <c:pt idx="2">
                  <c:v>449</c:v>
                </c:pt>
                <c:pt idx="3">
                  <c:v>1361</c:v>
                </c:pt>
                <c:pt idx="4">
                  <c:v>905</c:v>
                </c:pt>
                <c:pt idx="5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3-4E83-8EFF-65C2B531863E}"/>
            </c:ext>
          </c:extLst>
        </c:ser>
        <c:ser>
          <c:idx val="1"/>
          <c:order val="4"/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[3]SAFE!$C$3:$C$8</c:f>
              <c:strCache>
                <c:ptCount val="6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[3]SAFE!$X$3:$X$8</c:f>
              <c:numCache>
                <c:formatCode>General</c:formatCode>
                <c:ptCount val="6"/>
                <c:pt idx="0">
                  <c:v>301.66666666666703</c:v>
                </c:pt>
                <c:pt idx="1">
                  <c:v>301.66666666666703</c:v>
                </c:pt>
                <c:pt idx="2">
                  <c:v>149.666666666667</c:v>
                </c:pt>
                <c:pt idx="3">
                  <c:v>453.66666666666703</c:v>
                </c:pt>
                <c:pt idx="4">
                  <c:v>301.66666666666703</c:v>
                </c:pt>
                <c:pt idx="5">
                  <c:v>603.33333333333303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63-4E83-8EFF-65C2B531863E}"/>
            </c:ext>
          </c:extLst>
        </c:ser>
        <c:ser>
          <c:idx val="2"/>
          <c:order val="5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[3]SAFE!$C$3:$C$8</c:f>
              <c:strCache>
                <c:ptCount val="6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[3]SAFE!$Y$3:$Y$8</c:f>
              <c:numCache>
                <c:formatCode>General</c:formatCode>
                <c:ptCount val="6"/>
                <c:pt idx="0">
                  <c:v>603.33333333333303</c:v>
                </c:pt>
                <c:pt idx="1">
                  <c:v>603.33333333333303</c:v>
                </c:pt>
                <c:pt idx="2">
                  <c:v>299.33333333333297</c:v>
                </c:pt>
                <c:pt idx="3">
                  <c:v>907.33333333333303</c:v>
                </c:pt>
                <c:pt idx="4">
                  <c:v>603.33333333333303</c:v>
                </c:pt>
                <c:pt idx="5">
                  <c:v>1206.6666666666699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63-4E83-8EFF-65C2B53186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422448"/>
        <c:axId val="601430288"/>
      </c:barChart>
      <c:catAx>
        <c:axId val="60142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30288"/>
        <c:crosses val="autoZero"/>
        <c:auto val="1"/>
        <c:lblAlgn val="ctr"/>
        <c:lblOffset val="100"/>
        <c:noMultiLvlLbl val="0"/>
      </c:catAx>
      <c:valAx>
        <c:axId val="6014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SAFE!$C$3:$C$12</c:f>
              <c:strCache>
                <c:ptCount val="10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</c:strCache>
            </c:strRef>
          </c:cat>
          <c:val>
            <c:numRef>
              <c:f>SAFE!$AE$3:$AE$12</c:f>
              <c:numCache>
                <c:formatCode>0.00%</c:formatCode>
                <c:ptCount val="10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0.66666666666666674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9-4E97-9E41-57AECE428D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427936"/>
        <c:axId val="601422056"/>
      </c:barChart>
      <c:catAx>
        <c:axId val="60142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2056"/>
        <c:crosses val="autoZero"/>
        <c:auto val="1"/>
        <c:lblAlgn val="ctr"/>
        <c:lblOffset val="100"/>
        <c:noMultiLvlLbl val="0"/>
      </c:catAx>
      <c:valAx>
        <c:axId val="601422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SAFE!$C$3:$C$12</c:f>
              <c:strCache>
                <c:ptCount val="10"/>
                <c:pt idx="0">
                  <c:v>Jan Regression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</c:strCache>
            </c:strRef>
          </c:cat>
          <c:val>
            <c:numRef>
              <c:f>SAFE!$AF$3:$AF$12</c:f>
              <c:numCache>
                <c:formatCode>"$"#,##0.00_);[Red]\("$"#,##0.00\)</c:formatCode>
                <c:ptCount val="10"/>
                <c:pt idx="0">
                  <c:v>15083.333333333332</c:v>
                </c:pt>
                <c:pt idx="1">
                  <c:v>15083.333333333332</c:v>
                </c:pt>
                <c:pt idx="2">
                  <c:v>7483.3333333333339</c:v>
                </c:pt>
                <c:pt idx="3">
                  <c:v>22683.333333333332</c:v>
                </c:pt>
                <c:pt idx="4">
                  <c:v>15083.333333333332</c:v>
                </c:pt>
                <c:pt idx="5">
                  <c:v>30166.666666666664</c:v>
                </c:pt>
                <c:pt idx="6">
                  <c:v>30166.666666666664</c:v>
                </c:pt>
                <c:pt idx="7">
                  <c:v>45250</c:v>
                </c:pt>
                <c:pt idx="8">
                  <c:v>30166.666666666664</c:v>
                </c:pt>
                <c:pt idx="9">
                  <c:v>30166.666666666664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5-4B68-8D1E-4CC48534F7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432248"/>
        <c:axId val="601420880"/>
      </c:barChart>
      <c:catAx>
        <c:axId val="60143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0880"/>
        <c:crosses val="autoZero"/>
        <c:auto val="1"/>
        <c:lblAlgn val="ctr"/>
        <c:lblOffset val="100"/>
        <c:noMultiLvlLbl val="0"/>
      </c:catAx>
      <c:valAx>
        <c:axId val="601420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32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- Per Month  (%)</a:t>
            </a:r>
          </a:p>
        </c:rich>
      </c:tx>
      <c:layout>
        <c:manualLayout>
          <c:xMode val="edge"/>
          <c:yMode val="edge"/>
          <c:x val="0.154602479941648"/>
          <c:y val="4.826098935028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SAFE!$R$52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E9E-4A08-9153-1013B6D136D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E9E-4A08-9153-1013B6D136D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FE9E-4A08-9153-1013B6D136D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FE9E-4A08-9153-1013B6D136D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FE9E-4A08-9153-1013B6D136D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FE9E-4A08-9153-1013B6D136D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FE9E-4A08-9153-1013B6D136D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FE9E-4A08-9153-1013B6D136D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FE9E-4A08-9153-1013B6D136D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FE9E-4A08-9153-1013B6D136D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FE9E-4A08-9153-1013B6D136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SAFE!$O$53:$O$64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SAFE!$R$53:$R$64</c:f>
              <c:numCache>
                <c:formatCode>0.00%</c:formatCode>
                <c:ptCount val="12"/>
                <c:pt idx="0">
                  <c:v>0.66666666666666663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E9E-4A08-9153-1013B6D136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421664"/>
        <c:axId val="601422840"/>
      </c:barChart>
      <c:catAx>
        <c:axId val="60142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2840"/>
        <c:crosses val="autoZero"/>
        <c:auto val="1"/>
        <c:lblAlgn val="ctr"/>
        <c:lblOffset val="100"/>
        <c:noMultiLvlLbl val="0"/>
      </c:catAx>
      <c:valAx>
        <c:axId val="6014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Month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98250468603"/>
          <c:y val="0.21747703412073499"/>
          <c:w val="0.84600483612867095"/>
          <c:h val="0.547806976246789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SAFE!$S$52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SAFE!$O$53:$O$64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SAFE!$S$53:$S$64</c:f>
              <c:numCache>
                <c:formatCode>"$"#,##0.00</c:formatCode>
                <c:ptCount val="12"/>
                <c:pt idx="0">
                  <c:v>15083.333333333332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5-4988-A7BE-F7C44EB529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423232"/>
        <c:axId val="601423624"/>
      </c:barChart>
      <c:catAx>
        <c:axId val="6014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3624"/>
        <c:crosses val="autoZero"/>
        <c:auto val="1"/>
        <c:lblAlgn val="ctr"/>
        <c:lblOffset val="100"/>
        <c:noMultiLvlLbl val="0"/>
      </c:catAx>
      <c:valAx>
        <c:axId val="60142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ProM!$C$3</c:f>
              <c:strCache>
                <c:ptCount val="1"/>
                <c:pt idx="0">
                  <c:v>Jan Regression</c:v>
                </c:pt>
              </c:strCache>
            </c:strRef>
          </c:cat>
          <c:val>
            <c:numRef>
              <c:f>ProM!$AC$3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F-45D6-A66A-F98AF41739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435776"/>
        <c:axId val="601433816"/>
      </c:barChart>
      <c:catAx>
        <c:axId val="6014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33816"/>
        <c:crosses val="autoZero"/>
        <c:auto val="1"/>
        <c:lblAlgn val="ctr"/>
        <c:lblOffset val="100"/>
        <c:noMultiLvlLbl val="0"/>
      </c:catAx>
      <c:valAx>
        <c:axId val="601433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3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ProM!$C$3</c:f>
              <c:strCache>
                <c:ptCount val="1"/>
                <c:pt idx="0">
                  <c:v>Jan Regression</c:v>
                </c:pt>
              </c:strCache>
            </c:strRef>
          </c:cat>
          <c:val>
            <c:numRef>
              <c:f>ProM!$R$3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5-4244-9B94-BBF1EE843A0D}"/>
            </c:ext>
          </c:extLst>
        </c:ser>
        <c:ser>
          <c:idx val="1"/>
          <c:order val="1"/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ProM!$C$3</c:f>
              <c:strCache>
                <c:ptCount val="1"/>
                <c:pt idx="0">
                  <c:v>Jan Regression</c:v>
                </c:pt>
              </c:strCache>
            </c:strRef>
          </c:cat>
          <c:val>
            <c:numRef>
              <c:f>ProM!$X$3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E5-4244-9B94-BBF1EE843A0D}"/>
            </c:ext>
          </c:extLst>
        </c:ser>
        <c:ser>
          <c:idx val="2"/>
          <c:order val="2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ProM!$C$3</c:f>
              <c:strCache>
                <c:ptCount val="1"/>
                <c:pt idx="0">
                  <c:v>Jan Regression</c:v>
                </c:pt>
              </c:strCache>
            </c:strRef>
          </c:cat>
          <c:val>
            <c:numRef>
              <c:f>ProM!$Y$3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E5-4244-9B94-BBF1EE843A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434600"/>
        <c:axId val="601434992"/>
      </c:barChart>
      <c:catAx>
        <c:axId val="60143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34992"/>
        <c:crosses val="autoZero"/>
        <c:auto val="1"/>
        <c:lblAlgn val="ctr"/>
        <c:lblOffset val="100"/>
        <c:noMultiLvlLbl val="0"/>
      </c:catAx>
      <c:valAx>
        <c:axId val="6014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3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ProM!$C$3</c:f>
              <c:strCache>
                <c:ptCount val="1"/>
                <c:pt idx="0">
                  <c:v>Jan Regression</c:v>
                </c:pt>
              </c:strCache>
            </c:strRef>
          </c:cat>
          <c:val>
            <c:numRef>
              <c:f>ProM!$AE$3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F-4F01-81DD-A3A914409C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435384"/>
        <c:axId val="1014136584"/>
      </c:barChart>
      <c:catAx>
        <c:axId val="60143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36584"/>
        <c:crosses val="autoZero"/>
        <c:auto val="1"/>
        <c:lblAlgn val="ctr"/>
        <c:lblOffset val="100"/>
        <c:noMultiLvlLbl val="0"/>
      </c:catAx>
      <c:valAx>
        <c:axId val="1014136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3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ProM!$C$3</c:f>
              <c:strCache>
                <c:ptCount val="1"/>
                <c:pt idx="0">
                  <c:v>Jan Regression</c:v>
                </c:pt>
              </c:strCache>
            </c:strRef>
          </c:cat>
          <c:val>
            <c:numRef>
              <c:f>ProM!$AF$3</c:f>
              <c:numCache>
                <c:formatCode>"$"#,##0.00_);[Red]\("$"#,##0.00\)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5-4399-9B6E-55756834E5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4144424"/>
        <c:axId val="1014142856"/>
      </c:barChart>
      <c:catAx>
        <c:axId val="101414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42856"/>
        <c:crosses val="autoZero"/>
        <c:auto val="1"/>
        <c:lblAlgn val="ctr"/>
        <c:lblOffset val="100"/>
        <c:noMultiLvlLbl val="0"/>
      </c:catAx>
      <c:valAx>
        <c:axId val="1014142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4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Month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98250468603"/>
          <c:y val="0.21747703412073499"/>
          <c:w val="0.84600483612867095"/>
          <c:h val="0.5478069762467899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Magic!$O$46:$O$57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Magic!$S$46:$S$57</c:f>
              <c:numCache>
                <c:formatCode>"$"#,##0.00</c:formatCode>
                <c:ptCount val="12"/>
                <c:pt idx="0">
                  <c:v>45575</c:v>
                </c:pt>
                <c:pt idx="1">
                  <c:v>46175</c:v>
                </c:pt>
                <c:pt idx="2">
                  <c:v>46175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0-47B4-B2CF-1F780CC782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60704"/>
        <c:axId val="801756392"/>
      </c:barChart>
      <c:catAx>
        <c:axId val="80176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6392"/>
        <c:crosses val="autoZero"/>
        <c:auto val="1"/>
        <c:lblAlgn val="ctr"/>
        <c:lblOffset val="100"/>
        <c:noMultiLvlLbl val="0"/>
      </c:catAx>
      <c:valAx>
        <c:axId val="80175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6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- Per Month  (%)</a:t>
            </a:r>
          </a:p>
        </c:rich>
      </c:tx>
      <c:layout>
        <c:manualLayout>
          <c:xMode val="edge"/>
          <c:yMode val="edge"/>
          <c:x val="0.154602479941648"/>
          <c:y val="4.826098935028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B2D-474F-A273-BE886C1AC71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2B2D-474F-A273-BE886C1AC71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2B2D-474F-A273-BE886C1AC71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2B2D-474F-A273-BE886C1AC71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2B2D-474F-A273-BE886C1AC71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2B2D-474F-A273-BE886C1AC71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2B2D-474F-A273-BE886C1AC71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2B2D-474F-A273-BE886C1AC71C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2B2D-474F-A273-BE886C1AC71C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2B2D-474F-A273-BE886C1AC71C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2B2D-474F-A273-BE886C1AC7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ProM!$O$44:$O$55</c:f>
              <c:strCache>
                <c:ptCount val="12"/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</c:strCache>
            </c:strRef>
          </c:cat>
          <c:val>
            <c:numRef>
              <c:f>ProM!$R$44:$R$55</c:f>
              <c:numCache>
                <c:formatCode>0.00%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B2D-474F-A273-BE886C1AC7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4144816"/>
        <c:axId val="1014143640"/>
      </c:barChart>
      <c:catAx>
        <c:axId val="101414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43640"/>
        <c:crosses val="autoZero"/>
        <c:auto val="1"/>
        <c:lblAlgn val="ctr"/>
        <c:lblOffset val="100"/>
        <c:noMultiLvlLbl val="0"/>
      </c:catAx>
      <c:valAx>
        <c:axId val="101414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4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Month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98250468603"/>
          <c:y val="0.21747703412073499"/>
          <c:w val="0.84600483612867095"/>
          <c:h val="0.5478069762467899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ProM!$O$44:$O$55</c:f>
              <c:strCache>
                <c:ptCount val="12"/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</c:strCache>
            </c:strRef>
          </c:cat>
          <c:val>
            <c:numRef>
              <c:f>ProM!$S$44:$S$55</c:f>
              <c:numCache>
                <c:formatCode>"$"#,##0.00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5-45C3-9139-6E357F1A95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4137760"/>
        <c:axId val="1014138152"/>
      </c:barChart>
      <c:catAx>
        <c:axId val="101413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38152"/>
        <c:crosses val="autoZero"/>
        <c:auto val="1"/>
        <c:lblAlgn val="ctr"/>
        <c:lblOffset val="100"/>
        <c:noMultiLvlLbl val="0"/>
      </c:catAx>
      <c:valAx>
        <c:axId val="101413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3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ProM!$C$3</c:f>
              <c:strCache>
                <c:ptCount val="1"/>
                <c:pt idx="0">
                  <c:v>Jan Regression</c:v>
                </c:pt>
              </c:strCache>
            </c:strRef>
          </c:cat>
          <c:val>
            <c:numRef>
              <c:f>ProM!$AB$3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E-41E5-B2D9-1454B06637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4139720"/>
        <c:axId val="1014140112"/>
      </c:barChart>
      <c:catAx>
        <c:axId val="101413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40112"/>
        <c:crosses val="autoZero"/>
        <c:auto val="1"/>
        <c:lblAlgn val="ctr"/>
        <c:lblOffset val="100"/>
        <c:noMultiLvlLbl val="0"/>
      </c:catAx>
      <c:valAx>
        <c:axId val="10141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39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ProM!$C$3</c:f>
              <c:strCache>
                <c:ptCount val="1"/>
                <c:pt idx="0">
                  <c:v>Jan Regression</c:v>
                </c:pt>
              </c:strCache>
            </c:strRef>
          </c:cat>
          <c:val>
            <c:numRef>
              <c:f>ProM!$AD$3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A-4BA5-8533-0A546FFFD0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4141288"/>
        <c:axId val="1014142072"/>
      </c:barChart>
      <c:catAx>
        <c:axId val="101414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42072"/>
        <c:crosses val="autoZero"/>
        <c:auto val="1"/>
        <c:lblAlgn val="ctr"/>
        <c:lblOffset val="100"/>
        <c:noMultiLvlLbl val="0"/>
      </c:catAx>
      <c:valAx>
        <c:axId val="101414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41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TVROCS!$C$3:$C$9</c:f>
              <c:strCache>
                <c:ptCount val="7"/>
                <c:pt idx="0">
                  <c:v>Jan Regression</c:v>
                </c:pt>
                <c:pt idx="1">
                  <c:v>Feb Regression</c:v>
                </c:pt>
                <c:pt idx="2">
                  <c:v>March Regression</c:v>
                </c:pt>
                <c:pt idx="3">
                  <c:v>April Regression</c:v>
                </c:pt>
                <c:pt idx="4">
                  <c:v>May Regression</c:v>
                </c:pt>
                <c:pt idx="5">
                  <c:v>June Regression</c:v>
                </c:pt>
                <c:pt idx="6">
                  <c:v>July Regression</c:v>
                </c:pt>
              </c:strCache>
            </c:strRef>
          </c:cat>
          <c:val>
            <c:numRef>
              <c:f>TVROCS!$AB$3:$AB$9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505-B397-494844E1AF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4145208"/>
        <c:axId val="1014145992"/>
      </c:barChart>
      <c:catAx>
        <c:axId val="101414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45992"/>
        <c:crosses val="autoZero"/>
        <c:auto val="1"/>
        <c:lblAlgn val="ctr"/>
        <c:lblOffset val="100"/>
        <c:noMultiLvlLbl val="0"/>
      </c:catAx>
      <c:valAx>
        <c:axId val="101414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4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TVROCS!$C$3:$C$9</c:f>
              <c:strCache>
                <c:ptCount val="7"/>
                <c:pt idx="0">
                  <c:v>Jan Regression</c:v>
                </c:pt>
                <c:pt idx="1">
                  <c:v>Feb Regression</c:v>
                </c:pt>
                <c:pt idx="2">
                  <c:v>March Regression</c:v>
                </c:pt>
                <c:pt idx="3">
                  <c:v>April Regression</c:v>
                </c:pt>
                <c:pt idx="4">
                  <c:v>May Regression</c:v>
                </c:pt>
                <c:pt idx="5">
                  <c:v>June Regression</c:v>
                </c:pt>
                <c:pt idx="6">
                  <c:v>July Regression</c:v>
                </c:pt>
              </c:strCache>
            </c:strRef>
          </c:cat>
          <c:val>
            <c:numRef>
              <c:f>TVROCS!$AC$3:$AC$9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1-4841-8203-590B36DCE3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4134624"/>
        <c:axId val="1014135016"/>
      </c:barChart>
      <c:catAx>
        <c:axId val="10141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35016"/>
        <c:crosses val="autoZero"/>
        <c:auto val="1"/>
        <c:lblAlgn val="ctr"/>
        <c:lblOffset val="100"/>
        <c:noMultiLvlLbl val="0"/>
      </c:catAx>
      <c:valAx>
        <c:axId val="1014135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3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TVROCS!$C$3:$C$9</c:f>
              <c:strCache>
                <c:ptCount val="7"/>
                <c:pt idx="0">
                  <c:v>Jan Regression</c:v>
                </c:pt>
                <c:pt idx="1">
                  <c:v>Feb Regression</c:v>
                </c:pt>
                <c:pt idx="2">
                  <c:v>March Regression</c:v>
                </c:pt>
                <c:pt idx="3">
                  <c:v>April Regression</c:v>
                </c:pt>
                <c:pt idx="4">
                  <c:v>May Regression</c:v>
                </c:pt>
                <c:pt idx="5">
                  <c:v>June Regression</c:v>
                </c:pt>
                <c:pt idx="6">
                  <c:v>July Regression</c:v>
                </c:pt>
              </c:strCache>
            </c:strRef>
          </c:cat>
          <c:val>
            <c:numRef>
              <c:f>TVROCS!$AD$3:$AD$9</c:f>
              <c:numCache>
                <c:formatCode>0.00%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9-44D9-A82F-9F4218643B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4136192"/>
        <c:axId val="1014136976"/>
      </c:barChart>
      <c:catAx>
        <c:axId val="101413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36976"/>
        <c:crosses val="autoZero"/>
        <c:auto val="1"/>
        <c:lblAlgn val="ctr"/>
        <c:lblOffset val="100"/>
        <c:noMultiLvlLbl val="0"/>
      </c:catAx>
      <c:valAx>
        <c:axId val="10141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3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TVROCS!$C$3:$C$9</c:f>
              <c:strCache>
                <c:ptCount val="7"/>
                <c:pt idx="0">
                  <c:v>Jan Regression</c:v>
                </c:pt>
                <c:pt idx="1">
                  <c:v>Feb Regression</c:v>
                </c:pt>
                <c:pt idx="2">
                  <c:v>March Regression</c:v>
                </c:pt>
                <c:pt idx="3">
                  <c:v>April Regression</c:v>
                </c:pt>
                <c:pt idx="4">
                  <c:v>May Regression</c:v>
                </c:pt>
                <c:pt idx="5">
                  <c:v>June Regression</c:v>
                </c:pt>
                <c:pt idx="6">
                  <c:v>July Regression</c:v>
                </c:pt>
              </c:strCache>
            </c:strRef>
          </c:cat>
          <c:val>
            <c:numRef>
              <c:f>TVROCS!$R$3:$R$9</c:f>
              <c:numCache>
                <c:formatCode>0.00</c:formatCode>
                <c:ptCount val="7"/>
                <c:pt idx="0">
                  <c:v>83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1-438C-A2AF-4D9E45E98DB1}"/>
            </c:ext>
          </c:extLst>
        </c:ser>
        <c:ser>
          <c:idx val="1"/>
          <c:order val="1"/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TVROCS!$C$3:$C$9</c:f>
              <c:strCache>
                <c:ptCount val="7"/>
                <c:pt idx="0">
                  <c:v>Jan Regression</c:v>
                </c:pt>
                <c:pt idx="1">
                  <c:v>Feb Regression</c:v>
                </c:pt>
                <c:pt idx="2">
                  <c:v>March Regression</c:v>
                </c:pt>
                <c:pt idx="3">
                  <c:v>April Regression</c:v>
                </c:pt>
                <c:pt idx="4">
                  <c:v>May Regression</c:v>
                </c:pt>
                <c:pt idx="5">
                  <c:v>June Regression</c:v>
                </c:pt>
                <c:pt idx="6">
                  <c:v>July Regression</c:v>
                </c:pt>
              </c:strCache>
            </c:strRef>
          </c:cat>
          <c:val>
            <c:numRef>
              <c:f>TVROCS!$X$3:$X$9</c:f>
              <c:numCache>
                <c:formatCode>0.00</c:formatCode>
                <c:ptCount val="7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1-438C-A2AF-4D9E45E98DB1}"/>
            </c:ext>
          </c:extLst>
        </c:ser>
        <c:ser>
          <c:idx val="2"/>
          <c:order val="2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TVROCS!$C$3:$C$9</c:f>
              <c:strCache>
                <c:ptCount val="7"/>
                <c:pt idx="0">
                  <c:v>Jan Regression</c:v>
                </c:pt>
                <c:pt idx="1">
                  <c:v>Feb Regression</c:v>
                </c:pt>
                <c:pt idx="2">
                  <c:v>March Regression</c:v>
                </c:pt>
                <c:pt idx="3">
                  <c:v>April Regression</c:v>
                </c:pt>
                <c:pt idx="4">
                  <c:v>May Regression</c:v>
                </c:pt>
                <c:pt idx="5">
                  <c:v>June Regression</c:v>
                </c:pt>
                <c:pt idx="6">
                  <c:v>July Regression</c:v>
                </c:pt>
              </c:strCache>
            </c:strRef>
          </c:cat>
          <c:val>
            <c:numRef>
              <c:f>TVROCS!$Y$3:$Y$9</c:f>
              <c:numCache>
                <c:formatCode>0.00</c:formatCode>
                <c:ptCount val="7"/>
                <c:pt idx="0">
                  <c:v>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1-438C-A2AF-4D9E45E98D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4150304"/>
        <c:axId val="1014155400"/>
      </c:barChart>
      <c:catAx>
        <c:axId val="10141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55400"/>
        <c:crosses val="autoZero"/>
        <c:auto val="1"/>
        <c:lblAlgn val="ctr"/>
        <c:lblOffset val="100"/>
        <c:noMultiLvlLbl val="0"/>
      </c:catAx>
      <c:valAx>
        <c:axId val="101415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5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TVROCS!$C$3:$C$9</c:f>
              <c:strCache>
                <c:ptCount val="7"/>
                <c:pt idx="0">
                  <c:v>Jan Regression</c:v>
                </c:pt>
                <c:pt idx="1">
                  <c:v>Feb Regression</c:v>
                </c:pt>
                <c:pt idx="2">
                  <c:v>March Regression</c:v>
                </c:pt>
                <c:pt idx="3">
                  <c:v>April Regression</c:v>
                </c:pt>
                <c:pt idx="4">
                  <c:v>May Regression</c:v>
                </c:pt>
                <c:pt idx="5">
                  <c:v>June Regression</c:v>
                </c:pt>
                <c:pt idx="6">
                  <c:v>July Regression</c:v>
                </c:pt>
              </c:strCache>
            </c:strRef>
          </c:cat>
          <c:val>
            <c:numRef>
              <c:f>TVROCS!$AE$3:$AE$9</c:f>
              <c:numCache>
                <c:formatCode>0.00%</c:formatCode>
                <c:ptCount val="7"/>
                <c:pt idx="0">
                  <c:v>0.83132530120481929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4-434F-BBCB-2584F2DCA6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4153440"/>
        <c:axId val="1014157360"/>
      </c:barChart>
      <c:catAx>
        <c:axId val="10141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57360"/>
        <c:crosses val="autoZero"/>
        <c:auto val="1"/>
        <c:lblAlgn val="ctr"/>
        <c:lblOffset val="100"/>
        <c:noMultiLvlLbl val="0"/>
      </c:catAx>
      <c:valAx>
        <c:axId val="1014157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5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TVROCS!$C$3:$C$9</c:f>
              <c:strCache>
                <c:ptCount val="7"/>
                <c:pt idx="0">
                  <c:v>Jan Regression</c:v>
                </c:pt>
                <c:pt idx="1">
                  <c:v>Feb Regression</c:v>
                </c:pt>
                <c:pt idx="2">
                  <c:v>March Regression</c:v>
                </c:pt>
                <c:pt idx="3">
                  <c:v>April Regression</c:v>
                </c:pt>
                <c:pt idx="4">
                  <c:v>May Regression</c:v>
                </c:pt>
                <c:pt idx="5">
                  <c:v>June Regression</c:v>
                </c:pt>
                <c:pt idx="6">
                  <c:v>July Regression</c:v>
                </c:pt>
              </c:strCache>
            </c:strRef>
          </c:cat>
          <c:val>
            <c:numRef>
              <c:f>TVROCS!$AF$3:$AF$9</c:f>
              <c:numCache>
                <c:formatCode>"$"#,##0.00_);[Red]\("$"#,##0.00\)</c:formatCode>
                <c:ptCount val="7"/>
                <c:pt idx="0">
                  <c:v>1725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3-442C-933F-F930A2BF6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4152264"/>
        <c:axId val="1014153832"/>
      </c:barChart>
      <c:catAx>
        <c:axId val="101415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53832"/>
        <c:crosses val="autoZero"/>
        <c:auto val="1"/>
        <c:lblAlgn val="ctr"/>
        <c:lblOffset val="100"/>
        <c:noMultiLvlLbl val="0"/>
      </c:catAx>
      <c:valAx>
        <c:axId val="1014153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5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- Per Month  (%)</a:t>
            </a:r>
          </a:p>
        </c:rich>
      </c:tx>
      <c:layout>
        <c:manualLayout>
          <c:xMode val="edge"/>
          <c:yMode val="edge"/>
          <c:x val="0.154602479941648"/>
          <c:y val="4.826098935028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Magic!$O$46:$O$57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Magic!$R$46:$R$57</c:f>
              <c:numCache>
                <c:formatCode>0.00%</c:formatCode>
                <c:ptCount val="12"/>
                <c:pt idx="0">
                  <c:v>0.9994517543859649</c:v>
                </c:pt>
                <c:pt idx="1">
                  <c:v>0.99945887445887449</c:v>
                </c:pt>
                <c:pt idx="2">
                  <c:v>0.99945887445887449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4-47A9-ACE5-D334D18D8E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59528"/>
        <c:axId val="801761096"/>
      </c:barChart>
      <c:catAx>
        <c:axId val="80175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61096"/>
        <c:crosses val="autoZero"/>
        <c:auto val="1"/>
        <c:lblAlgn val="ctr"/>
        <c:lblOffset val="100"/>
        <c:noMultiLvlLbl val="0"/>
      </c:catAx>
      <c:valAx>
        <c:axId val="80176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9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- Per Month  (%)</a:t>
            </a:r>
          </a:p>
        </c:rich>
      </c:tx>
      <c:layout>
        <c:manualLayout>
          <c:xMode val="edge"/>
          <c:yMode val="edge"/>
          <c:x val="0.154602479941648"/>
          <c:y val="4.826098935028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TVROCS!$R$49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57A-4A58-852C-94EAFF6B293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57A-4A58-852C-94EAFF6B293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657A-4A58-852C-94EAFF6B293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57A-4A58-852C-94EAFF6B2931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657A-4A58-852C-94EAFF6B2931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657A-4A58-852C-94EAFF6B2931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657A-4A58-852C-94EAFF6B2931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657A-4A58-852C-94EAFF6B2931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657A-4A58-852C-94EAFF6B2931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657A-4A58-852C-94EAFF6B2931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657A-4A58-852C-94EAFF6B29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TVROCS!$O$50:$O$61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TVROCS!$R$50:$R$61</c:f>
              <c:numCache>
                <c:formatCode>0.00%</c:formatCode>
                <c:ptCount val="12"/>
                <c:pt idx="0">
                  <c:v>0.83132530120481929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57A-4A58-852C-94EAFF6B29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4154616"/>
        <c:axId val="1014156184"/>
      </c:barChart>
      <c:catAx>
        <c:axId val="101415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56184"/>
        <c:crosses val="autoZero"/>
        <c:auto val="1"/>
        <c:lblAlgn val="ctr"/>
        <c:lblOffset val="100"/>
        <c:noMultiLvlLbl val="0"/>
      </c:catAx>
      <c:valAx>
        <c:axId val="101415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5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Month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98250468603"/>
          <c:y val="0.21747703412073499"/>
          <c:w val="0.84600483612867095"/>
          <c:h val="0.547806976246789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TVROCS!$S$49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TVROCS!$O$50:$O$61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TVROCS!$S$50:$S$61</c:f>
              <c:numCache>
                <c:formatCode>"$"#,##0.00</c:formatCode>
                <c:ptCount val="12"/>
                <c:pt idx="0">
                  <c:v>1725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8-4AED-9BCB-5030E83F5A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4156576"/>
        <c:axId val="1014147952"/>
      </c:barChart>
      <c:catAx>
        <c:axId val="10141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47952"/>
        <c:crosses val="autoZero"/>
        <c:auto val="1"/>
        <c:lblAlgn val="ctr"/>
        <c:lblOffset val="100"/>
        <c:noMultiLvlLbl val="0"/>
      </c:catAx>
      <c:valAx>
        <c:axId val="10141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5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Automation Progress (%)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PDM!$C$3</c:f>
              <c:strCache>
                <c:ptCount val="1"/>
                <c:pt idx="0">
                  <c:v>Jan Regression</c:v>
                </c:pt>
              </c:strCache>
            </c:strRef>
          </c:cat>
          <c:val>
            <c:numRef>
              <c:f>PDM!$AB$3</c:f>
              <c:numCache>
                <c:formatCode>0.00%</c:formatCode>
                <c:ptCount val="1"/>
                <c:pt idx="0">
                  <c:v>0.88660801564027369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C-417F-85A9-220A6C83D2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4147168"/>
        <c:axId val="1014157752"/>
      </c:barChart>
      <c:catAx>
        <c:axId val="101414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57752"/>
        <c:crosses val="autoZero"/>
        <c:auto val="1"/>
        <c:lblAlgn val="ctr"/>
        <c:lblOffset val="100"/>
        <c:noMultiLvlLbl val="0"/>
      </c:catAx>
      <c:valAx>
        <c:axId val="101415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4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PDM!$C$3</c:f>
              <c:strCache>
                <c:ptCount val="1"/>
                <c:pt idx="0">
                  <c:v>Jan Regression</c:v>
                </c:pt>
              </c:strCache>
            </c:strRef>
          </c:cat>
          <c:val>
            <c:numRef>
              <c:f>PDM!$AC$3</c:f>
              <c:numCache>
                <c:formatCode>0.00%</c:formatCode>
                <c:ptCount val="1"/>
                <c:pt idx="0">
                  <c:v>0.88660801564027369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E-4AB9-8797-FE1DB2EB33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4158536"/>
        <c:axId val="1014147560"/>
      </c:barChart>
      <c:catAx>
        <c:axId val="101415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47560"/>
        <c:crosses val="autoZero"/>
        <c:auto val="1"/>
        <c:lblAlgn val="ctr"/>
        <c:lblOffset val="100"/>
        <c:noMultiLvlLbl val="0"/>
      </c:catAx>
      <c:valAx>
        <c:axId val="1014147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5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PDM!$C$3</c:f>
              <c:strCache>
                <c:ptCount val="1"/>
                <c:pt idx="0">
                  <c:v>Jan Regression</c:v>
                </c:pt>
              </c:strCache>
            </c:strRef>
          </c:cat>
          <c:val>
            <c:numRef>
              <c:f>PDM!$AD$3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4-4EEA-B114-E550AAA9CE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4159320"/>
        <c:axId val="1014148344"/>
      </c:barChart>
      <c:catAx>
        <c:axId val="101415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48344"/>
        <c:crosses val="autoZero"/>
        <c:auto val="1"/>
        <c:lblAlgn val="ctr"/>
        <c:lblOffset val="100"/>
        <c:noMultiLvlLbl val="0"/>
      </c:catAx>
      <c:valAx>
        <c:axId val="1014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5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Manual Effort For Execution (PH)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PDM!$C$3</c:f>
              <c:strCache>
                <c:ptCount val="1"/>
                <c:pt idx="0">
                  <c:v>Jan Regression</c:v>
                </c:pt>
              </c:strCache>
            </c:strRef>
          </c:cat>
          <c:val>
            <c:numRef>
              <c:f>PDM!$R$3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8-4012-8E9D-14984FE82B8A}"/>
            </c:ext>
          </c:extLst>
        </c:ser>
        <c:ser>
          <c:idx val="1"/>
          <c:order val="1"/>
          <c:tx>
            <c:v>Test Execution effort spent after automation
(PH)</c:v>
          </c:tx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PDM!$C$3</c:f>
              <c:strCache>
                <c:ptCount val="1"/>
                <c:pt idx="0">
                  <c:v>Jan Regression</c:v>
                </c:pt>
              </c:strCache>
            </c:strRef>
          </c:cat>
          <c:val>
            <c:numRef>
              <c:f>PDM!$X$3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8-4012-8E9D-14984FE82B8A}"/>
            </c:ext>
          </c:extLst>
        </c:ser>
        <c:ser>
          <c:idx val="2"/>
          <c:order val="2"/>
          <c:tx>
            <c:v>Effort Savings Per Cycle (PH)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PDM!$C$3</c:f>
              <c:strCache>
                <c:ptCount val="1"/>
                <c:pt idx="0">
                  <c:v>Jan Regression</c:v>
                </c:pt>
              </c:strCache>
            </c:strRef>
          </c:cat>
          <c:val>
            <c:numRef>
              <c:f>PDM!$Y$3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98-4012-8E9D-14984FE82B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4152656"/>
        <c:axId val="1014151480"/>
      </c:barChart>
      <c:catAx>
        <c:axId val="101415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51480"/>
        <c:crosses val="autoZero"/>
        <c:auto val="1"/>
        <c:lblAlgn val="ctr"/>
        <c:lblOffset val="100"/>
        <c:noMultiLvlLbl val="0"/>
      </c:catAx>
      <c:valAx>
        <c:axId val="101415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5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Effort Savings  (%)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PDM!$C$3</c:f>
              <c:strCache>
                <c:ptCount val="1"/>
                <c:pt idx="0">
                  <c:v>Jan Regression</c:v>
                </c:pt>
              </c:strCache>
            </c:strRef>
          </c:cat>
          <c:val>
            <c:numRef>
              <c:f>PDM!$AE$3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D-4DFC-B39F-7DE8046351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4149520"/>
        <c:axId val="1014149912"/>
      </c:barChart>
      <c:catAx>
        <c:axId val="10141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49912"/>
        <c:crosses val="autoZero"/>
        <c:auto val="1"/>
        <c:lblAlgn val="ctr"/>
        <c:lblOffset val="100"/>
        <c:noMultiLvlLbl val="0"/>
      </c:catAx>
      <c:valAx>
        <c:axId val="1014149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4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tx>
            <c:v>Cost Savings Per Cycle ($)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PDM!$C$3</c:f>
              <c:strCache>
                <c:ptCount val="1"/>
                <c:pt idx="0">
                  <c:v>Jan Regression</c:v>
                </c:pt>
              </c:strCache>
            </c:strRef>
          </c:cat>
          <c:val>
            <c:numRef>
              <c:f>PDM!$AF$3</c:f>
              <c:numCache>
                <c:formatCode>"$"#,##0.00_);[Red]\("$"#,##0.00\)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8-46E0-AB34-1AAFD80FF3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4166376"/>
        <c:axId val="1014162064"/>
      </c:barChart>
      <c:catAx>
        <c:axId val="101416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62064"/>
        <c:crosses val="autoZero"/>
        <c:auto val="1"/>
        <c:lblAlgn val="ctr"/>
        <c:lblOffset val="100"/>
        <c:noMultiLvlLbl val="0"/>
      </c:catAx>
      <c:valAx>
        <c:axId val="1014162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6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- Per Month  (%)</a:t>
            </a:r>
          </a:p>
        </c:rich>
      </c:tx>
      <c:layout>
        <c:manualLayout>
          <c:xMode val="edge"/>
          <c:yMode val="edge"/>
          <c:x val="0.154602479941648"/>
          <c:y val="4.826098935028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E29-4729-9CAA-FCEF6D2FB6F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E29-4729-9CAA-FCEF6D2FB6F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0E29-4729-9CAA-FCEF6D2FB6F1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0E29-4729-9CAA-FCEF6D2FB6F1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0E29-4729-9CAA-FCEF6D2FB6F1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0E29-4729-9CAA-FCEF6D2FB6F1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0E29-4729-9CAA-FCEF6D2FB6F1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0E29-4729-9CAA-FCEF6D2FB6F1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0E29-4729-9CAA-FCEF6D2FB6F1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0E29-4729-9CAA-FCEF6D2FB6F1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0E29-4729-9CAA-FCEF6D2FB6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PDM!$O$46:$O$57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PDM!$R$46:$R$57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29-4729-9CAA-FCEF6D2FB6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4160496"/>
        <c:axId val="1014164808"/>
      </c:barChart>
      <c:catAx>
        <c:axId val="101416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64808"/>
        <c:crosses val="autoZero"/>
        <c:auto val="1"/>
        <c:lblAlgn val="ctr"/>
        <c:lblOffset val="100"/>
        <c:noMultiLvlLbl val="0"/>
      </c:catAx>
      <c:valAx>
        <c:axId val="101416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6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Month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98250468603"/>
          <c:y val="0.21747703412073499"/>
          <c:w val="0.84600483612867095"/>
          <c:h val="0.5478069762467899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PDM!$O$46:$O$57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PDM!$S$46:$S$57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8-46DD-9D23-63735FCE23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81504"/>
        <c:axId val="1382680"/>
      </c:barChart>
      <c:catAx>
        <c:axId val="138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80"/>
        <c:crosses val="autoZero"/>
        <c:auto val="1"/>
        <c:lblAlgn val="ctr"/>
        <c:lblOffset val="100"/>
        <c:noMultiLvlLbl val="0"/>
      </c:catAx>
      <c:valAx>
        <c:axId val="138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GTM!$AA$2</c:f>
              <c:strCache>
                <c:ptCount val="1"/>
                <c:pt idx="0">
                  <c:v>Testcases Completed /Testcases Automatable(%)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GTM!$C$3:$C$5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GTM!$AA$3:$AA$5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D-4E8D-A5E4-F91A7EC1C8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39536"/>
        <c:axId val="801745024"/>
      </c:barChart>
      <c:catAx>
        <c:axId val="80173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45024"/>
        <c:crosses val="autoZero"/>
        <c:auto val="1"/>
        <c:lblAlgn val="ctr"/>
        <c:lblOffset val="100"/>
        <c:noMultiLvlLbl val="0"/>
      </c:catAx>
      <c:valAx>
        <c:axId val="8017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3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AssetTracker!$C$3</c:f>
              <c:strCache>
                <c:ptCount val="1"/>
                <c:pt idx="0">
                  <c:v>Jan Regression</c:v>
                </c:pt>
              </c:strCache>
            </c:strRef>
          </c:cat>
          <c:val>
            <c:numRef>
              <c:f>AssetTracker!$AB$3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3-4F9F-84C0-904CFA27A9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9190016"/>
        <c:axId val="747365184"/>
      </c:barChart>
      <c:catAx>
        <c:axId val="5291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5184"/>
        <c:crosses val="autoZero"/>
        <c:auto val="1"/>
        <c:lblAlgn val="ctr"/>
        <c:lblOffset val="100"/>
        <c:noMultiLvlLbl val="0"/>
      </c:catAx>
      <c:valAx>
        <c:axId val="7473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9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AssetTracker!$C$3</c:f>
              <c:strCache>
                <c:ptCount val="1"/>
                <c:pt idx="0">
                  <c:v>Jan Regression</c:v>
                </c:pt>
              </c:strCache>
            </c:strRef>
          </c:cat>
          <c:val>
            <c:numRef>
              <c:f>AssetTracker!$AC$3</c:f>
              <c:numCache>
                <c:formatCode>0.00%</c:formatCode>
                <c:ptCount val="1"/>
                <c:pt idx="0">
                  <c:v>0.96530612244897962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0-4D77-BE44-1D5B533F30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7371848"/>
        <c:axId val="747360480"/>
      </c:barChart>
      <c:catAx>
        <c:axId val="74737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0480"/>
        <c:crosses val="autoZero"/>
        <c:auto val="1"/>
        <c:lblAlgn val="ctr"/>
        <c:lblOffset val="100"/>
        <c:noMultiLvlLbl val="0"/>
      </c:catAx>
      <c:valAx>
        <c:axId val="747360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AssetTracker!$C$3</c:f>
              <c:strCache>
                <c:ptCount val="1"/>
                <c:pt idx="0">
                  <c:v>Jan Regression</c:v>
                </c:pt>
              </c:strCache>
            </c:strRef>
          </c:cat>
          <c:val>
            <c:numRef>
              <c:f>AssetTracker!$R$3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A-443B-AF45-DED6E7EBADED}"/>
            </c:ext>
          </c:extLst>
        </c:ser>
        <c:ser>
          <c:idx val="1"/>
          <c:order val="1"/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AssetTracker!$C$3</c:f>
              <c:strCache>
                <c:ptCount val="1"/>
                <c:pt idx="0">
                  <c:v>Jan Regression</c:v>
                </c:pt>
              </c:strCache>
            </c:strRef>
          </c:cat>
          <c:val>
            <c:numRef>
              <c:f>AssetTracker!$X$3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A-443B-AF45-DED6E7EBADED}"/>
            </c:ext>
          </c:extLst>
        </c:ser>
        <c:ser>
          <c:idx val="2"/>
          <c:order val="2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AssetTracker!$C$3</c:f>
              <c:strCache>
                <c:ptCount val="1"/>
                <c:pt idx="0">
                  <c:v>Jan Regression</c:v>
                </c:pt>
              </c:strCache>
            </c:strRef>
          </c:cat>
          <c:val>
            <c:numRef>
              <c:f>AssetTracker!$Y$3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AA-443B-AF45-DED6E7EBAD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7366360"/>
        <c:axId val="747362440"/>
      </c:barChart>
      <c:catAx>
        <c:axId val="74736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2440"/>
        <c:crosses val="autoZero"/>
        <c:auto val="1"/>
        <c:lblAlgn val="ctr"/>
        <c:lblOffset val="100"/>
        <c:noMultiLvlLbl val="0"/>
      </c:catAx>
      <c:valAx>
        <c:axId val="74736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AssetTracker!$C$3</c:f>
              <c:strCache>
                <c:ptCount val="1"/>
                <c:pt idx="0">
                  <c:v>Jan Regression</c:v>
                </c:pt>
              </c:strCache>
            </c:strRef>
          </c:cat>
          <c:val>
            <c:numRef>
              <c:f>AssetTracker!$AE$3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1-4F69-854B-D6AAE180FD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7367928"/>
        <c:axId val="747369104"/>
      </c:barChart>
      <c:catAx>
        <c:axId val="7473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9104"/>
        <c:crosses val="autoZero"/>
        <c:auto val="1"/>
        <c:lblAlgn val="ctr"/>
        <c:lblOffset val="100"/>
        <c:noMultiLvlLbl val="0"/>
      </c:catAx>
      <c:valAx>
        <c:axId val="747369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7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AssetTracker!$C$3</c:f>
              <c:strCache>
                <c:ptCount val="1"/>
                <c:pt idx="0">
                  <c:v>Jan Regression</c:v>
                </c:pt>
              </c:strCache>
            </c:strRef>
          </c:cat>
          <c:val>
            <c:numRef>
              <c:f>AssetTracker!$AF$3</c:f>
              <c:numCache>
                <c:formatCode>"$"#,##0.00_);[Red]\("$"#,##0.00\)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0-4131-A26E-3F7F80BB1B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7369496"/>
        <c:axId val="747370280"/>
      </c:barChart>
      <c:catAx>
        <c:axId val="74736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0280"/>
        <c:crosses val="autoZero"/>
        <c:auto val="1"/>
        <c:lblAlgn val="ctr"/>
        <c:lblOffset val="100"/>
        <c:noMultiLvlLbl val="0"/>
      </c:catAx>
      <c:valAx>
        <c:axId val="747370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- Per Month  (%)</a:t>
            </a:r>
          </a:p>
        </c:rich>
      </c:tx>
      <c:layout>
        <c:manualLayout>
          <c:xMode val="edge"/>
          <c:yMode val="edge"/>
          <c:x val="0.154602479941648"/>
          <c:y val="4.826098935028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FE0-460B-9E7A-E271373DAEC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FE0-460B-9E7A-E271373DAEC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3FE0-460B-9E7A-E271373DAEC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3FE0-460B-9E7A-E271373DAEC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3FE0-460B-9E7A-E271373DAEC0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3FE0-460B-9E7A-E271373DAEC0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3FE0-460B-9E7A-E271373DAEC0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3FE0-460B-9E7A-E271373DAEC0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3FE0-460B-9E7A-E271373DAEC0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3FE0-460B-9E7A-E271373DAEC0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3FE0-460B-9E7A-E271373DAE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AssetTracker!$O$45:$O$56</c:f>
              <c:strCache>
                <c:ptCount val="12"/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</c:strCache>
            </c:strRef>
          </c:cat>
          <c:val>
            <c:numRef>
              <c:f>AssetTracker!$R$45:$R$56</c:f>
              <c:numCache>
                <c:formatCode>0.00%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FE0-460B-9E7A-E271373DAE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7363224"/>
        <c:axId val="747365968"/>
      </c:barChart>
      <c:catAx>
        <c:axId val="74736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5968"/>
        <c:crosses val="autoZero"/>
        <c:auto val="1"/>
        <c:lblAlgn val="ctr"/>
        <c:lblOffset val="100"/>
        <c:noMultiLvlLbl val="0"/>
      </c:catAx>
      <c:valAx>
        <c:axId val="7473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Month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98250468603"/>
          <c:y val="0.21747703412073499"/>
          <c:w val="0.84600483612867095"/>
          <c:h val="0.5478069762467899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AssetTracker!$O$45:$O$56</c:f>
              <c:strCache>
                <c:ptCount val="12"/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</c:strCache>
            </c:strRef>
          </c:cat>
          <c:val>
            <c:numRef>
              <c:f>AssetTracker!$S$45:$S$56</c:f>
              <c:numCache>
                <c:formatCode>"$"#,##0.00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D-4FC8-BD1F-0F5F915F6D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7366752"/>
        <c:axId val="747370672"/>
      </c:barChart>
      <c:catAx>
        <c:axId val="74736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0672"/>
        <c:crosses val="autoZero"/>
        <c:auto val="1"/>
        <c:lblAlgn val="ctr"/>
        <c:lblOffset val="100"/>
        <c:noMultiLvlLbl val="0"/>
      </c:catAx>
      <c:valAx>
        <c:axId val="7473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AssetTracker!$C$3</c:f>
              <c:strCache>
                <c:ptCount val="1"/>
                <c:pt idx="0">
                  <c:v>Jan Regression</c:v>
                </c:pt>
              </c:strCache>
            </c:strRef>
          </c:cat>
          <c:val>
            <c:numRef>
              <c:f>AssetTracker!$AD$3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0-4FB3-BA80-89F8FC377A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7368712"/>
        <c:axId val="747371064"/>
      </c:barChart>
      <c:catAx>
        <c:axId val="747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1064"/>
        <c:crosses val="autoZero"/>
        <c:auto val="1"/>
        <c:lblAlgn val="ctr"/>
        <c:lblOffset val="100"/>
        <c:noMultiLvlLbl val="0"/>
      </c:catAx>
      <c:valAx>
        <c:axId val="74737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APAR!$C$3</c:f>
              <c:strCache>
                <c:ptCount val="1"/>
                <c:pt idx="0">
                  <c:v>Jan Regression</c:v>
                </c:pt>
              </c:strCache>
            </c:strRef>
          </c:cat>
          <c:val>
            <c:numRef>
              <c:f>APAR!$AB$3</c:f>
              <c:numCache>
                <c:formatCode>0.00%</c:formatCode>
                <c:ptCount val="1"/>
                <c:pt idx="0">
                  <c:v>0.1796116504854369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A-42EE-A533-9F1CDE8E18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7360872"/>
        <c:axId val="747364792"/>
      </c:barChart>
      <c:catAx>
        <c:axId val="74736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4792"/>
        <c:crosses val="autoZero"/>
        <c:auto val="1"/>
        <c:lblAlgn val="ctr"/>
        <c:lblOffset val="100"/>
        <c:noMultiLvlLbl val="0"/>
      </c:catAx>
      <c:valAx>
        <c:axId val="74736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APAR!$C$3</c:f>
              <c:strCache>
                <c:ptCount val="1"/>
                <c:pt idx="0">
                  <c:v>Jan Regression</c:v>
                </c:pt>
              </c:strCache>
            </c:strRef>
          </c:cat>
          <c:val>
            <c:numRef>
              <c:f>APAR!$AC$3</c:f>
              <c:numCache>
                <c:formatCode>0.00%</c:formatCode>
                <c:ptCount val="1"/>
                <c:pt idx="0">
                  <c:v>0.1796116504854369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E-4617-A7BC-00394ECF27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7361656"/>
        <c:axId val="747367144"/>
      </c:barChart>
      <c:catAx>
        <c:axId val="74736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7144"/>
        <c:crosses val="autoZero"/>
        <c:auto val="1"/>
        <c:lblAlgn val="ctr"/>
        <c:lblOffset val="100"/>
        <c:noMultiLvlLbl val="0"/>
      </c:catAx>
      <c:valAx>
        <c:axId val="747367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GTM!$C$3:$C$5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GTM!$AB$3:$AB$5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C-46A2-8306-3924ECFFC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62664"/>
        <c:axId val="801754824"/>
      </c:barChart>
      <c:catAx>
        <c:axId val="80176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4824"/>
        <c:crosses val="autoZero"/>
        <c:auto val="1"/>
        <c:lblAlgn val="ctr"/>
        <c:lblOffset val="100"/>
        <c:noMultiLvlLbl val="0"/>
      </c:catAx>
      <c:valAx>
        <c:axId val="801754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6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APAR!$C$3</c:f>
              <c:strCache>
                <c:ptCount val="1"/>
                <c:pt idx="0">
                  <c:v>Jan Regression</c:v>
                </c:pt>
              </c:strCache>
            </c:strRef>
          </c:cat>
          <c:val>
            <c:numRef>
              <c:f>APAR!$AD$3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9-4E42-950D-DD26AFC20B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7363616"/>
        <c:axId val="747364400"/>
      </c:barChart>
      <c:catAx>
        <c:axId val="7473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4400"/>
        <c:crosses val="autoZero"/>
        <c:auto val="1"/>
        <c:lblAlgn val="ctr"/>
        <c:lblOffset val="100"/>
        <c:noMultiLvlLbl val="0"/>
      </c:catAx>
      <c:valAx>
        <c:axId val="7473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APAR!$C$3</c:f>
              <c:strCache>
                <c:ptCount val="1"/>
                <c:pt idx="0">
                  <c:v>Jan Regression</c:v>
                </c:pt>
              </c:strCache>
            </c:strRef>
          </c:cat>
          <c:val>
            <c:numRef>
              <c:f>APAR!$R$3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4-4ABE-87F1-168662C5BABB}"/>
            </c:ext>
          </c:extLst>
        </c:ser>
        <c:ser>
          <c:idx val="1"/>
          <c:order val="1"/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APAR!$C$3</c:f>
              <c:strCache>
                <c:ptCount val="1"/>
                <c:pt idx="0">
                  <c:v>Jan Regression</c:v>
                </c:pt>
              </c:strCache>
            </c:strRef>
          </c:cat>
          <c:val>
            <c:numRef>
              <c:f>APAR!$X$3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4-4ABE-87F1-168662C5BABB}"/>
            </c:ext>
          </c:extLst>
        </c:ser>
        <c:ser>
          <c:idx val="2"/>
          <c:order val="2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APAR!$C$3</c:f>
              <c:strCache>
                <c:ptCount val="1"/>
                <c:pt idx="0">
                  <c:v>Jan Regression</c:v>
                </c:pt>
              </c:strCache>
            </c:strRef>
          </c:cat>
          <c:val>
            <c:numRef>
              <c:f>APAR!$Y$3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4-4ABE-87F1-168662C5BA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7374200"/>
        <c:axId val="747373808"/>
      </c:barChart>
      <c:catAx>
        <c:axId val="74737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3808"/>
        <c:crosses val="autoZero"/>
        <c:auto val="1"/>
        <c:lblAlgn val="ctr"/>
        <c:lblOffset val="100"/>
        <c:noMultiLvlLbl val="0"/>
      </c:catAx>
      <c:valAx>
        <c:axId val="7473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APAR!$C$3</c:f>
              <c:strCache>
                <c:ptCount val="1"/>
                <c:pt idx="0">
                  <c:v>Jan Regression</c:v>
                </c:pt>
              </c:strCache>
            </c:strRef>
          </c:cat>
          <c:val>
            <c:numRef>
              <c:f>APAR!$AE$3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E-4977-9E8A-2B6172E69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7374984"/>
        <c:axId val="747374592"/>
      </c:barChart>
      <c:catAx>
        <c:axId val="74737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4592"/>
        <c:crosses val="autoZero"/>
        <c:auto val="1"/>
        <c:lblAlgn val="ctr"/>
        <c:lblOffset val="100"/>
        <c:noMultiLvlLbl val="0"/>
      </c:catAx>
      <c:valAx>
        <c:axId val="7473745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APAR!$C$3</c:f>
              <c:strCache>
                <c:ptCount val="1"/>
                <c:pt idx="0">
                  <c:v>Jan Regression</c:v>
                </c:pt>
              </c:strCache>
            </c:strRef>
          </c:cat>
          <c:val>
            <c:numRef>
              <c:f>APAR!$AF$3</c:f>
              <c:numCache>
                <c:formatCode>"$"#,##0.00_);[Red]\("$"#,##0.00\)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A-4475-BFB5-32333CE7EB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7376160"/>
        <c:axId val="747373024"/>
      </c:barChart>
      <c:catAx>
        <c:axId val="74737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3024"/>
        <c:crosses val="autoZero"/>
        <c:auto val="1"/>
        <c:lblAlgn val="ctr"/>
        <c:lblOffset val="100"/>
        <c:noMultiLvlLbl val="0"/>
      </c:catAx>
      <c:valAx>
        <c:axId val="747373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- Per Month  (%)</a:t>
            </a:r>
          </a:p>
        </c:rich>
      </c:tx>
      <c:layout>
        <c:manualLayout>
          <c:xMode val="edge"/>
          <c:yMode val="edge"/>
          <c:x val="0.154602479941648"/>
          <c:y val="4.826098935028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02D-44D6-BAD7-7EAFD9C8FF0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02D-44D6-BAD7-7EAFD9C8FF0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02D-44D6-BAD7-7EAFD9C8FF0E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B02D-44D6-BAD7-7EAFD9C8FF0E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02D-44D6-BAD7-7EAFD9C8FF0E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B02D-44D6-BAD7-7EAFD9C8FF0E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B02D-44D6-BAD7-7EAFD9C8FF0E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B02D-44D6-BAD7-7EAFD9C8FF0E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B02D-44D6-BAD7-7EAFD9C8FF0E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B02D-44D6-BAD7-7EAFD9C8FF0E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B02D-44D6-BAD7-7EAFD9C8FF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APAR!$O$46:$O$57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APAR!$R$46:$R$57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02D-44D6-BAD7-7EAFD9C8FF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00307256"/>
        <c:axId val="1000308432"/>
      </c:barChart>
      <c:catAx>
        <c:axId val="100030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08432"/>
        <c:crosses val="autoZero"/>
        <c:auto val="1"/>
        <c:lblAlgn val="ctr"/>
        <c:lblOffset val="100"/>
        <c:noMultiLvlLbl val="0"/>
      </c:catAx>
      <c:valAx>
        <c:axId val="10003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0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Month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98250468603"/>
          <c:y val="0.21747703412073499"/>
          <c:w val="0.84600483612867095"/>
          <c:h val="0.5478069762467899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APAR!$O$46:$O$57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APAR!$S$46:$S$57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7-4BFE-98E7-EC76568143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00302944"/>
        <c:axId val="1000306080"/>
      </c:barChart>
      <c:catAx>
        <c:axId val="100030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06080"/>
        <c:crosses val="autoZero"/>
        <c:auto val="1"/>
        <c:lblAlgn val="ctr"/>
        <c:lblOffset val="100"/>
        <c:noMultiLvlLbl val="0"/>
      </c:catAx>
      <c:valAx>
        <c:axId val="10003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0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F74-4FDE-973D-94F802A4890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F74-4FDE-973D-94F802A48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304904"/>
        <c:axId val="1000304120"/>
      </c:barChart>
      <c:catAx>
        <c:axId val="100030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04120"/>
        <c:crosses val="autoZero"/>
        <c:auto val="1"/>
        <c:lblAlgn val="ctr"/>
        <c:lblOffset val="100"/>
        <c:noMultiLvlLbl val="0"/>
      </c:catAx>
      <c:valAx>
        <c:axId val="10003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0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GTM!$M$1</c:f>
              <c:strCache>
                <c:ptCount val="1"/>
                <c:pt idx="0">
                  <c:v>No. of Newly Developed Scripts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GTM!$C$2:$C$2</c:f>
              <c:numCache>
                <c:formatCode>General</c:formatCode>
                <c:ptCount val="1"/>
              </c:numCache>
            </c:numRef>
          </c:cat>
          <c:val>
            <c:numRef>
              <c:f>GTM!$M$2:$M$2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570-4741-96A9-457436B51FD0}"/>
            </c:ext>
          </c:extLst>
        </c:ser>
        <c:ser>
          <c:idx val="1"/>
          <c:order val="1"/>
          <c:tx>
            <c:strRef>
              <c:f>GTM!$N$1</c:f>
              <c:strCache>
                <c:ptCount val="1"/>
                <c:pt idx="0">
                  <c:v>No. of Scripts Enhanced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GTM!$C$2:$C$2</c:f>
              <c:numCache>
                <c:formatCode>General</c:formatCode>
                <c:ptCount val="1"/>
              </c:numCache>
            </c:numRef>
          </c:cat>
          <c:val>
            <c:numRef>
              <c:f>GTM!$N$2:$N$2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3570-4741-96A9-457436B51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303336"/>
        <c:axId val="1000304512"/>
      </c:barChart>
      <c:catAx>
        <c:axId val="100030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04512"/>
        <c:crosses val="autoZero"/>
        <c:auto val="1"/>
        <c:lblAlgn val="ctr"/>
        <c:lblOffset val="100"/>
        <c:noMultiLvlLbl val="0"/>
      </c:catAx>
      <c:valAx>
        <c:axId val="10003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0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Compass Replatform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CompassRePlatform!$M$1</c:f>
              <c:strCache>
                <c:ptCount val="1"/>
                <c:pt idx="0">
                  <c:v>No. of Newly Developed Scripts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CompassRePlatform!$M$2:$M$2</c:f>
              <c:numCache>
                <c:formatCode>General</c:formatCode>
                <c:ptCount val="1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CompassRePlatform!#REF!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20C-4F27-BC0D-EB627140FB5E}"/>
            </c:ext>
          </c:extLst>
        </c:ser>
        <c:ser>
          <c:idx val="1"/>
          <c:order val="1"/>
          <c:tx>
            <c:strRef>
              <c:f>CompassRePlatform!$N$1</c:f>
              <c:strCache>
                <c:ptCount val="1"/>
                <c:pt idx="0">
                  <c:v>No. of Scripts Enhanced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CompassRePlatform!$N$2:$N$2</c:f>
              <c:numCache>
                <c:formatCode>General</c:formatCode>
                <c:ptCount val="1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CompassRePlatform!#REF!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20C-4F27-BC0D-EB627140F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307648"/>
        <c:axId val="1000303728"/>
      </c:barChart>
      <c:catAx>
        <c:axId val="10003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03728"/>
        <c:crosses val="autoZero"/>
        <c:auto val="1"/>
        <c:lblAlgn val="ctr"/>
        <c:lblOffset val="100"/>
        <c:noMultiLvlLbl val="0"/>
      </c:catAx>
      <c:valAx>
        <c:axId val="10003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0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Compass Finance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Finance!$M$1</c:f>
              <c:strCache>
                <c:ptCount val="1"/>
                <c:pt idx="0">
                  <c:v>No. of Newly Developed Scripts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Finance!$G$2:$G$2</c:f>
              <c:numCache>
                <c:formatCode>General</c:formatCode>
                <c:ptCount val="1"/>
              </c:numCache>
            </c:numRef>
          </c:cat>
          <c:val>
            <c:numRef>
              <c:f>Finance!$M$2:$M$2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E9C-45E6-A5A1-D671E0455320}"/>
            </c:ext>
          </c:extLst>
        </c:ser>
        <c:ser>
          <c:idx val="1"/>
          <c:order val="1"/>
          <c:tx>
            <c:strRef>
              <c:f>Finance!$N$1</c:f>
              <c:strCache>
                <c:ptCount val="1"/>
                <c:pt idx="0">
                  <c:v>No. of Scripts Enhanced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Finance!$G$2:$G$2</c:f>
              <c:numCache>
                <c:formatCode>General</c:formatCode>
                <c:ptCount val="1"/>
              </c:numCache>
            </c:numRef>
          </c:cat>
          <c:val>
            <c:numRef>
              <c:f>Finance!$N$2:$N$2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E9C-45E6-A5A1-D671E0455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309608"/>
        <c:axId val="1000308040"/>
      </c:barChart>
      <c:catAx>
        <c:axId val="100030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08040"/>
        <c:crosses val="autoZero"/>
        <c:auto val="1"/>
        <c:lblAlgn val="ctr"/>
        <c:lblOffset val="100"/>
        <c:noMultiLvlLbl val="0"/>
      </c:catAx>
      <c:valAx>
        <c:axId val="100030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0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GTM!$C$3:$C$5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GTM!$AC$3:$AC$5</c:f>
              <c:numCache>
                <c:formatCode>0.00%</c:formatCode>
                <c:ptCount val="3"/>
                <c:pt idx="0">
                  <c:v>0.75741710296684117</c:v>
                </c:pt>
                <c:pt idx="1">
                  <c:v>0.73187183811129852</c:v>
                </c:pt>
                <c:pt idx="2">
                  <c:v>0.79160419790104952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FDA-B9D3-8FE41C9461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63056"/>
        <c:axId val="801754432"/>
      </c:barChart>
      <c:catAx>
        <c:axId val="8017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4432"/>
        <c:crosses val="autoZero"/>
        <c:auto val="1"/>
        <c:lblAlgn val="ctr"/>
        <c:lblOffset val="100"/>
        <c:noMultiLvlLbl val="0"/>
      </c:catAx>
      <c:valAx>
        <c:axId val="8017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6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 Mercury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RF_Mercury!$M$1</c:f>
              <c:strCache>
                <c:ptCount val="1"/>
                <c:pt idx="0">
                  <c:v>No. of Newly Developed Scripts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RF_Mercury!$G$2:$G$3</c:f>
              <c:strCache>
                <c:ptCount val="2"/>
                <c:pt idx="1">
                  <c:v>January</c:v>
                </c:pt>
              </c:strCache>
            </c:strRef>
          </c:cat>
          <c:val>
            <c:numRef>
              <c:f>RF_Mercury!$M$2:$M$3</c:f>
              <c:numCache>
                <c:formatCode>General</c:formatCode>
                <c:ptCount val="2"/>
                <c:pt idx="1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B-4200-A21F-E5876C65860A}"/>
            </c:ext>
          </c:extLst>
        </c:ser>
        <c:ser>
          <c:idx val="1"/>
          <c:order val="1"/>
          <c:tx>
            <c:strRef>
              <c:f>RF_Mercury!$N$1</c:f>
              <c:strCache>
                <c:ptCount val="1"/>
                <c:pt idx="0">
                  <c:v>No. of Scripts Enhanced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RF_Mercury!$G$2:$G$3</c:f>
              <c:strCache>
                <c:ptCount val="2"/>
                <c:pt idx="1">
                  <c:v>January</c:v>
                </c:pt>
              </c:strCache>
            </c:strRef>
          </c:cat>
          <c:val>
            <c:numRef>
              <c:f>RF_Mercury!$N$2:$N$3</c:f>
              <c:numCache>
                <c:formatCode>General</c:formatCode>
                <c:ptCount val="2"/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B-4200-A21F-E5876C658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310000"/>
        <c:axId val="1000306472"/>
      </c:barChart>
      <c:catAx>
        <c:axId val="100031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06472"/>
        <c:crosses val="autoZero"/>
        <c:auto val="1"/>
        <c:lblAlgn val="ctr"/>
        <c:lblOffset val="100"/>
        <c:noMultiLvlLbl val="0"/>
      </c:catAx>
      <c:valAx>
        <c:axId val="100030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1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'Producer Dashboard'!#REF!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'Producer Dashboard'!#REF!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'Producer Dashboard'!#REF!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8D5-476E-8A01-4DA8654751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5965936"/>
        <c:axId val="735966720"/>
      </c:barChart>
      <c:catAx>
        <c:axId val="73596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66720"/>
        <c:crosses val="autoZero"/>
        <c:auto val="1"/>
        <c:lblAlgn val="ctr"/>
        <c:lblOffset val="100"/>
        <c:noMultiLvlLbl val="0"/>
      </c:catAx>
      <c:valAx>
        <c:axId val="7359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6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'Producer Dashboard'!#REF!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'Producer Dashboard'!#REF!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70D-4382-8FC6-0FD91D81CF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5965544"/>
        <c:axId val="735967504"/>
      </c:barChart>
      <c:catAx>
        <c:axId val="73596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67504"/>
        <c:crosses val="autoZero"/>
        <c:auto val="1"/>
        <c:lblAlgn val="ctr"/>
        <c:lblOffset val="100"/>
        <c:noMultiLvlLbl val="0"/>
      </c:catAx>
      <c:valAx>
        <c:axId val="735967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6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'Producer Dashboard'!#REF!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'Producer Dashboard'!#REF!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E74-4C80-81C9-9F3082FB4E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5968288"/>
        <c:axId val="735968680"/>
      </c:barChart>
      <c:catAx>
        <c:axId val="73596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68680"/>
        <c:crosses val="autoZero"/>
        <c:auto val="1"/>
        <c:lblAlgn val="ctr"/>
        <c:lblOffset val="100"/>
        <c:noMultiLvlLbl val="0"/>
      </c:catAx>
      <c:valAx>
        <c:axId val="73596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6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'Producer Dashboard'!#REF!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'Producer Dashboard'!#REF!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Magic!#REF!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232-496A-87C0-58312135853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'Producer Dashboard'!#REF!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'Producer Dashboard'!#REF!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Magic!#REF!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232-496A-87C0-583121358539}"/>
            </c:ext>
          </c:extLst>
        </c:ser>
        <c:ser>
          <c:idx val="2"/>
          <c:order val="2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'Producer Dashboard'!#REF!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'Producer Dashboard'!#REF!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Magic!#REF!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232-496A-87C0-5831213585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5954960"/>
        <c:axId val="735964760"/>
      </c:barChart>
      <c:catAx>
        <c:axId val="73595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64760"/>
        <c:crosses val="autoZero"/>
        <c:auto val="1"/>
        <c:lblAlgn val="ctr"/>
        <c:lblOffset val="100"/>
        <c:noMultiLvlLbl val="0"/>
      </c:catAx>
      <c:valAx>
        <c:axId val="73596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5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'Producer Dashboard'!#REF!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'Producer Dashboard'!#REF!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'Producer Dashboard'!#REF!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412-47F4-B558-1F30D8C602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5957704"/>
        <c:axId val="735962016"/>
      </c:barChart>
      <c:catAx>
        <c:axId val="73595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62016"/>
        <c:crosses val="autoZero"/>
        <c:auto val="1"/>
        <c:lblAlgn val="ctr"/>
        <c:lblOffset val="100"/>
        <c:noMultiLvlLbl val="0"/>
      </c:catAx>
      <c:valAx>
        <c:axId val="735962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5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'Producer Dashboard'!#REF!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'Producer Dashboard'!#REF!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'Producer Dashboard'!#REF!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5D6-4789-8943-D960D1931E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5960840"/>
        <c:axId val="735957312"/>
      </c:barChart>
      <c:catAx>
        <c:axId val="73596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57312"/>
        <c:crosses val="autoZero"/>
        <c:auto val="1"/>
        <c:lblAlgn val="ctr"/>
        <c:lblOffset val="100"/>
        <c:noMultiLvlLbl val="0"/>
      </c:catAx>
      <c:valAx>
        <c:axId val="735957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6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Month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98250468603"/>
          <c:y val="0.21747703412073499"/>
          <c:w val="0.84600483612867095"/>
          <c:h val="0.5478069762467899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'Producer Dashboard'!#REF!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'Producer Dashboard'!#REF!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337-42B5-8B04-2F6C5436BB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5961624"/>
        <c:axId val="735959272"/>
      </c:barChart>
      <c:catAx>
        <c:axId val="73596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59272"/>
        <c:crosses val="autoZero"/>
        <c:auto val="1"/>
        <c:lblAlgn val="ctr"/>
        <c:lblOffset val="100"/>
        <c:noMultiLvlLbl val="0"/>
      </c:catAx>
      <c:valAx>
        <c:axId val="73595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6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- Per Month  (%)</a:t>
            </a:r>
          </a:p>
        </c:rich>
      </c:tx>
      <c:layout>
        <c:manualLayout>
          <c:xMode val="edge"/>
          <c:yMode val="edge"/>
          <c:x val="0.154602479941648"/>
          <c:y val="4.826098935028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'Producer Dashboard'!#REF!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'Producer Dashboard'!#REF!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7BB-4AAC-ADE5-A08C2D99C5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5953000"/>
        <c:axId val="735960056"/>
      </c:barChart>
      <c:catAx>
        <c:axId val="73595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60056"/>
        <c:crosses val="autoZero"/>
        <c:auto val="1"/>
        <c:lblAlgn val="ctr"/>
        <c:lblOffset val="100"/>
        <c:noMultiLvlLbl val="0"/>
      </c:catAx>
      <c:valAx>
        <c:axId val="73596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5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GTM!$R$1</c:f>
              <c:strCache>
                <c:ptCount val="1"/>
                <c:pt idx="0">
                  <c:v>Manual Effort For Execution (PH)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GTM!$C$3:$C$5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GTM!$R$3:$R$5</c:f>
              <c:numCache>
                <c:formatCode>0.00</c:formatCode>
                <c:ptCount val="3"/>
                <c:pt idx="0">
                  <c:v>694.4</c:v>
                </c:pt>
                <c:pt idx="1">
                  <c:v>694.4</c:v>
                </c:pt>
                <c:pt idx="2">
                  <c:v>844.8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8-410D-B4BE-181975CC0E72}"/>
            </c:ext>
          </c:extLst>
        </c:ser>
        <c:ser>
          <c:idx val="1"/>
          <c:order val="1"/>
          <c:tx>
            <c:strRef>
              <c:f>GTM!$X$1</c:f>
              <c:strCache>
                <c:ptCount val="1"/>
                <c:pt idx="0">
                  <c:v>Test Execution effort spent after automation
(PH)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GTM!$C$3:$C$5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GTM!$X$5:$X$5</c:f>
              <c:numCache>
                <c:formatCode>0.00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8-410D-B4BE-181975CC0E72}"/>
            </c:ext>
          </c:extLst>
        </c:ser>
        <c:ser>
          <c:idx val="2"/>
          <c:order val="2"/>
          <c:tx>
            <c:strRef>
              <c:f>GTM!$Y$1</c:f>
              <c:strCache>
                <c:ptCount val="1"/>
                <c:pt idx="0">
                  <c:v>Effort Savings Per Cycle (PH)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GTM!$C$3:$C$5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GTM!$Y$3:$Y$5</c:f>
              <c:numCache>
                <c:formatCode>0.00</c:formatCode>
                <c:ptCount val="3"/>
                <c:pt idx="0">
                  <c:v>690.4</c:v>
                </c:pt>
                <c:pt idx="1">
                  <c:v>690.4</c:v>
                </c:pt>
                <c:pt idx="2">
                  <c:v>840.8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8-410D-B4BE-181975CC0E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51688"/>
        <c:axId val="801763448"/>
      </c:barChart>
      <c:catAx>
        <c:axId val="80175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63448"/>
        <c:crosses val="autoZero"/>
        <c:auto val="1"/>
        <c:lblAlgn val="ctr"/>
        <c:lblOffset val="100"/>
        <c:noMultiLvlLbl val="0"/>
      </c:catAx>
      <c:valAx>
        <c:axId val="80176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GTM!$AD$2</c:f>
              <c:strCache>
                <c:ptCount val="1"/>
                <c:pt idx="0">
                  <c:v>Effort Savings 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GTM!$C$3:$C$5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GTM!$AD$3:$AD$5</c:f>
              <c:numCache>
                <c:formatCode>0.00%</c:formatCode>
                <c:ptCount val="3"/>
                <c:pt idx="0">
                  <c:v>0.99423963133640558</c:v>
                </c:pt>
                <c:pt idx="1">
                  <c:v>0.99423963133640558</c:v>
                </c:pt>
                <c:pt idx="2">
                  <c:v>0.99526515151515149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5D2-A69A-91CC51A9AF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55216"/>
        <c:axId val="801761880"/>
      </c:barChart>
      <c:catAx>
        <c:axId val="8017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61880"/>
        <c:crosses val="autoZero"/>
        <c:auto val="1"/>
        <c:lblAlgn val="ctr"/>
        <c:lblOffset val="100"/>
        <c:noMultiLvlLbl val="0"/>
      </c:catAx>
      <c:valAx>
        <c:axId val="801761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'Cumulative Metrics 2022'!$A$3:$A$30</c:f>
              <c:strCache>
                <c:ptCount val="28"/>
                <c:pt idx="0">
                  <c:v>Recap</c:v>
                </c:pt>
                <c:pt idx="1">
                  <c:v>ALF</c:v>
                </c:pt>
                <c:pt idx="2">
                  <c:v>Promotional Order Portal(SF)</c:v>
                </c:pt>
                <c:pt idx="3">
                  <c:v>Medea</c:v>
                </c:pt>
                <c:pt idx="4">
                  <c:v>#REF!</c:v>
                </c:pt>
                <c:pt idx="5">
                  <c:v>CompassRePlatform</c:v>
                </c:pt>
                <c:pt idx="6">
                  <c:v>GTM</c:v>
                </c:pt>
                <c:pt idx="7">
                  <c:v>TBT and RSG</c:v>
                </c:pt>
                <c:pt idx="8">
                  <c:v>0</c:v>
                </c:pt>
                <c:pt idx="9">
                  <c:v>USH EzRez</c:v>
                </c:pt>
                <c:pt idx="10">
                  <c:v>USH OmniBasket</c:v>
                </c:pt>
                <c:pt idx="11">
                  <c:v>TicketingPOS</c:v>
                </c:pt>
                <c:pt idx="12">
                  <c:v>WideOrbit</c:v>
                </c:pt>
                <c:pt idx="13">
                  <c:v>#REF!</c:v>
                </c:pt>
                <c:pt idx="14">
                  <c:v>CAR</c:v>
                </c:pt>
                <c:pt idx="15">
                  <c:v>KAM</c:v>
                </c:pt>
                <c:pt idx="16">
                  <c:v>Finance</c:v>
                </c:pt>
                <c:pt idx="17">
                  <c:v>LinearSchedule_BulkCreate</c:v>
                </c:pt>
                <c:pt idx="18">
                  <c:v>Score</c:v>
                </c:pt>
                <c:pt idx="19">
                  <c:v>DeptSystems</c:v>
                </c:pt>
                <c:pt idx="20">
                  <c:v>Sphere</c:v>
                </c:pt>
                <c:pt idx="21">
                  <c:v>CAFÉ</c:v>
                </c:pt>
                <c:pt idx="22">
                  <c:v>SAFE</c:v>
                </c:pt>
                <c:pt idx="23">
                  <c:v>PDM</c:v>
                </c:pt>
                <c:pt idx="24">
                  <c:v>ProM</c:v>
                </c:pt>
                <c:pt idx="25">
                  <c:v>AssetTracker</c:v>
                </c:pt>
                <c:pt idx="26">
                  <c:v>APAR</c:v>
                </c:pt>
                <c:pt idx="27">
                  <c:v>TVROCS</c:v>
                </c:pt>
              </c:strCache>
            </c:strRef>
          </c:cat>
          <c:val>
            <c:numRef>
              <c:f>'Cumulative Metrics 2022'!$Y$3:$Y$30</c:f>
              <c:numCache>
                <c:formatCode>0.00%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0.73275862068965514</c:v>
                </c:pt>
                <c:pt idx="18">
                  <c:v>0.32799442896935932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0.88660801564027369</c:v>
                </c:pt>
                <c:pt idx="24">
                  <c:v>1</c:v>
                </c:pt>
                <c:pt idx="25">
                  <c:v>1</c:v>
                </c:pt>
                <c:pt idx="26">
                  <c:v>0.1796116504854369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5-4BA9-BA43-A87E80517A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75600"/>
        <c:axId val="801775992"/>
      </c:barChart>
      <c:catAx>
        <c:axId val="8017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75992"/>
        <c:crosses val="autoZero"/>
        <c:auto val="1"/>
        <c:lblAlgn val="ctr"/>
        <c:lblOffset val="100"/>
        <c:noMultiLvlLbl val="0"/>
      </c:catAx>
      <c:valAx>
        <c:axId val="80177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GTM!$AE$2</c:f>
              <c:strCache>
                <c:ptCount val="1"/>
                <c:pt idx="0">
                  <c:v>Cost Savings Per Cycle ($)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GTM!$C$3:$C$5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GTM!$AE$3:$AE$5</c:f>
              <c:numCache>
                <c:formatCode>"$"#,##0.00_);[Red]\("$"#,##0.00\)</c:formatCode>
                <c:ptCount val="3"/>
                <c:pt idx="0">
                  <c:v>17260</c:v>
                </c:pt>
                <c:pt idx="1">
                  <c:v>17260</c:v>
                </c:pt>
                <c:pt idx="2">
                  <c:v>21020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4-491C-A2E5-EC3F54B1D8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56000"/>
        <c:axId val="801753256"/>
      </c:barChart>
      <c:catAx>
        <c:axId val="8017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3256"/>
        <c:crosses val="autoZero"/>
        <c:auto val="1"/>
        <c:lblAlgn val="ctr"/>
        <c:lblOffset val="100"/>
        <c:noMultiLvlLbl val="0"/>
      </c:catAx>
      <c:valAx>
        <c:axId val="801753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Month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98250468603"/>
          <c:y val="0.21747703412073499"/>
          <c:w val="0.84600483612867095"/>
          <c:h val="0.5478069762467899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GTM!$O$46:$O$57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GTM!$S$46:$S$57</c:f>
              <c:numCache>
                <c:formatCode>"$"#,##0.00</c:formatCode>
                <c:ptCount val="12"/>
                <c:pt idx="0">
                  <c:v>17260</c:v>
                </c:pt>
                <c:pt idx="1">
                  <c:v>17260</c:v>
                </c:pt>
                <c:pt idx="2">
                  <c:v>21020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5-4D03-9F15-5FEC609A5C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60704"/>
        <c:axId val="801756392"/>
      </c:barChart>
      <c:catAx>
        <c:axId val="80176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6392"/>
        <c:crosses val="autoZero"/>
        <c:auto val="1"/>
        <c:lblAlgn val="ctr"/>
        <c:lblOffset val="100"/>
        <c:noMultiLvlLbl val="0"/>
      </c:catAx>
      <c:valAx>
        <c:axId val="80175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6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- Per Month  (%)</a:t>
            </a:r>
          </a:p>
        </c:rich>
      </c:tx>
      <c:layout>
        <c:manualLayout>
          <c:xMode val="edge"/>
          <c:yMode val="edge"/>
          <c:x val="0.154602479941648"/>
          <c:y val="4.826098935028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GTM!$O$46:$O$57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GTM!$R$46:$R$57</c:f>
              <c:numCache>
                <c:formatCode>0.00%</c:formatCode>
                <c:ptCount val="12"/>
                <c:pt idx="0">
                  <c:v>0.99423963133640558</c:v>
                </c:pt>
                <c:pt idx="1">
                  <c:v>0.99423963133640558</c:v>
                </c:pt>
                <c:pt idx="2">
                  <c:v>0.99526515151515149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F-4C44-9E6F-6AB11DFD0A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59528"/>
        <c:axId val="801761096"/>
      </c:barChart>
      <c:catAx>
        <c:axId val="80175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61096"/>
        <c:crosses val="autoZero"/>
        <c:auto val="1"/>
        <c:lblAlgn val="ctr"/>
        <c:lblOffset val="100"/>
        <c:noMultiLvlLbl val="0"/>
      </c:catAx>
      <c:valAx>
        <c:axId val="80176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9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Linearschedule_BulkCreate!$AA$2</c:f>
              <c:strCache>
                <c:ptCount val="1"/>
                <c:pt idx="0">
                  <c:v>Testcases Completed /Testcases Automatable(%)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Linearschedule_BulkCreate!#REF!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Linearschedule_BulkCreate!#REF!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F13-44AB-802E-D7C9FB5920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52080"/>
        <c:axId val="801752472"/>
      </c:barChart>
      <c:catAx>
        <c:axId val="80175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2472"/>
        <c:crosses val="autoZero"/>
        <c:auto val="1"/>
        <c:lblAlgn val="ctr"/>
        <c:lblOffset val="100"/>
        <c:noMultiLvlLbl val="0"/>
      </c:catAx>
      <c:valAx>
        <c:axId val="80175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Linearschedule_BulkCreate!$AB$2</c:f>
              <c:strCache>
                <c:ptCount val="1"/>
                <c:pt idx="0">
                  <c:v>Testcases Completed /Valid Testcases(%)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Linearschedule_BulkCreate!#REF!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Linearschedule_BulkCreate!#REF!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38D-4ACA-B0E8-4ED9583965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52864"/>
        <c:axId val="801754040"/>
      </c:barChart>
      <c:catAx>
        <c:axId val="80175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4040"/>
        <c:crosses val="autoZero"/>
        <c:auto val="1"/>
        <c:lblAlgn val="ctr"/>
        <c:lblOffset val="100"/>
        <c:noMultiLvlLbl val="0"/>
      </c:catAx>
      <c:valAx>
        <c:axId val="801754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Linearschedule_BulkCreate!$AC$2</c:f>
              <c:strCache>
                <c:ptCount val="1"/>
                <c:pt idx="0">
                  <c:v>Automation Script Utilization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Linearschedule_BulkCreate!#REF!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Linearschedule_BulkCreate!#REF!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6F1-4685-B65B-19DA43CC3A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57960"/>
        <c:axId val="801758352"/>
      </c:barChart>
      <c:catAx>
        <c:axId val="80175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8352"/>
        <c:crosses val="autoZero"/>
        <c:auto val="1"/>
        <c:lblAlgn val="ctr"/>
        <c:lblOffset val="100"/>
        <c:noMultiLvlLbl val="0"/>
      </c:catAx>
      <c:valAx>
        <c:axId val="8017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Linearschedule_BulkCreate!$R$1</c:f>
              <c:strCache>
                <c:ptCount val="1"/>
                <c:pt idx="0">
                  <c:v>Manual Effort For Execution (PH)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Linearschedule_BulkCreate!#REF!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CompassRePlatform!#REF!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E27-47D0-9795-265813243C91}"/>
            </c:ext>
          </c:extLst>
        </c:ser>
        <c:ser>
          <c:idx val="1"/>
          <c:order val="1"/>
          <c:tx>
            <c:strRef>
              <c:f>Linearschedule_BulkCreate!$X$1</c:f>
              <c:strCache>
                <c:ptCount val="1"/>
                <c:pt idx="0">
                  <c:v>Test Execution effort spent after automation
(PH)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Linearschedule_BulkCreate!#REF!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CompassRePlatform!#REF!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E27-47D0-9795-265813243C91}"/>
            </c:ext>
          </c:extLst>
        </c:ser>
        <c:ser>
          <c:idx val="2"/>
          <c:order val="2"/>
          <c:tx>
            <c:strRef>
              <c:f>Linearschedule_BulkCreate!$Y$1</c:f>
              <c:strCache>
                <c:ptCount val="1"/>
                <c:pt idx="0">
                  <c:v>Effort Savings Per Cycle (PH)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Linearschedule_BulkCreate!#REF!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CompassRePlatform!#REF!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E27-47D0-9795-265813243C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59136"/>
        <c:axId val="654118264"/>
      </c:barChart>
      <c:catAx>
        <c:axId val="80175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18264"/>
        <c:crosses val="autoZero"/>
        <c:auto val="1"/>
        <c:lblAlgn val="ctr"/>
        <c:lblOffset val="100"/>
        <c:noMultiLvlLbl val="0"/>
      </c:catAx>
      <c:valAx>
        <c:axId val="65411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Linearschedule_BulkCreate!$AD$2</c:f>
              <c:strCache>
                <c:ptCount val="1"/>
                <c:pt idx="0">
                  <c:v>Effort Savings 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Linearschedule_BulkCreate!#REF!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Linearschedule_BulkCreate!#REF!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B1B-48AF-ADE6-C3087A61E5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4117088"/>
        <c:axId val="654115128"/>
      </c:barChart>
      <c:catAx>
        <c:axId val="65411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15128"/>
        <c:crosses val="autoZero"/>
        <c:auto val="1"/>
        <c:lblAlgn val="ctr"/>
        <c:lblOffset val="100"/>
        <c:noMultiLvlLbl val="0"/>
      </c:catAx>
      <c:valAx>
        <c:axId val="654115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1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Linearschedule_BulkCreate!$AE$2</c:f>
              <c:strCache>
                <c:ptCount val="1"/>
                <c:pt idx="0">
                  <c:v>Cost Savings Per Cycle ($)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Linearschedule_BulkCreate!#REF!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Linearschedule_BulkCreate!#REF!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083-4765-B085-668AB93D17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4115520"/>
        <c:axId val="654115912"/>
      </c:barChart>
      <c:catAx>
        <c:axId val="65411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15912"/>
        <c:crosses val="autoZero"/>
        <c:auto val="1"/>
        <c:lblAlgn val="ctr"/>
        <c:lblOffset val="100"/>
        <c:noMultiLvlLbl val="0"/>
      </c:catAx>
      <c:valAx>
        <c:axId val="654115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1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Month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98250468603"/>
          <c:y val="0.21747703412073499"/>
          <c:w val="0.84600483612867095"/>
          <c:h val="0.5478069762467899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Linearschedule_BulkCreate!$O$45:$O$49</c:f>
              <c:strCache>
                <c:ptCount val="5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</c:strCache>
            </c:strRef>
          </c:cat>
          <c:val>
            <c:numRef>
              <c:f>Linearschedule_BulkCreate!$S$45:$S$49</c:f>
              <c:numCache>
                <c:formatCode>"$"#,##0.00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1-4685-9302-39E96CEB20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4108856"/>
        <c:axId val="654106112"/>
      </c:barChart>
      <c:catAx>
        <c:axId val="65410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06112"/>
        <c:crosses val="autoZero"/>
        <c:auto val="1"/>
        <c:lblAlgn val="ctr"/>
        <c:lblOffset val="100"/>
        <c:noMultiLvlLbl val="0"/>
      </c:catAx>
      <c:valAx>
        <c:axId val="6541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0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'Cumulative Metrics 2022'!$A$3:$A$30</c:f>
              <c:strCache>
                <c:ptCount val="28"/>
                <c:pt idx="0">
                  <c:v>Recap</c:v>
                </c:pt>
                <c:pt idx="1">
                  <c:v>ALF</c:v>
                </c:pt>
                <c:pt idx="2">
                  <c:v>Promotional Order Portal(SF)</c:v>
                </c:pt>
                <c:pt idx="3">
                  <c:v>Medea</c:v>
                </c:pt>
                <c:pt idx="4">
                  <c:v>#REF!</c:v>
                </c:pt>
                <c:pt idx="5">
                  <c:v>CompassRePlatform</c:v>
                </c:pt>
                <c:pt idx="6">
                  <c:v>GTM</c:v>
                </c:pt>
                <c:pt idx="7">
                  <c:v>TBT and RSG</c:v>
                </c:pt>
                <c:pt idx="8">
                  <c:v>0</c:v>
                </c:pt>
                <c:pt idx="9">
                  <c:v>USH EzRez</c:v>
                </c:pt>
                <c:pt idx="10">
                  <c:v>USH OmniBasket</c:v>
                </c:pt>
                <c:pt idx="11">
                  <c:v>TicketingPOS</c:v>
                </c:pt>
                <c:pt idx="12">
                  <c:v>WideOrbit</c:v>
                </c:pt>
                <c:pt idx="13">
                  <c:v>#REF!</c:v>
                </c:pt>
                <c:pt idx="14">
                  <c:v>CAR</c:v>
                </c:pt>
                <c:pt idx="15">
                  <c:v>KAM</c:v>
                </c:pt>
                <c:pt idx="16">
                  <c:v>Finance</c:v>
                </c:pt>
                <c:pt idx="17">
                  <c:v>LinearSchedule_BulkCreate</c:v>
                </c:pt>
                <c:pt idx="18">
                  <c:v>Score</c:v>
                </c:pt>
                <c:pt idx="19">
                  <c:v>DeptSystems</c:v>
                </c:pt>
                <c:pt idx="20">
                  <c:v>Sphere</c:v>
                </c:pt>
                <c:pt idx="21">
                  <c:v>CAFÉ</c:v>
                </c:pt>
                <c:pt idx="22">
                  <c:v>SAFE</c:v>
                </c:pt>
                <c:pt idx="23">
                  <c:v>PDM</c:v>
                </c:pt>
                <c:pt idx="24">
                  <c:v>ProM</c:v>
                </c:pt>
                <c:pt idx="25">
                  <c:v>AssetTracker</c:v>
                </c:pt>
                <c:pt idx="26">
                  <c:v>APAR</c:v>
                </c:pt>
                <c:pt idx="27">
                  <c:v>TVROCS</c:v>
                </c:pt>
              </c:strCache>
            </c:strRef>
          </c:cat>
          <c:val>
            <c:numRef>
              <c:f>'Cumulative Metrics 2022'!$Z$3:$Z$30</c:f>
              <c:numCache>
                <c:formatCode>0.00%</c:formatCode>
                <c:ptCount val="28"/>
                <c:pt idx="0">
                  <c:v>0.84536082474226804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0.96865203761755481</c:v>
                </c:pt>
                <c:pt idx="16">
                  <c:v>1</c:v>
                </c:pt>
                <c:pt idx="17">
                  <c:v>0.65384615384615385</c:v>
                </c:pt>
                <c:pt idx="18">
                  <c:v>0.32799442896935932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0.88660801564027369</c:v>
                </c:pt>
                <c:pt idx="24">
                  <c:v>1</c:v>
                </c:pt>
                <c:pt idx="25">
                  <c:v>0.96530612244897962</c:v>
                </c:pt>
                <c:pt idx="26">
                  <c:v>0.1796116504854369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B-4307-81AD-89830E406D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64624"/>
        <c:axId val="801767368"/>
      </c:barChart>
      <c:catAx>
        <c:axId val="80176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67368"/>
        <c:crosses val="autoZero"/>
        <c:auto val="1"/>
        <c:lblAlgn val="ctr"/>
        <c:lblOffset val="100"/>
        <c:noMultiLvlLbl val="0"/>
      </c:catAx>
      <c:valAx>
        <c:axId val="80176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6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- Per Month  (%)</a:t>
            </a:r>
          </a:p>
        </c:rich>
      </c:tx>
      <c:layout>
        <c:manualLayout>
          <c:xMode val="edge"/>
          <c:yMode val="edge"/>
          <c:x val="0.154602479941648"/>
          <c:y val="4.826098935028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392-447B-954C-E3698098EB2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A392-447B-954C-E3698098EB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Linearschedule_BulkCreate!$O$45:$O$49</c:f>
              <c:strCache>
                <c:ptCount val="5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</c:strCache>
            </c:strRef>
          </c:cat>
          <c:val>
            <c:numRef>
              <c:f>Linearschedule_BulkCreate!$R$45:$R$49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2-447B-954C-E3698098EB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4105720"/>
        <c:axId val="654105328"/>
      </c:barChart>
      <c:catAx>
        <c:axId val="65410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05328"/>
        <c:crosses val="autoZero"/>
        <c:auto val="1"/>
        <c:lblAlgn val="ctr"/>
        <c:lblOffset val="100"/>
        <c:noMultiLvlLbl val="0"/>
      </c:catAx>
      <c:valAx>
        <c:axId val="6541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0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CompassRePlatform!$AA$2</c:f>
              <c:strCache>
                <c:ptCount val="1"/>
                <c:pt idx="0">
                  <c:v>Testcases Completed /Testcases Automatable(%)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CompassRePlatform!#REF!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CompassRePlatform!#REF!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BF5-49C1-A6DE-C840B11BD1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52080"/>
        <c:axId val="801752472"/>
      </c:barChart>
      <c:catAx>
        <c:axId val="80175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2472"/>
        <c:crosses val="autoZero"/>
        <c:auto val="1"/>
        <c:lblAlgn val="ctr"/>
        <c:lblOffset val="100"/>
        <c:noMultiLvlLbl val="0"/>
      </c:catAx>
      <c:valAx>
        <c:axId val="80175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CompassRePlatform!$AB$2</c:f>
              <c:strCache>
                <c:ptCount val="1"/>
                <c:pt idx="0">
                  <c:v>Testcases Completed /Valid Testcases(%)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CompassRePlatform!#REF!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CompassRePlatform!#REF!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F11-4251-BC9E-94326873C3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52864"/>
        <c:axId val="801754040"/>
      </c:barChart>
      <c:catAx>
        <c:axId val="80175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4040"/>
        <c:crosses val="autoZero"/>
        <c:auto val="1"/>
        <c:lblAlgn val="ctr"/>
        <c:lblOffset val="100"/>
        <c:noMultiLvlLbl val="0"/>
      </c:catAx>
      <c:valAx>
        <c:axId val="801754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CompassRePlatform!$AC$2</c:f>
              <c:strCache>
                <c:ptCount val="1"/>
                <c:pt idx="0">
                  <c:v>Automation Script Utilization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CompassRePlatform!#REF!</c:f>
              <c:numCache>
                <c:formatCode>0.00%</c:formatCode>
                <c:ptCount val="1"/>
                <c:pt idx="0">
                  <c:v>7.2368421052631596E-2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CompassRePlatform!#REF!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4D6-4B6C-A670-C4E787E9E2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57960"/>
        <c:axId val="801758352"/>
      </c:barChart>
      <c:catAx>
        <c:axId val="80175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8352"/>
        <c:crosses val="autoZero"/>
        <c:auto val="1"/>
        <c:lblAlgn val="ctr"/>
        <c:lblOffset val="100"/>
        <c:noMultiLvlLbl val="0"/>
      </c:catAx>
      <c:valAx>
        <c:axId val="8017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CompassRePlatform!$R$1</c:f>
              <c:strCache>
                <c:ptCount val="1"/>
                <c:pt idx="0">
                  <c:v>Manual Effort For Execution (PH)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CompassRePlatform!#REF!</c:f>
              <c:numCache>
                <c:formatCode>0.00</c:formatCode>
                <c:ptCount val="1"/>
                <c:pt idx="0">
                  <c:v>149.6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CompassRePlatform!#REF!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A83-4116-B1A8-8C8C036390DA}"/>
            </c:ext>
          </c:extLst>
        </c:ser>
        <c:ser>
          <c:idx val="1"/>
          <c:order val="1"/>
          <c:tx>
            <c:strRef>
              <c:f>CompassRePlatform!$X$1</c:f>
              <c:strCache>
                <c:ptCount val="1"/>
                <c:pt idx="0">
                  <c:v>Test Execution effort spent after automation
(PH)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CompassRePlatform!#REF!</c:f>
              <c:numCache>
                <c:formatCode>0.00</c:formatCode>
                <c:ptCount val="1"/>
                <c:pt idx="0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CompassRePlatform!#REF!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A83-4116-B1A8-8C8C036390DA}"/>
            </c:ext>
          </c:extLst>
        </c:ser>
        <c:ser>
          <c:idx val="2"/>
          <c:order val="2"/>
          <c:tx>
            <c:strRef>
              <c:f>CompassRePlatform!$Y$1</c:f>
              <c:strCache>
                <c:ptCount val="1"/>
                <c:pt idx="0">
                  <c:v>Effort Savings Per Cycle (PH)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CompassRePlatform!#REF!</c:f>
              <c:numCache>
                <c:formatCode>0.00</c:formatCode>
                <c:ptCount val="1"/>
                <c:pt idx="0">
                  <c:v>143.6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CompassRePlatform!#REF!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A83-4116-B1A8-8C8C036390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59136"/>
        <c:axId val="654118264"/>
      </c:barChart>
      <c:catAx>
        <c:axId val="80175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18264"/>
        <c:crosses val="autoZero"/>
        <c:auto val="1"/>
        <c:lblAlgn val="ctr"/>
        <c:lblOffset val="100"/>
        <c:noMultiLvlLbl val="0"/>
      </c:catAx>
      <c:valAx>
        <c:axId val="65411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CompassRePlatform!$AD$2</c:f>
              <c:strCache>
                <c:ptCount val="1"/>
                <c:pt idx="0">
                  <c:v>Effort Savings 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CompassRePlatform!#REF!</c:f>
              <c:numCache>
                <c:formatCode>0.00%</c:formatCode>
                <c:ptCount val="1"/>
                <c:pt idx="0">
                  <c:v>0.95989304812834197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CompassRePlatform!#REF!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F8D-4016-A0B7-E2AEEAD615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4117088"/>
        <c:axId val="654115128"/>
      </c:barChart>
      <c:catAx>
        <c:axId val="65411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15128"/>
        <c:crosses val="autoZero"/>
        <c:auto val="1"/>
        <c:lblAlgn val="ctr"/>
        <c:lblOffset val="100"/>
        <c:noMultiLvlLbl val="0"/>
      </c:catAx>
      <c:valAx>
        <c:axId val="654115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1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CompassRePlatform!$AE$2</c:f>
              <c:strCache>
                <c:ptCount val="1"/>
                <c:pt idx="0">
                  <c:v>Cost Savings Per Cycle ($)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CompassRePlatform!#REF!</c:f>
              <c:numCache>
                <c:formatCode>"$"#,##0.00_);[Red]\("$"#,##0.00\)</c:formatCode>
                <c:ptCount val="1"/>
                <c:pt idx="0">
                  <c:v>3590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CompassRePlatform!#REF!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021-4370-AC11-9DF309B4D2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4115520"/>
        <c:axId val="654115912"/>
      </c:barChart>
      <c:catAx>
        <c:axId val="65411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15912"/>
        <c:crosses val="autoZero"/>
        <c:auto val="1"/>
        <c:lblAlgn val="ctr"/>
        <c:lblOffset val="100"/>
        <c:noMultiLvlLbl val="0"/>
      </c:catAx>
      <c:valAx>
        <c:axId val="654115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1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Month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98250468603"/>
          <c:y val="0.21747703412073499"/>
          <c:w val="0.84600483612867095"/>
          <c:h val="0.5478069762467899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CompassRePlatform!$O$45:$O$56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CompassRePlatform!$S$45:$S$56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4-4C4A-AF61-B43514C20A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4108856"/>
        <c:axId val="654106112"/>
      </c:barChart>
      <c:catAx>
        <c:axId val="65410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06112"/>
        <c:crosses val="autoZero"/>
        <c:auto val="1"/>
        <c:lblAlgn val="ctr"/>
        <c:lblOffset val="100"/>
        <c:noMultiLvlLbl val="0"/>
      </c:catAx>
      <c:valAx>
        <c:axId val="6541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0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- Per Month  (%)</a:t>
            </a:r>
          </a:p>
        </c:rich>
      </c:tx>
      <c:layout>
        <c:manualLayout>
          <c:xMode val="edge"/>
          <c:yMode val="edge"/>
          <c:x val="0.154602479941648"/>
          <c:y val="4.826098935028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032-4B20-BB52-6A4B1F36C54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032-4B20-BB52-6A4B1F36C54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032-4B20-BB52-6A4B1F36C54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032-4B20-BB52-6A4B1F36C54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5032-4B20-BB52-6A4B1F36C54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5032-4B20-BB52-6A4B1F36C54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5032-4B20-BB52-6A4B1F36C54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5032-4B20-BB52-6A4B1F36C547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5032-4B20-BB52-6A4B1F36C547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5032-4B20-BB52-6A4B1F36C547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5032-4B20-BB52-6A4B1F36C5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CompassRePlatform!$O$45:$O$56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CompassRePlatform!$R$45:$R$56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032-4B20-BB52-6A4B1F36C5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4105720"/>
        <c:axId val="654105328"/>
      </c:barChart>
      <c:catAx>
        <c:axId val="65410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05328"/>
        <c:crosses val="autoZero"/>
        <c:auto val="1"/>
        <c:lblAlgn val="ctr"/>
        <c:lblOffset val="100"/>
        <c:noMultiLvlLbl val="0"/>
      </c:catAx>
      <c:valAx>
        <c:axId val="6541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0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Finance!$AA$2</c:f>
              <c:strCache>
                <c:ptCount val="1"/>
                <c:pt idx="0">
                  <c:v>Testcases Completed /Testcases Automatable(%)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Finance!#REF!</c:f>
              <c:numCache>
                <c:formatCode>0.00%</c:formatCode>
                <c:ptCount val="9"/>
                <c:pt idx="0">
                  <c:v>0.81651376146789001</c:v>
                </c:pt>
                <c:pt idx="1">
                  <c:v>0.95412844036697297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Finance!#REF!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A10-4347-94E9-D7BBEDDB69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3872592"/>
        <c:axId val="713877296"/>
      </c:barChart>
      <c:catAx>
        <c:axId val="71387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77296"/>
        <c:crosses val="autoZero"/>
        <c:auto val="1"/>
        <c:lblAlgn val="ctr"/>
        <c:lblOffset val="100"/>
        <c:noMultiLvlLbl val="0"/>
      </c:catAx>
      <c:valAx>
        <c:axId val="713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7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'Cumulative Metrics 2022'!$A$3:$A$30</c:f>
              <c:strCache>
                <c:ptCount val="28"/>
                <c:pt idx="0">
                  <c:v>Recap</c:v>
                </c:pt>
                <c:pt idx="1">
                  <c:v>ALF</c:v>
                </c:pt>
                <c:pt idx="2">
                  <c:v>Promotional Order Portal(SF)</c:v>
                </c:pt>
                <c:pt idx="3">
                  <c:v>Medea</c:v>
                </c:pt>
                <c:pt idx="4">
                  <c:v>#REF!</c:v>
                </c:pt>
                <c:pt idx="5">
                  <c:v>CompassRePlatform</c:v>
                </c:pt>
                <c:pt idx="6">
                  <c:v>GTM</c:v>
                </c:pt>
                <c:pt idx="7">
                  <c:v>TBT and RSG</c:v>
                </c:pt>
                <c:pt idx="8">
                  <c:v>0</c:v>
                </c:pt>
                <c:pt idx="9">
                  <c:v>USH EzRez</c:v>
                </c:pt>
                <c:pt idx="10">
                  <c:v>USH OmniBasket</c:v>
                </c:pt>
                <c:pt idx="11">
                  <c:v>TicketingPOS</c:v>
                </c:pt>
                <c:pt idx="12">
                  <c:v>WideOrbit</c:v>
                </c:pt>
                <c:pt idx="13">
                  <c:v>#REF!</c:v>
                </c:pt>
                <c:pt idx="14">
                  <c:v>CAR</c:v>
                </c:pt>
                <c:pt idx="15">
                  <c:v>KAM</c:v>
                </c:pt>
                <c:pt idx="16">
                  <c:v>Finance</c:v>
                </c:pt>
                <c:pt idx="17">
                  <c:v>LinearSchedule_BulkCreate</c:v>
                </c:pt>
                <c:pt idx="18">
                  <c:v>Score</c:v>
                </c:pt>
                <c:pt idx="19">
                  <c:v>DeptSystems</c:v>
                </c:pt>
                <c:pt idx="20">
                  <c:v>Sphere</c:v>
                </c:pt>
                <c:pt idx="21">
                  <c:v>CAFÉ</c:v>
                </c:pt>
                <c:pt idx="22">
                  <c:v>SAFE</c:v>
                </c:pt>
                <c:pt idx="23">
                  <c:v>PDM</c:v>
                </c:pt>
                <c:pt idx="24">
                  <c:v>ProM</c:v>
                </c:pt>
                <c:pt idx="25">
                  <c:v>AssetTracker</c:v>
                </c:pt>
                <c:pt idx="26">
                  <c:v>APAR</c:v>
                </c:pt>
                <c:pt idx="27">
                  <c:v>TVROCS</c:v>
                </c:pt>
              </c:strCache>
            </c:strRef>
          </c:cat>
          <c:val>
            <c:numRef>
              <c:f>'Cumulative Metrics 2022'!$AA$3:$AA$30</c:f>
              <c:numCache>
                <c:formatCode>0.00%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5.5485681114551086E-2</c:v>
                </c:pt>
                <c:pt idx="6">
                  <c:v>0.69765117441279356</c:v>
                </c:pt>
                <c:pt idx="7">
                  <c:v>0.9961464354527938</c:v>
                </c:pt>
                <c:pt idx="8">
                  <c:v>1</c:v>
                </c:pt>
                <c:pt idx="9">
                  <c:v>0.38167938931297712</c:v>
                </c:pt>
                <c:pt idx="10">
                  <c:v>0.14784946236559141</c:v>
                </c:pt>
                <c:pt idx="11">
                  <c:v>2.6315789473684209E-2</c:v>
                </c:pt>
                <c:pt idx="12">
                  <c:v>0.29272451686244788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14.583333333333334</c:v>
                </c:pt>
                <c:pt idx="18">
                  <c:v>0.32908704883227174</c:v>
                </c:pt>
                <c:pt idx="19">
                  <c:v>1.5163987138263666</c:v>
                </c:pt>
                <c:pt idx="20">
                  <c:v>0.12174902470741222</c:v>
                </c:pt>
                <c:pt idx="21">
                  <c:v>0.31016042780748665</c:v>
                </c:pt>
                <c:pt idx="22">
                  <c:v>0.76190476190476186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2-4774-B76A-D7C132B547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70112"/>
        <c:axId val="801765016"/>
      </c:barChart>
      <c:catAx>
        <c:axId val="80177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65016"/>
        <c:crosses val="autoZero"/>
        <c:auto val="1"/>
        <c:lblAlgn val="ctr"/>
        <c:lblOffset val="100"/>
        <c:noMultiLvlLbl val="0"/>
      </c:catAx>
      <c:valAx>
        <c:axId val="80176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7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Finance!#REF!</c:f>
              <c:numCache>
                <c:formatCode>0.00%</c:formatCode>
                <c:ptCount val="9"/>
                <c:pt idx="0">
                  <c:v>0.81651376146789001</c:v>
                </c:pt>
                <c:pt idx="1">
                  <c:v>0.95412844036697297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Finance!#REF!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367-4DB3-8B18-7733581965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3868672"/>
        <c:axId val="713880432"/>
      </c:barChart>
      <c:catAx>
        <c:axId val="71386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80432"/>
        <c:crosses val="autoZero"/>
        <c:auto val="1"/>
        <c:lblAlgn val="ctr"/>
        <c:lblOffset val="100"/>
        <c:noMultiLvlLbl val="0"/>
      </c:catAx>
      <c:valAx>
        <c:axId val="713880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6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Finance!#REF!</c:f>
              <c:numCache>
                <c:formatCode>0.00%</c:formatCode>
                <c:ptCount val="9"/>
                <c:pt idx="0">
                  <c:v>1</c:v>
                </c:pt>
                <c:pt idx="1">
                  <c:v>1.0133333333333301</c:v>
                </c:pt>
                <c:pt idx="2">
                  <c:v>1.07936507936508</c:v>
                </c:pt>
                <c:pt idx="3">
                  <c:v>1.07936507936508</c:v>
                </c:pt>
                <c:pt idx="4">
                  <c:v>0.952380952380952</c:v>
                </c:pt>
                <c:pt idx="5">
                  <c:v>1.01308411214953</c:v>
                </c:pt>
                <c:pt idx="6">
                  <c:v>0.93843843843843799</c:v>
                </c:pt>
                <c:pt idx="7">
                  <c:v>0.84384384384384403</c:v>
                </c:pt>
                <c:pt idx="8">
                  <c:v>0.71171171171171199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Finance!#REF!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9DA-476A-A136-D6B5165C36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3878472"/>
        <c:axId val="713874944"/>
      </c:barChart>
      <c:catAx>
        <c:axId val="71387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74944"/>
        <c:crosses val="autoZero"/>
        <c:auto val="1"/>
        <c:lblAlgn val="ctr"/>
        <c:lblOffset val="100"/>
        <c:noMultiLvlLbl val="0"/>
      </c:catAx>
      <c:valAx>
        <c:axId val="7138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7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Finance!$AD$2</c:f>
              <c:strCache>
                <c:ptCount val="1"/>
                <c:pt idx="0">
                  <c:v>Effort Savings 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Finance!#REF!</c:f>
              <c:numCache>
                <c:formatCode>0.00%</c:formatCode>
                <c:ptCount val="9"/>
                <c:pt idx="0">
                  <c:v>0.96764705882352897</c:v>
                </c:pt>
                <c:pt idx="1">
                  <c:v>0.96710526315789502</c:v>
                </c:pt>
                <c:pt idx="2">
                  <c:v>0.94705882352941195</c:v>
                </c:pt>
                <c:pt idx="3">
                  <c:v>0.97058823529411797</c:v>
                </c:pt>
                <c:pt idx="4">
                  <c:v>0.96250000000000002</c:v>
                </c:pt>
                <c:pt idx="5">
                  <c:v>0.97601476014760102</c:v>
                </c:pt>
                <c:pt idx="6">
                  <c:v>0.99360000000000004</c:v>
                </c:pt>
                <c:pt idx="7">
                  <c:v>0.99021352313167299</c:v>
                </c:pt>
                <c:pt idx="8">
                  <c:v>0.981012658227848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Finance!#REF!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0DB-43D6-9DD4-4D8E80C26C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3880040"/>
        <c:axId val="713880824"/>
      </c:barChart>
      <c:catAx>
        <c:axId val="71388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80824"/>
        <c:crosses val="autoZero"/>
        <c:auto val="1"/>
        <c:lblAlgn val="ctr"/>
        <c:lblOffset val="100"/>
        <c:noMultiLvlLbl val="0"/>
      </c:catAx>
      <c:valAx>
        <c:axId val="713880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8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Finance!$AE$2</c:f>
              <c:strCache>
                <c:ptCount val="1"/>
                <c:pt idx="0">
                  <c:v>Cost Savings Per Cycle ($)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Finance!#REF!</c:f>
              <c:numCache>
                <c:formatCode>"$"#,##0.00_);[Red]\("$"#,##0.00\)</c:formatCode>
                <c:ptCount val="9"/>
                <c:pt idx="0">
                  <c:v>16450</c:v>
                </c:pt>
                <c:pt idx="1">
                  <c:v>14700</c:v>
                </c:pt>
                <c:pt idx="2">
                  <c:v>16100</c:v>
                </c:pt>
                <c:pt idx="3">
                  <c:v>16500</c:v>
                </c:pt>
                <c:pt idx="4">
                  <c:v>19250</c:v>
                </c:pt>
                <c:pt idx="5">
                  <c:v>26450</c:v>
                </c:pt>
                <c:pt idx="6">
                  <c:v>31050</c:v>
                </c:pt>
                <c:pt idx="7">
                  <c:v>27825</c:v>
                </c:pt>
                <c:pt idx="8">
                  <c:v>15500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Finance!#REF!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34C-44CB-AF6E-072D1B326F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3869456"/>
        <c:axId val="713870632"/>
      </c:barChart>
      <c:catAx>
        <c:axId val="7138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70632"/>
        <c:crosses val="autoZero"/>
        <c:auto val="1"/>
        <c:lblAlgn val="ctr"/>
        <c:lblOffset val="100"/>
        <c:noMultiLvlLbl val="0"/>
      </c:catAx>
      <c:valAx>
        <c:axId val="713870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6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Month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98250468603"/>
          <c:y val="0.21747703412073499"/>
          <c:w val="0.84600483612867095"/>
          <c:h val="0.5478069762467899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Finance!$O$44:$O$55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Finance!$S$44:$S$55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A-44C8-9AA3-AA3FA3DBB8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3874552"/>
        <c:axId val="713875728"/>
      </c:barChart>
      <c:catAx>
        <c:axId val="71387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75728"/>
        <c:crosses val="autoZero"/>
        <c:auto val="1"/>
        <c:lblAlgn val="ctr"/>
        <c:lblOffset val="100"/>
        <c:noMultiLvlLbl val="0"/>
      </c:catAx>
      <c:valAx>
        <c:axId val="7138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- Per Month  (%)</a:t>
            </a:r>
          </a:p>
        </c:rich>
      </c:tx>
      <c:layout>
        <c:manualLayout>
          <c:xMode val="edge"/>
          <c:yMode val="edge"/>
          <c:x val="0.154602479941648"/>
          <c:y val="4.826098935028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Finance!$O$44:$O$55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Finance!$R$44:$R$55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D-44FD-9F78-C8FF458133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3872984"/>
        <c:axId val="713873376"/>
      </c:barChart>
      <c:catAx>
        <c:axId val="71387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73376"/>
        <c:crosses val="autoZero"/>
        <c:auto val="1"/>
        <c:lblAlgn val="ctr"/>
        <c:lblOffset val="100"/>
        <c:noMultiLvlLbl val="0"/>
      </c:catAx>
      <c:valAx>
        <c:axId val="7138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7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Finance!$R$1</c:f>
              <c:strCache>
                <c:ptCount val="1"/>
                <c:pt idx="0">
                  <c:v>Manual Effort For Execution (PH)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Finance!#REF!</c:f>
              <c:numCache>
                <c:formatCode>0.00</c:formatCode>
                <c:ptCount val="9"/>
                <c:pt idx="0">
                  <c:v>680</c:v>
                </c:pt>
                <c:pt idx="1">
                  <c:v>608</c:v>
                </c:pt>
                <c:pt idx="2">
                  <c:v>680</c:v>
                </c:pt>
                <c:pt idx="3">
                  <c:v>680</c:v>
                </c:pt>
                <c:pt idx="4">
                  <c:v>800</c:v>
                </c:pt>
                <c:pt idx="5">
                  <c:v>1084</c:v>
                </c:pt>
                <c:pt idx="6">
                  <c:v>1250</c:v>
                </c:pt>
                <c:pt idx="7">
                  <c:v>1124</c:v>
                </c:pt>
                <c:pt idx="8">
                  <c:v>632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Finance!#REF!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D96-461B-90FD-D6E68775C0D2}"/>
            </c:ext>
          </c:extLst>
        </c:ser>
        <c:ser>
          <c:idx val="1"/>
          <c:order val="1"/>
          <c:tx>
            <c:strRef>
              <c:f>Finance!$X$1</c:f>
              <c:strCache>
                <c:ptCount val="1"/>
                <c:pt idx="0">
                  <c:v>Test Execution effort spent after automation
(PH)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Finance!#REF!</c:f>
              <c:numCache>
                <c:formatCode>0.00</c:formatCode>
                <c:ptCount val="9"/>
                <c:pt idx="0">
                  <c:v>22</c:v>
                </c:pt>
                <c:pt idx="1">
                  <c:v>20</c:v>
                </c:pt>
                <c:pt idx="2">
                  <c:v>36</c:v>
                </c:pt>
                <c:pt idx="3">
                  <c:v>20</c:v>
                </c:pt>
                <c:pt idx="4">
                  <c:v>30</c:v>
                </c:pt>
                <c:pt idx="5">
                  <c:v>26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Finance!#REF!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D96-461B-90FD-D6E68775C0D2}"/>
            </c:ext>
          </c:extLst>
        </c:ser>
        <c:ser>
          <c:idx val="2"/>
          <c:order val="2"/>
          <c:tx>
            <c:strRef>
              <c:f>Finance!$Y$1</c:f>
              <c:strCache>
                <c:ptCount val="1"/>
                <c:pt idx="0">
                  <c:v>Effort Savings Per Cycle (PH)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Finance!#REF!</c:f>
              <c:numCache>
                <c:formatCode>0.00</c:formatCode>
                <c:ptCount val="9"/>
                <c:pt idx="0">
                  <c:v>658</c:v>
                </c:pt>
                <c:pt idx="1">
                  <c:v>588</c:v>
                </c:pt>
                <c:pt idx="2">
                  <c:v>644</c:v>
                </c:pt>
                <c:pt idx="3">
                  <c:v>660</c:v>
                </c:pt>
                <c:pt idx="4">
                  <c:v>770</c:v>
                </c:pt>
                <c:pt idx="5">
                  <c:v>1058</c:v>
                </c:pt>
                <c:pt idx="6">
                  <c:v>1242</c:v>
                </c:pt>
                <c:pt idx="7">
                  <c:v>1113</c:v>
                </c:pt>
                <c:pt idx="8">
                  <c:v>620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Finance!#REF!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D96-461B-90FD-D6E68775C0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3876904"/>
        <c:axId val="713882000"/>
      </c:barChart>
      <c:catAx>
        <c:axId val="71387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82000"/>
        <c:crosses val="autoZero"/>
        <c:auto val="1"/>
        <c:lblAlgn val="ctr"/>
        <c:lblOffset val="100"/>
        <c:noMultiLvlLbl val="0"/>
      </c:catAx>
      <c:valAx>
        <c:axId val="7138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7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'USH OmniBasket'!$C$3:$C$3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'USH OmniBasket'!$AA$3:$AA$3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3-4443-9563-9D16128204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4109640"/>
        <c:axId val="654110032"/>
      </c:barChart>
      <c:catAx>
        <c:axId val="65410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10032"/>
        <c:crosses val="autoZero"/>
        <c:auto val="1"/>
        <c:lblAlgn val="ctr"/>
        <c:lblOffset val="100"/>
        <c:noMultiLvlLbl val="0"/>
      </c:catAx>
      <c:valAx>
        <c:axId val="6541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0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'USH OmniBasket'!$C$3:$C$3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'USH OmniBasket'!$AB$3:$AB$3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4-43AA-BF46-1D8B545928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4110424"/>
        <c:axId val="654102584"/>
      </c:barChart>
      <c:catAx>
        <c:axId val="65411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02584"/>
        <c:crosses val="autoZero"/>
        <c:auto val="1"/>
        <c:lblAlgn val="ctr"/>
        <c:lblOffset val="100"/>
        <c:noMultiLvlLbl val="0"/>
      </c:catAx>
      <c:valAx>
        <c:axId val="654102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10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'USH OmniBasket'!$C$3:$C$3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'USH OmniBasket'!$AC$3:$AC$3</c:f>
              <c:numCache>
                <c:formatCode>0.00%</c:formatCode>
                <c:ptCount val="1"/>
                <c:pt idx="0">
                  <c:v>0.14784946236559141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F-4D0D-930B-E9B33891ED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4111600"/>
        <c:axId val="654111992"/>
      </c:barChart>
      <c:catAx>
        <c:axId val="6541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11992"/>
        <c:crosses val="autoZero"/>
        <c:auto val="1"/>
        <c:lblAlgn val="ctr"/>
        <c:lblOffset val="100"/>
        <c:noMultiLvlLbl val="0"/>
      </c:catAx>
      <c:valAx>
        <c:axId val="65411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(PHs)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711709423418903E-2"/>
          <c:y val="0.15016139858031499"/>
          <c:w val="0.90057502892783603"/>
          <c:h val="0.586977264216296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'Cumulative Metrics 2022'!$O$1:$O$2</c:f>
              <c:strCache>
                <c:ptCount val="2"/>
                <c:pt idx="0">
                  <c:v>Manual Effort For Execution (PH)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'Cumulative Metrics 2022'!$A$3:$A$30</c:f>
              <c:strCache>
                <c:ptCount val="28"/>
                <c:pt idx="0">
                  <c:v>Recap</c:v>
                </c:pt>
                <c:pt idx="1">
                  <c:v>ALF</c:v>
                </c:pt>
                <c:pt idx="2">
                  <c:v>Promotional Order Portal(SF)</c:v>
                </c:pt>
                <c:pt idx="3">
                  <c:v>Medea</c:v>
                </c:pt>
                <c:pt idx="4">
                  <c:v>#REF!</c:v>
                </c:pt>
                <c:pt idx="5">
                  <c:v>CompassRePlatform</c:v>
                </c:pt>
                <c:pt idx="6">
                  <c:v>GTM</c:v>
                </c:pt>
                <c:pt idx="7">
                  <c:v>TBT and RSG</c:v>
                </c:pt>
                <c:pt idx="8">
                  <c:v>0</c:v>
                </c:pt>
                <c:pt idx="9">
                  <c:v>USH EzRez</c:v>
                </c:pt>
                <c:pt idx="10">
                  <c:v>USH OmniBasket</c:v>
                </c:pt>
                <c:pt idx="11">
                  <c:v>TicketingPOS</c:v>
                </c:pt>
                <c:pt idx="12">
                  <c:v>WideOrbit</c:v>
                </c:pt>
                <c:pt idx="13">
                  <c:v>#REF!</c:v>
                </c:pt>
                <c:pt idx="14">
                  <c:v>CAR</c:v>
                </c:pt>
                <c:pt idx="15">
                  <c:v>KAM</c:v>
                </c:pt>
                <c:pt idx="16">
                  <c:v>Finance</c:v>
                </c:pt>
                <c:pt idx="17">
                  <c:v>LinearSchedule_BulkCreate</c:v>
                </c:pt>
                <c:pt idx="18">
                  <c:v>Score</c:v>
                </c:pt>
                <c:pt idx="19">
                  <c:v>DeptSystems</c:v>
                </c:pt>
                <c:pt idx="20">
                  <c:v>Sphere</c:v>
                </c:pt>
                <c:pt idx="21">
                  <c:v>CAFÉ</c:v>
                </c:pt>
                <c:pt idx="22">
                  <c:v>SAFE</c:v>
                </c:pt>
                <c:pt idx="23">
                  <c:v>PDM</c:v>
                </c:pt>
                <c:pt idx="24">
                  <c:v>ProM</c:v>
                </c:pt>
                <c:pt idx="25">
                  <c:v>AssetTracker</c:v>
                </c:pt>
                <c:pt idx="26">
                  <c:v>APAR</c:v>
                </c:pt>
                <c:pt idx="27">
                  <c:v>TVROCS</c:v>
                </c:pt>
              </c:strCache>
            </c:strRef>
          </c:cat>
          <c:val>
            <c:numRef>
              <c:f>'Cumulative Metrics 2022'!$O$6:$O$14</c:f>
              <c:numCache>
                <c:formatCode>0.00</c:formatCode>
                <c:ptCount val="9"/>
                <c:pt idx="0">
                  <c:v>88</c:v>
                </c:pt>
                <c:pt idx="1">
                  <c:v>0</c:v>
                </c:pt>
                <c:pt idx="2">
                  <c:v>917.59999999999991</c:v>
                </c:pt>
                <c:pt idx="3">
                  <c:v>844.8</c:v>
                </c:pt>
                <c:pt idx="4">
                  <c:v>413.6</c:v>
                </c:pt>
                <c:pt idx="5">
                  <c:v>444.8</c:v>
                </c:pt>
                <c:pt idx="6">
                  <c:v>20</c:v>
                </c:pt>
                <c:pt idx="7">
                  <c:v>8800</c:v>
                </c:pt>
                <c:pt idx="8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C-4C30-9186-0CB862ABFE6F}"/>
            </c:ext>
          </c:extLst>
        </c:ser>
        <c:ser>
          <c:idx val="1"/>
          <c:order val="1"/>
          <c:tx>
            <c:strRef>
              <c:f>'Cumulative Metrics 2022'!$U$1:$U$2</c:f>
              <c:strCache>
                <c:ptCount val="2"/>
                <c:pt idx="0">
                  <c:v>Test Execution effort spent after automation
(PH)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'Cumulative Metrics 2022'!$A$3:$A$30</c:f>
              <c:strCache>
                <c:ptCount val="28"/>
                <c:pt idx="0">
                  <c:v>Recap</c:v>
                </c:pt>
                <c:pt idx="1">
                  <c:v>ALF</c:v>
                </c:pt>
                <c:pt idx="2">
                  <c:v>Promotional Order Portal(SF)</c:v>
                </c:pt>
                <c:pt idx="3">
                  <c:v>Medea</c:v>
                </c:pt>
                <c:pt idx="4">
                  <c:v>#REF!</c:v>
                </c:pt>
                <c:pt idx="5">
                  <c:v>CompassRePlatform</c:v>
                </c:pt>
                <c:pt idx="6">
                  <c:v>GTM</c:v>
                </c:pt>
                <c:pt idx="7">
                  <c:v>TBT and RSG</c:v>
                </c:pt>
                <c:pt idx="8">
                  <c:v>0</c:v>
                </c:pt>
                <c:pt idx="9">
                  <c:v>USH EzRez</c:v>
                </c:pt>
                <c:pt idx="10">
                  <c:v>USH OmniBasket</c:v>
                </c:pt>
                <c:pt idx="11">
                  <c:v>TicketingPOS</c:v>
                </c:pt>
                <c:pt idx="12">
                  <c:v>WideOrbit</c:v>
                </c:pt>
                <c:pt idx="13">
                  <c:v>#REF!</c:v>
                </c:pt>
                <c:pt idx="14">
                  <c:v>CAR</c:v>
                </c:pt>
                <c:pt idx="15">
                  <c:v>KAM</c:v>
                </c:pt>
                <c:pt idx="16">
                  <c:v>Finance</c:v>
                </c:pt>
                <c:pt idx="17">
                  <c:v>LinearSchedule_BulkCreate</c:v>
                </c:pt>
                <c:pt idx="18">
                  <c:v>Score</c:v>
                </c:pt>
                <c:pt idx="19">
                  <c:v>DeptSystems</c:v>
                </c:pt>
                <c:pt idx="20">
                  <c:v>Sphere</c:v>
                </c:pt>
                <c:pt idx="21">
                  <c:v>CAFÉ</c:v>
                </c:pt>
                <c:pt idx="22">
                  <c:v>SAFE</c:v>
                </c:pt>
                <c:pt idx="23">
                  <c:v>PDM</c:v>
                </c:pt>
                <c:pt idx="24">
                  <c:v>ProM</c:v>
                </c:pt>
                <c:pt idx="25">
                  <c:v>AssetTracker</c:v>
                </c:pt>
                <c:pt idx="26">
                  <c:v>APAR</c:v>
                </c:pt>
                <c:pt idx="27">
                  <c:v>TVROCS</c:v>
                </c:pt>
              </c:strCache>
            </c:strRef>
          </c:cat>
          <c:val>
            <c:numRef>
              <c:f>'Cumulative Metrics 2022'!$U$6:$U$14</c:f>
              <c:numCache>
                <c:formatCode>0.00</c:formatCode>
                <c:ptCount val="9"/>
                <c:pt idx="0">
                  <c:v>6</c:v>
                </c:pt>
                <c:pt idx="1">
                  <c:v>0</c:v>
                </c:pt>
                <c:pt idx="2">
                  <c:v>32</c:v>
                </c:pt>
                <c:pt idx="3">
                  <c:v>4</c:v>
                </c:pt>
                <c:pt idx="4">
                  <c:v>20</c:v>
                </c:pt>
                <c:pt idx="5">
                  <c:v>8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C-4C30-9186-0CB862ABFE6F}"/>
            </c:ext>
          </c:extLst>
        </c:ser>
        <c:ser>
          <c:idx val="2"/>
          <c:order val="2"/>
          <c:tx>
            <c:strRef>
              <c:f>'Cumulative Metrics 2022'!$V$1:$V$2</c:f>
              <c:strCache>
                <c:ptCount val="2"/>
                <c:pt idx="0">
                  <c:v>Effort Savings (2020)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'Cumulative Metrics 2022'!$A$3:$A$30</c:f>
              <c:strCache>
                <c:ptCount val="28"/>
                <c:pt idx="0">
                  <c:v>Recap</c:v>
                </c:pt>
                <c:pt idx="1">
                  <c:v>ALF</c:v>
                </c:pt>
                <c:pt idx="2">
                  <c:v>Promotional Order Portal(SF)</c:v>
                </c:pt>
                <c:pt idx="3">
                  <c:v>Medea</c:v>
                </c:pt>
                <c:pt idx="4">
                  <c:v>#REF!</c:v>
                </c:pt>
                <c:pt idx="5">
                  <c:v>CompassRePlatform</c:v>
                </c:pt>
                <c:pt idx="6">
                  <c:v>GTM</c:v>
                </c:pt>
                <c:pt idx="7">
                  <c:v>TBT and RSG</c:v>
                </c:pt>
                <c:pt idx="8">
                  <c:v>0</c:v>
                </c:pt>
                <c:pt idx="9">
                  <c:v>USH EzRez</c:v>
                </c:pt>
                <c:pt idx="10">
                  <c:v>USH OmniBasket</c:v>
                </c:pt>
                <c:pt idx="11">
                  <c:v>TicketingPOS</c:v>
                </c:pt>
                <c:pt idx="12">
                  <c:v>WideOrbit</c:v>
                </c:pt>
                <c:pt idx="13">
                  <c:v>#REF!</c:v>
                </c:pt>
                <c:pt idx="14">
                  <c:v>CAR</c:v>
                </c:pt>
                <c:pt idx="15">
                  <c:v>KAM</c:v>
                </c:pt>
                <c:pt idx="16">
                  <c:v>Finance</c:v>
                </c:pt>
                <c:pt idx="17">
                  <c:v>LinearSchedule_BulkCreate</c:v>
                </c:pt>
                <c:pt idx="18">
                  <c:v>Score</c:v>
                </c:pt>
                <c:pt idx="19">
                  <c:v>DeptSystems</c:v>
                </c:pt>
                <c:pt idx="20">
                  <c:v>Sphere</c:v>
                </c:pt>
                <c:pt idx="21">
                  <c:v>CAFÉ</c:v>
                </c:pt>
                <c:pt idx="22">
                  <c:v>SAFE</c:v>
                </c:pt>
                <c:pt idx="23">
                  <c:v>PDM</c:v>
                </c:pt>
                <c:pt idx="24">
                  <c:v>ProM</c:v>
                </c:pt>
                <c:pt idx="25">
                  <c:v>AssetTracker</c:v>
                </c:pt>
                <c:pt idx="26">
                  <c:v>APAR</c:v>
                </c:pt>
                <c:pt idx="27">
                  <c:v>TVROCS</c:v>
                </c:pt>
              </c:strCache>
            </c:strRef>
          </c:cat>
          <c:val>
            <c:numRef>
              <c:f>'Cumulative Metrics 2022'!$V$6:$V$30</c:f>
              <c:numCache>
                <c:formatCode>0.00</c:formatCode>
                <c:ptCount val="25"/>
                <c:pt idx="0">
                  <c:v>258</c:v>
                </c:pt>
                <c:pt idx="1">
                  <c:v>0</c:v>
                </c:pt>
                <c:pt idx="2">
                  <c:v>886</c:v>
                </c:pt>
                <c:pt idx="3">
                  <c:v>841</c:v>
                </c:pt>
                <c:pt idx="4">
                  <c:v>394</c:v>
                </c:pt>
                <c:pt idx="5">
                  <c:v>437</c:v>
                </c:pt>
                <c:pt idx="6">
                  <c:v>19</c:v>
                </c:pt>
                <c:pt idx="7">
                  <c:v>8743</c:v>
                </c:pt>
                <c:pt idx="8">
                  <c:v>5</c:v>
                </c:pt>
                <c:pt idx="9">
                  <c:v>786</c:v>
                </c:pt>
                <c:pt idx="10">
                  <c:v>0</c:v>
                </c:pt>
                <c:pt idx="11">
                  <c:v>233</c:v>
                </c:pt>
                <c:pt idx="12">
                  <c:v>299</c:v>
                </c:pt>
                <c:pt idx="13">
                  <c:v>872</c:v>
                </c:pt>
                <c:pt idx="14">
                  <c:v>672</c:v>
                </c:pt>
                <c:pt idx="15">
                  <c:v>164</c:v>
                </c:pt>
                <c:pt idx="16">
                  <c:v>245</c:v>
                </c:pt>
                <c:pt idx="17">
                  <c:v>113</c:v>
                </c:pt>
                <c:pt idx="18">
                  <c:v>2598</c:v>
                </c:pt>
                <c:pt idx="19">
                  <c:v>9653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C-4C30-9186-0CB862ABFE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73640"/>
        <c:axId val="801765800"/>
      </c:barChart>
      <c:catAx>
        <c:axId val="80177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65800"/>
        <c:crosses val="autoZero"/>
        <c:auto val="1"/>
        <c:lblAlgn val="ctr"/>
        <c:lblOffset val="100"/>
        <c:noMultiLvlLbl val="0"/>
      </c:catAx>
      <c:valAx>
        <c:axId val="80176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7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0412750825501703E-2"/>
          <c:y val="0.85381045417727996"/>
          <c:w val="0.876863234837581"/>
          <c:h val="7.3119598860518803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534127123171101"/>
          <c:y val="0.23637457689444599"/>
          <c:w val="0.85735832001453205"/>
          <c:h val="0.6249084811328710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'USH OmniBasket'!$C$3:$C$3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'USH OmniBasket'!$X$3:$X$3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0-4F27-BB6C-3215A805D1F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'USH OmniBasket'!$C$3:$C$3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'USH OmniBasket'!$Y$3:$Y$3</c:f>
              <c:numCache>
                <c:formatCode>0.00</c:formatCode>
                <c:ptCount val="1"/>
                <c:pt idx="0">
                  <c:v>8743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0-4F27-BB6C-3215A805D1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4106504"/>
        <c:axId val="654104544"/>
      </c:barChart>
      <c:catAx>
        <c:axId val="65410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04544"/>
        <c:crosses val="autoZero"/>
        <c:auto val="1"/>
        <c:lblAlgn val="ctr"/>
        <c:lblOffset val="100"/>
        <c:noMultiLvlLbl val="0"/>
      </c:catAx>
      <c:valAx>
        <c:axId val="6541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06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'USH OmniBasket'!$C$3:$C$3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'USH OmniBasket'!$AD$3:$AD$3</c:f>
              <c:numCache>
                <c:formatCode>0.00%</c:formatCode>
                <c:ptCount val="1"/>
                <c:pt idx="0">
                  <c:v>0.99352272727272728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8-4E77-BDC3-140B36F9CE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4112384"/>
        <c:axId val="654112776"/>
      </c:barChart>
      <c:catAx>
        <c:axId val="6541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12776"/>
        <c:crosses val="autoZero"/>
        <c:auto val="1"/>
        <c:lblAlgn val="ctr"/>
        <c:lblOffset val="100"/>
        <c:noMultiLvlLbl val="0"/>
      </c:catAx>
      <c:valAx>
        <c:axId val="654112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'USH OmniBasket'!$C$3:$C$3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'USH OmniBasket'!$AE$3:$AE$3</c:f>
              <c:numCache>
                <c:formatCode>"$"#,##0.00_);[Red]\("$"#,##0.00\)</c:formatCode>
                <c:ptCount val="1"/>
                <c:pt idx="0">
                  <c:v>218575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2-49D8-986D-012F96D1A2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4107680"/>
        <c:axId val="654113168"/>
      </c:barChart>
      <c:catAx>
        <c:axId val="6541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13168"/>
        <c:crosses val="autoZero"/>
        <c:auto val="1"/>
        <c:lblAlgn val="ctr"/>
        <c:lblOffset val="100"/>
        <c:noMultiLvlLbl val="0"/>
      </c:catAx>
      <c:valAx>
        <c:axId val="654113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Month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98250468603"/>
          <c:y val="0.21747703412073499"/>
          <c:w val="0.84600483612867095"/>
          <c:h val="0.5478069762467899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'USH OmniBasket'!$G$3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'USH OmniBasket'!$Y$3</c:f>
              <c:numCache>
                <c:formatCode>0.00</c:formatCode>
                <c:ptCount val="1"/>
                <c:pt idx="0">
                  <c:v>8743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4-44D2-9BA6-5BFF0AB0F9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4108072"/>
        <c:axId val="654113560"/>
      </c:barChart>
      <c:catAx>
        <c:axId val="65410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13560"/>
        <c:crosses val="autoZero"/>
        <c:auto val="1"/>
        <c:lblAlgn val="ctr"/>
        <c:lblOffset val="100"/>
        <c:noMultiLvlLbl val="0"/>
      </c:catAx>
      <c:valAx>
        <c:axId val="65411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08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- Per Month  (%)</a:t>
            </a:r>
          </a:p>
        </c:rich>
      </c:tx>
      <c:layout>
        <c:manualLayout>
          <c:xMode val="edge"/>
          <c:yMode val="edge"/>
          <c:x val="0.154602479941648"/>
          <c:y val="4.826098935028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'USH OmniBasket'!$G$3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'USH OmniBasket'!$AD$3</c:f>
              <c:numCache>
                <c:formatCode>0.00%</c:formatCode>
                <c:ptCount val="1"/>
                <c:pt idx="0">
                  <c:v>0.99352272727272728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9-4B9D-8BC9-147F534948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4103368"/>
        <c:axId val="654113952"/>
      </c:barChart>
      <c:catAx>
        <c:axId val="65410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13952"/>
        <c:crosses val="autoZero"/>
        <c:auto val="1"/>
        <c:lblAlgn val="ctr"/>
        <c:lblOffset val="100"/>
        <c:noMultiLvlLbl val="0"/>
      </c:catAx>
      <c:valAx>
        <c:axId val="6541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0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ALF!$AA$2</c:f>
              <c:strCache>
                <c:ptCount val="1"/>
                <c:pt idx="0">
                  <c:v>Testcases Completed /Testcases Automatable(%)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ALF!$G$3</c:f>
              <c:strCache>
                <c:ptCount val="1"/>
                <c:pt idx="0">
                  <c:v>June</c:v>
                </c:pt>
              </c:strCache>
            </c:strRef>
          </c:cat>
          <c:val>
            <c:numRef>
              <c:f>ALF!$AA$3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0-4056-A7C1-56C4076CBE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26600"/>
        <c:axId val="801727384"/>
      </c:barChart>
      <c:catAx>
        <c:axId val="80172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27384"/>
        <c:crosses val="autoZero"/>
        <c:auto val="1"/>
        <c:lblAlgn val="ctr"/>
        <c:lblOffset val="100"/>
        <c:noMultiLvlLbl val="0"/>
      </c:catAx>
      <c:valAx>
        <c:axId val="80172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2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ALF!$G$3</c:f>
              <c:strCache>
                <c:ptCount val="1"/>
                <c:pt idx="0">
                  <c:v>June</c:v>
                </c:pt>
              </c:strCache>
            </c:strRef>
          </c:cat>
          <c:val>
            <c:numRef>
              <c:f>ALF!$AB$3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2-4968-BEAD-4A29417264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28952"/>
        <c:axId val="801729344"/>
      </c:barChart>
      <c:catAx>
        <c:axId val="80172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29344"/>
        <c:crosses val="autoZero"/>
        <c:auto val="1"/>
        <c:lblAlgn val="ctr"/>
        <c:lblOffset val="100"/>
        <c:noMultiLvlLbl val="0"/>
      </c:catAx>
      <c:valAx>
        <c:axId val="801729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2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ALF!$G$3</c:f>
              <c:strCache>
                <c:ptCount val="1"/>
                <c:pt idx="0">
                  <c:v>June</c:v>
                </c:pt>
              </c:strCache>
            </c:strRef>
          </c:cat>
          <c:val>
            <c:numRef>
              <c:f>ALF!$AC$3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E-4A45-B7FC-B6EB27DE58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29736"/>
        <c:axId val="801736792"/>
      </c:barChart>
      <c:catAx>
        <c:axId val="80172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36792"/>
        <c:crosses val="autoZero"/>
        <c:auto val="1"/>
        <c:lblAlgn val="ctr"/>
        <c:lblOffset val="100"/>
        <c:noMultiLvlLbl val="0"/>
      </c:catAx>
      <c:valAx>
        <c:axId val="80173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29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ALF!$R$1</c:f>
              <c:strCache>
                <c:ptCount val="1"/>
                <c:pt idx="0">
                  <c:v>Manual Effort For Execution (PH)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ALF!$G$3</c:f>
              <c:strCache>
                <c:ptCount val="1"/>
                <c:pt idx="0">
                  <c:v>June</c:v>
                </c:pt>
              </c:strCache>
            </c:strRef>
          </c:cat>
          <c:val>
            <c:numRef>
              <c:f>ALF!$R$3</c:f>
              <c:numCache>
                <c:formatCode>0.00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4-4B12-8F97-38879D724DD0}"/>
            </c:ext>
          </c:extLst>
        </c:ser>
        <c:ser>
          <c:idx val="1"/>
          <c:order val="1"/>
          <c:tx>
            <c:strRef>
              <c:f>ALF!$X$1</c:f>
              <c:strCache>
                <c:ptCount val="1"/>
                <c:pt idx="0">
                  <c:v>Test Execution effort spent after automation
(PH)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ALF!$G$3</c:f>
              <c:strCache>
                <c:ptCount val="1"/>
                <c:pt idx="0">
                  <c:v>June</c:v>
                </c:pt>
              </c:strCache>
            </c:strRef>
          </c:cat>
          <c:val>
            <c:numRef>
              <c:f>ALF!$X$3</c:f>
              <c:numCache>
                <c:formatCode>0.00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4-4B12-8F97-38879D724DD0}"/>
            </c:ext>
          </c:extLst>
        </c:ser>
        <c:ser>
          <c:idx val="2"/>
          <c:order val="2"/>
          <c:tx>
            <c:strRef>
              <c:f>ALF!$Y$1</c:f>
              <c:strCache>
                <c:ptCount val="1"/>
                <c:pt idx="0">
                  <c:v>Effort Savings Per Cycle (PH)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ALF!$G$3</c:f>
              <c:strCache>
                <c:ptCount val="1"/>
                <c:pt idx="0">
                  <c:v>June</c:v>
                </c:pt>
              </c:strCache>
            </c:strRef>
          </c:cat>
          <c:val>
            <c:numRef>
              <c:f>ALF!$Y$3</c:f>
              <c:numCache>
                <c:formatCode>0.00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94-4B12-8F97-38879D724D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30520"/>
        <c:axId val="801732872"/>
      </c:barChart>
      <c:catAx>
        <c:axId val="80173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32872"/>
        <c:crosses val="autoZero"/>
        <c:auto val="1"/>
        <c:lblAlgn val="ctr"/>
        <c:lblOffset val="100"/>
        <c:noMultiLvlLbl val="0"/>
      </c:catAx>
      <c:valAx>
        <c:axId val="80173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30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ALF!$AD$2</c:f>
              <c:strCache>
                <c:ptCount val="1"/>
                <c:pt idx="0">
                  <c:v>Effort Savings 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ALF!$G$3</c:f>
              <c:strCache>
                <c:ptCount val="1"/>
                <c:pt idx="0">
                  <c:v>June</c:v>
                </c:pt>
              </c:strCache>
            </c:strRef>
          </c:cat>
          <c:val>
            <c:numRef>
              <c:f>ALF!$AD$3</c:f>
              <c:numCache>
                <c:formatCode>0.00%</c:formatCode>
                <c:ptCount val="1"/>
                <c:pt idx="0">
                  <c:v>0.68421052631578949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C-41A1-B091-79A1066DE2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35224"/>
        <c:axId val="801733264"/>
      </c:barChart>
      <c:catAx>
        <c:axId val="80173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33264"/>
        <c:crosses val="autoZero"/>
        <c:auto val="1"/>
        <c:lblAlgn val="ctr"/>
        <c:lblOffset val="100"/>
        <c:noMultiLvlLbl val="0"/>
      </c:catAx>
      <c:valAx>
        <c:axId val="801733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3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</a:t>
            </a:r>
            <a:r>
              <a:rPr lang="en-US" baseline="0"/>
              <a:t> Savings</a:t>
            </a:r>
            <a:r>
              <a:rPr lang="en-US"/>
              <a:t> (%)</a:t>
            </a:r>
          </a:p>
        </c:rich>
      </c:tx>
      <c:layout>
        <c:manualLayout>
          <c:xMode val="edge"/>
          <c:yMode val="edge"/>
          <c:x val="0.37633691920908302"/>
          <c:y val="5.33333333333333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'Cumulative Metrics 2022'!$A$3:$A$30</c:f>
              <c:strCache>
                <c:ptCount val="28"/>
                <c:pt idx="0">
                  <c:v>Recap</c:v>
                </c:pt>
                <c:pt idx="1">
                  <c:v>ALF</c:v>
                </c:pt>
                <c:pt idx="2">
                  <c:v>Promotional Order Portal(SF)</c:v>
                </c:pt>
                <c:pt idx="3">
                  <c:v>Medea</c:v>
                </c:pt>
                <c:pt idx="4">
                  <c:v>#REF!</c:v>
                </c:pt>
                <c:pt idx="5">
                  <c:v>CompassRePlatform</c:v>
                </c:pt>
                <c:pt idx="6">
                  <c:v>GTM</c:v>
                </c:pt>
                <c:pt idx="7">
                  <c:v>TBT and RSG</c:v>
                </c:pt>
                <c:pt idx="8">
                  <c:v>0</c:v>
                </c:pt>
                <c:pt idx="9">
                  <c:v>USH EzRez</c:v>
                </c:pt>
                <c:pt idx="10">
                  <c:v>USH OmniBasket</c:v>
                </c:pt>
                <c:pt idx="11">
                  <c:v>TicketingPOS</c:v>
                </c:pt>
                <c:pt idx="12">
                  <c:v>WideOrbit</c:v>
                </c:pt>
                <c:pt idx="13">
                  <c:v>#REF!</c:v>
                </c:pt>
                <c:pt idx="14">
                  <c:v>CAR</c:v>
                </c:pt>
                <c:pt idx="15">
                  <c:v>KAM</c:v>
                </c:pt>
                <c:pt idx="16">
                  <c:v>Finance</c:v>
                </c:pt>
                <c:pt idx="17">
                  <c:v>LinearSchedule_BulkCreate</c:v>
                </c:pt>
                <c:pt idx="18">
                  <c:v>Score</c:v>
                </c:pt>
                <c:pt idx="19">
                  <c:v>DeptSystems</c:v>
                </c:pt>
                <c:pt idx="20">
                  <c:v>Sphere</c:v>
                </c:pt>
                <c:pt idx="21">
                  <c:v>CAFÉ</c:v>
                </c:pt>
                <c:pt idx="22">
                  <c:v>SAFE</c:v>
                </c:pt>
                <c:pt idx="23">
                  <c:v>PDM</c:v>
                </c:pt>
                <c:pt idx="24">
                  <c:v>ProM</c:v>
                </c:pt>
                <c:pt idx="25">
                  <c:v>AssetTracker</c:v>
                </c:pt>
                <c:pt idx="26">
                  <c:v>APAR</c:v>
                </c:pt>
                <c:pt idx="27">
                  <c:v>TVROCS</c:v>
                </c:pt>
              </c:strCache>
            </c:strRef>
          </c:cat>
          <c:val>
            <c:numRef>
              <c:f>'Cumulative Metrics 2022'!$AB$6:$AB$14</c:f>
              <c:numCache>
                <c:formatCode>0.00%</c:formatCode>
                <c:ptCount val="9"/>
                <c:pt idx="0">
                  <c:v>2.9318181818181817</c:v>
                </c:pt>
                <c:pt idx="1">
                  <c:v>0</c:v>
                </c:pt>
                <c:pt idx="2">
                  <c:v>0.96512641673931998</c:v>
                </c:pt>
                <c:pt idx="3">
                  <c:v>0.99526515151515149</c:v>
                </c:pt>
                <c:pt idx="4">
                  <c:v>0.95164410058027082</c:v>
                </c:pt>
                <c:pt idx="5">
                  <c:v>0.98201438848920863</c:v>
                </c:pt>
                <c:pt idx="6">
                  <c:v>0.95</c:v>
                </c:pt>
                <c:pt idx="7">
                  <c:v>0.99352272727272728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D-408E-ACD3-44546C03A3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66976"/>
        <c:axId val="801767760"/>
      </c:barChart>
      <c:catAx>
        <c:axId val="80176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67760"/>
        <c:crosses val="autoZero"/>
        <c:auto val="1"/>
        <c:lblAlgn val="ctr"/>
        <c:lblOffset val="100"/>
        <c:noMultiLvlLbl val="0"/>
      </c:catAx>
      <c:valAx>
        <c:axId val="8017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6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ALF!$AE$2</c:f>
              <c:strCache>
                <c:ptCount val="1"/>
                <c:pt idx="0">
                  <c:v>Cost Savings Per Cycle ($)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ALF!$G$3</c:f>
              <c:strCache>
                <c:ptCount val="1"/>
                <c:pt idx="0">
                  <c:v>June</c:v>
                </c:pt>
              </c:strCache>
            </c:strRef>
          </c:cat>
          <c:val>
            <c:numRef>
              <c:f>ALF!$AE$3</c:f>
              <c:numCache>
                <c:formatCode>"$"#,##0.00_);[Red]\("$"#,##0.00\)</c:formatCode>
                <c:ptCount val="1"/>
                <c:pt idx="0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7-4C55-B167-40B5E30247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33656"/>
        <c:axId val="801734048"/>
      </c:barChart>
      <c:catAx>
        <c:axId val="80173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34048"/>
        <c:crosses val="autoZero"/>
        <c:auto val="1"/>
        <c:lblAlgn val="ctr"/>
        <c:lblOffset val="100"/>
        <c:noMultiLvlLbl val="0"/>
      </c:catAx>
      <c:valAx>
        <c:axId val="801734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3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Month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98250468603"/>
          <c:y val="0.21747703412073499"/>
          <c:w val="0.84600483612867095"/>
          <c:h val="0.5478069762467899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ALF!$O$44:$O$55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ALF!$S$44:$S$55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6-4EAA-8BA3-EE6D3DC8AF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34832"/>
        <c:axId val="801736008"/>
      </c:barChart>
      <c:catAx>
        <c:axId val="8017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36008"/>
        <c:crosses val="autoZero"/>
        <c:auto val="1"/>
        <c:lblAlgn val="ctr"/>
        <c:lblOffset val="100"/>
        <c:noMultiLvlLbl val="0"/>
      </c:catAx>
      <c:valAx>
        <c:axId val="80173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- Per Month  (%)</a:t>
            </a:r>
          </a:p>
        </c:rich>
      </c:tx>
      <c:layout>
        <c:manualLayout>
          <c:xMode val="edge"/>
          <c:yMode val="edge"/>
          <c:x val="0.154602479941648"/>
          <c:y val="4.826098935028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ALF!$O$44:$O$55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ALF!$R$44:$R$55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0.68421052631578949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9-4FFF-AB3A-D3A114C367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49336"/>
        <c:axId val="801739144"/>
      </c:barChart>
      <c:catAx>
        <c:axId val="80174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39144"/>
        <c:crosses val="autoZero"/>
        <c:auto val="1"/>
        <c:lblAlgn val="ctr"/>
        <c:lblOffset val="100"/>
        <c:noMultiLvlLbl val="0"/>
      </c:catAx>
      <c:valAx>
        <c:axId val="801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4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'UO OmniBasket'!$C$3:$C$3</c:f>
              <c:strCache>
                <c:ptCount val="1"/>
                <c:pt idx="0">
                  <c:v>January</c:v>
                </c:pt>
              </c:strCache>
            </c:strRef>
          </c:cat>
          <c:val>
            <c:numRef>
              <c:f>'UO OmniBasket'!$AB$3:$AB$3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8-4FAC-9F35-7C6EBC25E3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7174992"/>
        <c:axId val="527175776"/>
      </c:barChart>
      <c:catAx>
        <c:axId val="5271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75776"/>
        <c:crosses val="autoZero"/>
        <c:auto val="1"/>
        <c:lblAlgn val="ctr"/>
        <c:lblOffset val="100"/>
        <c:noMultiLvlLbl val="0"/>
      </c:catAx>
      <c:valAx>
        <c:axId val="5271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'UO OmniBasket'!$C$3:$C$3</c:f>
              <c:strCache>
                <c:ptCount val="1"/>
                <c:pt idx="0">
                  <c:v>January</c:v>
                </c:pt>
              </c:strCache>
            </c:strRef>
          </c:cat>
          <c:val>
            <c:numRef>
              <c:f>'UO OmniBasket'!$AA$3:$AA$3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1-478C-AE44-0DE55BDC8E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7173816"/>
        <c:axId val="527172248"/>
      </c:barChart>
      <c:catAx>
        <c:axId val="52717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72248"/>
        <c:crosses val="autoZero"/>
        <c:auto val="1"/>
        <c:lblAlgn val="ctr"/>
        <c:lblOffset val="100"/>
        <c:noMultiLvlLbl val="0"/>
      </c:catAx>
      <c:valAx>
        <c:axId val="527172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7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layout>
        <c:manualLayout>
          <c:xMode val="edge"/>
          <c:yMode val="edge"/>
          <c:x val="0.104910290894851"/>
          <c:y val="6.4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'UO OmniBasket'!$C$3:$C$3</c:f>
              <c:strCache>
                <c:ptCount val="1"/>
                <c:pt idx="0">
                  <c:v>January</c:v>
                </c:pt>
              </c:strCache>
            </c:strRef>
          </c:cat>
          <c:val>
            <c:numRef>
              <c:f>'UO OmniBasket'!$AC$3:$AC$3</c:f>
              <c:numCache>
                <c:formatCode>0.00%</c:formatCode>
                <c:ptCount val="1"/>
                <c:pt idx="0">
                  <c:v>0.78231292517006801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7-42C3-B230-D138139952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7174600"/>
        <c:axId val="527173424"/>
      </c:barChart>
      <c:catAx>
        <c:axId val="52717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73424"/>
        <c:crosses val="autoZero"/>
        <c:auto val="1"/>
        <c:lblAlgn val="ctr"/>
        <c:lblOffset val="100"/>
        <c:noMultiLvlLbl val="0"/>
      </c:catAx>
      <c:valAx>
        <c:axId val="5271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7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534127123171101"/>
          <c:y val="0.23637457689444599"/>
          <c:w val="0.85735832001453205"/>
          <c:h val="0.6249084811328710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'UO OmniBasket'!$C$3:$C$3</c:f>
              <c:strCache>
                <c:ptCount val="1"/>
                <c:pt idx="0">
                  <c:v>January</c:v>
                </c:pt>
              </c:strCache>
            </c:strRef>
          </c:cat>
          <c:val>
            <c:numRef>
              <c:f>'UO OmniBasket'!$Y$3:$Y$3</c:f>
              <c:numCache>
                <c:formatCode>0.00</c:formatCode>
                <c:ptCount val="1"/>
                <c:pt idx="0">
                  <c:v>282.66666666666669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6-4B9B-8F62-3BFFE75759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6085592"/>
        <c:axId val="526084808"/>
      </c:barChart>
      <c:catAx>
        <c:axId val="52608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84808"/>
        <c:crosses val="autoZero"/>
        <c:auto val="1"/>
        <c:lblAlgn val="ctr"/>
        <c:lblOffset val="100"/>
        <c:noMultiLvlLbl val="0"/>
      </c:catAx>
      <c:valAx>
        <c:axId val="52608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8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'UO OmniBasket'!$C$3:$C$3</c:f>
              <c:strCache>
                <c:ptCount val="1"/>
                <c:pt idx="0">
                  <c:v>January</c:v>
                </c:pt>
              </c:strCache>
            </c:strRef>
          </c:cat>
          <c:val>
            <c:numRef>
              <c:f>'UO OmniBasket'!$AD$3:$AD$3</c:f>
              <c:numCache>
                <c:formatCode>0.00%</c:formatCode>
                <c:ptCount val="1"/>
                <c:pt idx="0">
                  <c:v>0.92173913043478262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C-44AA-BBB0-3B3756A970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8143240"/>
        <c:axId val="228149512"/>
      </c:barChart>
      <c:catAx>
        <c:axId val="22814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49512"/>
        <c:crosses val="autoZero"/>
        <c:auto val="1"/>
        <c:lblAlgn val="ctr"/>
        <c:lblOffset val="100"/>
        <c:noMultiLvlLbl val="0"/>
      </c:catAx>
      <c:valAx>
        <c:axId val="228149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4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'UO OmniBasket'!$C$3:$C$3</c:f>
              <c:strCache>
                <c:ptCount val="1"/>
                <c:pt idx="0">
                  <c:v>January</c:v>
                </c:pt>
              </c:strCache>
            </c:strRef>
          </c:cat>
          <c:val>
            <c:numRef>
              <c:f>'UO OmniBasket'!$AE$3:$AE$3</c:f>
              <c:numCache>
                <c:formatCode>"$"#,##0.00_);[Red]\("$"#,##0.00\)</c:formatCode>
                <c:ptCount val="1"/>
                <c:pt idx="0">
                  <c:v>7066.666666666667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F-40B7-9A01-1EA0606DFA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2872088"/>
        <c:axId val="713869064"/>
      </c:barChart>
      <c:catAx>
        <c:axId val="14287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69064"/>
        <c:crosses val="autoZero"/>
        <c:auto val="1"/>
        <c:lblAlgn val="ctr"/>
        <c:lblOffset val="100"/>
        <c:noMultiLvlLbl val="0"/>
      </c:catAx>
      <c:valAx>
        <c:axId val="713869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Month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98250468603"/>
          <c:y val="0.21747703412073499"/>
          <c:w val="0.84600483612867095"/>
          <c:h val="0.5478069762467899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'UO OmniBasket'!$O$44:$O$55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'UO OmniBasket'!$S$44:$S$55</c:f>
              <c:numCache>
                <c:formatCode>"$"#,##0.00</c:formatCode>
                <c:ptCount val="12"/>
                <c:pt idx="0">
                  <c:v>7066.666666666667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8-46D0-BCB4-FB0041B1B2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3878864"/>
        <c:axId val="713879256"/>
      </c:barChart>
      <c:catAx>
        <c:axId val="71387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79256"/>
        <c:crosses val="autoZero"/>
        <c:auto val="1"/>
        <c:lblAlgn val="ctr"/>
        <c:lblOffset val="100"/>
        <c:noMultiLvlLbl val="0"/>
      </c:catAx>
      <c:valAx>
        <c:axId val="71387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7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Cost Saving  ($)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6382525073794802"/>
          <c:y val="1.834862385321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'Cumulative Metrics 2022'!$A$3:$A$30</c:f>
              <c:strCache>
                <c:ptCount val="28"/>
                <c:pt idx="0">
                  <c:v>Recap</c:v>
                </c:pt>
                <c:pt idx="1">
                  <c:v>ALF</c:v>
                </c:pt>
                <c:pt idx="2">
                  <c:v>Promotional Order Portal(SF)</c:v>
                </c:pt>
                <c:pt idx="3">
                  <c:v>Medea</c:v>
                </c:pt>
                <c:pt idx="4">
                  <c:v>#REF!</c:v>
                </c:pt>
                <c:pt idx="5">
                  <c:v>CompassRePlatform</c:v>
                </c:pt>
                <c:pt idx="6">
                  <c:v>GTM</c:v>
                </c:pt>
                <c:pt idx="7">
                  <c:v>TBT and RSG</c:v>
                </c:pt>
                <c:pt idx="8">
                  <c:v>0</c:v>
                </c:pt>
                <c:pt idx="9">
                  <c:v>USH EzRez</c:v>
                </c:pt>
                <c:pt idx="10">
                  <c:v>USH OmniBasket</c:v>
                </c:pt>
                <c:pt idx="11">
                  <c:v>TicketingPOS</c:v>
                </c:pt>
                <c:pt idx="12">
                  <c:v>WideOrbit</c:v>
                </c:pt>
                <c:pt idx="13">
                  <c:v>#REF!</c:v>
                </c:pt>
                <c:pt idx="14">
                  <c:v>CAR</c:v>
                </c:pt>
                <c:pt idx="15">
                  <c:v>KAM</c:v>
                </c:pt>
                <c:pt idx="16">
                  <c:v>Finance</c:v>
                </c:pt>
                <c:pt idx="17">
                  <c:v>LinearSchedule_BulkCreate</c:v>
                </c:pt>
                <c:pt idx="18">
                  <c:v>Score</c:v>
                </c:pt>
                <c:pt idx="19">
                  <c:v>DeptSystems</c:v>
                </c:pt>
                <c:pt idx="20">
                  <c:v>Sphere</c:v>
                </c:pt>
                <c:pt idx="21">
                  <c:v>CAFÉ</c:v>
                </c:pt>
                <c:pt idx="22">
                  <c:v>SAFE</c:v>
                </c:pt>
                <c:pt idx="23">
                  <c:v>PDM</c:v>
                </c:pt>
                <c:pt idx="24">
                  <c:v>ProM</c:v>
                </c:pt>
                <c:pt idx="25">
                  <c:v>AssetTracker</c:v>
                </c:pt>
                <c:pt idx="26">
                  <c:v>APAR</c:v>
                </c:pt>
                <c:pt idx="27">
                  <c:v>TVROCS</c:v>
                </c:pt>
              </c:strCache>
            </c:strRef>
          </c:cat>
          <c:val>
            <c:numRef>
              <c:f>'Cumulative Metrics 2022'!$AC$3:$AC$30</c:f>
              <c:numCache>
                <c:formatCode>"$"#,##0.00_);[Red]\("$"#,##0.00\)</c:formatCode>
                <c:ptCount val="28"/>
                <c:pt idx="0">
                  <c:v>2850</c:v>
                </c:pt>
                <c:pt idx="1">
                  <c:v>325</c:v>
                </c:pt>
                <c:pt idx="2">
                  <c:v>40</c:v>
                </c:pt>
                <c:pt idx="3">
                  <c:v>6450</c:v>
                </c:pt>
                <c:pt idx="4">
                  <c:v>0</c:v>
                </c:pt>
                <c:pt idx="5">
                  <c:v>22140</c:v>
                </c:pt>
                <c:pt idx="6">
                  <c:v>55540</c:v>
                </c:pt>
                <c:pt idx="7">
                  <c:v>9840</c:v>
                </c:pt>
                <c:pt idx="8">
                  <c:v>10920</c:v>
                </c:pt>
                <c:pt idx="9">
                  <c:v>475</c:v>
                </c:pt>
                <c:pt idx="10">
                  <c:v>218575</c:v>
                </c:pt>
                <c:pt idx="11">
                  <c:v>133.33333333333331</c:v>
                </c:pt>
                <c:pt idx="12">
                  <c:v>19645.833333333332</c:v>
                </c:pt>
                <c:pt idx="13">
                  <c:v>0</c:v>
                </c:pt>
                <c:pt idx="14">
                  <c:v>5825</c:v>
                </c:pt>
                <c:pt idx="15">
                  <c:v>7475</c:v>
                </c:pt>
                <c:pt idx="16">
                  <c:v>21800</c:v>
                </c:pt>
                <c:pt idx="17" formatCode="&quot;$&quot;#,##0.00">
                  <c:v>16800</c:v>
                </c:pt>
                <c:pt idx="18">
                  <c:v>4100</c:v>
                </c:pt>
                <c:pt idx="19">
                  <c:v>6125</c:v>
                </c:pt>
                <c:pt idx="20">
                  <c:v>2825</c:v>
                </c:pt>
                <c:pt idx="21">
                  <c:v>64950</c:v>
                </c:pt>
                <c:pt idx="22">
                  <c:v>241333.33333333328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E-4097-B35B-3AA32FD68C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68152"/>
        <c:axId val="801773248"/>
      </c:barChart>
      <c:catAx>
        <c:axId val="80176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73248"/>
        <c:crosses val="autoZero"/>
        <c:auto val="1"/>
        <c:lblAlgn val="ctr"/>
        <c:lblOffset val="100"/>
        <c:noMultiLvlLbl val="0"/>
      </c:catAx>
      <c:valAx>
        <c:axId val="8017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6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- Per Month  (%)</a:t>
            </a:r>
          </a:p>
        </c:rich>
      </c:tx>
      <c:layout>
        <c:manualLayout>
          <c:xMode val="edge"/>
          <c:yMode val="edge"/>
          <c:x val="0.154602479941648"/>
          <c:y val="4.826098935028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'UO OmniBasket'!$O$44:$O$55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'UO OmniBasket'!$R$44:$R$55</c:f>
              <c:numCache>
                <c:formatCode>0.00%</c:formatCode>
                <c:ptCount val="12"/>
                <c:pt idx="0">
                  <c:v>0.92173913043478262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5-4F82-82E3-A582C436D5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3869848"/>
        <c:axId val="713873768"/>
      </c:barChart>
      <c:catAx>
        <c:axId val="71386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73768"/>
        <c:crosses val="autoZero"/>
        <c:auto val="1"/>
        <c:lblAlgn val="ctr"/>
        <c:lblOffset val="100"/>
        <c:noMultiLvlLbl val="0"/>
      </c:catAx>
      <c:valAx>
        <c:axId val="71387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6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DigitalForce!$AA$2</c:f>
              <c:strCache>
                <c:ptCount val="1"/>
                <c:pt idx="0">
                  <c:v>Testcases Completed /Testcases Automatable(%)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DigitalForce!$G$3:$G$5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DigitalForce!$AA$3:$AA$5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8-4288-B5FB-E937D04139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39536"/>
        <c:axId val="801745024"/>
      </c:barChart>
      <c:catAx>
        <c:axId val="80173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45024"/>
        <c:crosses val="autoZero"/>
        <c:auto val="1"/>
        <c:lblAlgn val="ctr"/>
        <c:lblOffset val="100"/>
        <c:noMultiLvlLbl val="0"/>
      </c:catAx>
      <c:valAx>
        <c:axId val="8017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3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DigitalForce!$G$3:$G$5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DigitalForce!$AB$3:$AB$5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D-462F-A789-BDD8EE98B8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62664"/>
        <c:axId val="801754824"/>
      </c:barChart>
      <c:catAx>
        <c:axId val="80176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4824"/>
        <c:crosses val="autoZero"/>
        <c:auto val="1"/>
        <c:lblAlgn val="ctr"/>
        <c:lblOffset val="100"/>
        <c:noMultiLvlLbl val="0"/>
      </c:catAx>
      <c:valAx>
        <c:axId val="801754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6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DigitalForce!$G$3:$G$5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DigitalForce!$AC$3:$AC$5</c:f>
              <c:numCache>
                <c:formatCode>0.00%</c:formatCode>
                <c:ptCount val="3"/>
                <c:pt idx="0">
                  <c:v>0.99470899470899465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3-405F-B1D8-FE7002832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63056"/>
        <c:axId val="801754432"/>
      </c:barChart>
      <c:catAx>
        <c:axId val="8017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4432"/>
        <c:crosses val="autoZero"/>
        <c:auto val="1"/>
        <c:lblAlgn val="ctr"/>
        <c:lblOffset val="100"/>
        <c:noMultiLvlLbl val="0"/>
      </c:catAx>
      <c:valAx>
        <c:axId val="8017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6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DigitalForce!$R$1</c:f>
              <c:strCache>
                <c:ptCount val="1"/>
                <c:pt idx="0">
                  <c:v>Manual Effort For Execution (PH)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DigitalForce!$G$3:$G$5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DigitalForce!$R$3:$R$5</c:f>
              <c:numCache>
                <c:formatCode>0.00</c:formatCode>
                <c:ptCount val="3"/>
                <c:pt idx="0">
                  <c:v>601.6</c:v>
                </c:pt>
                <c:pt idx="1">
                  <c:v>704</c:v>
                </c:pt>
                <c:pt idx="2">
                  <c:v>2160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7-4860-9E76-862FBFAC8798}"/>
            </c:ext>
          </c:extLst>
        </c:ser>
        <c:ser>
          <c:idx val="1"/>
          <c:order val="1"/>
          <c:tx>
            <c:strRef>
              <c:f>DigitalForce!$X$1</c:f>
              <c:strCache>
                <c:ptCount val="1"/>
                <c:pt idx="0">
                  <c:v>Test Execution effort spent after automation
(PH)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DigitalForce!$G$3:$G$5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DigitalForce!$X$5</c:f>
              <c:numCache>
                <c:formatCode>0.00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7-4860-9E76-862FBFAC8798}"/>
            </c:ext>
          </c:extLst>
        </c:ser>
        <c:ser>
          <c:idx val="2"/>
          <c:order val="2"/>
          <c:tx>
            <c:strRef>
              <c:f>DigitalForce!$Y$1</c:f>
              <c:strCache>
                <c:ptCount val="1"/>
                <c:pt idx="0">
                  <c:v>Effort Savings Per Cycle (PH)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DigitalForce!$G$3:$G$5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DigitalForce!$Y$3:$Y$5</c:f>
              <c:numCache>
                <c:formatCode>0.00</c:formatCode>
                <c:ptCount val="3"/>
                <c:pt idx="0">
                  <c:v>585.6</c:v>
                </c:pt>
                <c:pt idx="1">
                  <c:v>664</c:v>
                </c:pt>
                <c:pt idx="2">
                  <c:v>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A7-4860-9E76-862FBFAC87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51688"/>
        <c:axId val="801763448"/>
      </c:barChart>
      <c:catAx>
        <c:axId val="80175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63448"/>
        <c:crosses val="autoZero"/>
        <c:auto val="1"/>
        <c:lblAlgn val="ctr"/>
        <c:lblOffset val="100"/>
        <c:noMultiLvlLbl val="0"/>
      </c:catAx>
      <c:valAx>
        <c:axId val="80176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DigitalForce!$AD$2</c:f>
              <c:strCache>
                <c:ptCount val="1"/>
                <c:pt idx="0">
                  <c:v>Effort Savings 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DigitalForce!$G$3:$G$5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DigitalForce!$AD$3:$AD$5</c:f>
              <c:numCache>
                <c:formatCode>0.00%</c:formatCode>
                <c:ptCount val="3"/>
                <c:pt idx="0">
                  <c:v>0.97340425531914898</c:v>
                </c:pt>
                <c:pt idx="1">
                  <c:v>0.94318181818181823</c:v>
                </c:pt>
                <c:pt idx="2">
                  <c:v>0.98888888888888893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B-4B6F-ADAA-A21A263303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55216"/>
        <c:axId val="801761880"/>
      </c:barChart>
      <c:catAx>
        <c:axId val="8017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61880"/>
        <c:crosses val="autoZero"/>
        <c:auto val="1"/>
        <c:lblAlgn val="ctr"/>
        <c:lblOffset val="100"/>
        <c:noMultiLvlLbl val="0"/>
      </c:catAx>
      <c:valAx>
        <c:axId val="801761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DigitalForce!$AE$2</c:f>
              <c:strCache>
                <c:ptCount val="1"/>
                <c:pt idx="0">
                  <c:v>Cost Savings Per Cycle ($)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DigitalForce!$G$3:$G$5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DigitalForce!$AE$3:$AE$5</c:f>
              <c:numCache>
                <c:formatCode>"$"#,##0.00_);[Red]\("$"#,##0.00\)</c:formatCode>
                <c:ptCount val="3"/>
                <c:pt idx="0">
                  <c:v>14640</c:v>
                </c:pt>
                <c:pt idx="1">
                  <c:v>16600</c:v>
                </c:pt>
                <c:pt idx="2">
                  <c:v>53400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2-42F9-9469-7BC12E73A8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56000"/>
        <c:axId val="801753256"/>
      </c:barChart>
      <c:catAx>
        <c:axId val="8017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3256"/>
        <c:crosses val="autoZero"/>
        <c:auto val="1"/>
        <c:lblAlgn val="ctr"/>
        <c:lblOffset val="100"/>
        <c:noMultiLvlLbl val="0"/>
      </c:catAx>
      <c:valAx>
        <c:axId val="801753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Month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98250468603"/>
          <c:y val="0.21747703412073499"/>
          <c:w val="0.84600483612867095"/>
          <c:h val="0.5478069762467899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DigitalForce!$O$46:$O$57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DigitalForce!$S$46:$S$57</c:f>
              <c:numCache>
                <c:formatCode>"$"#,##0.00</c:formatCode>
                <c:ptCount val="12"/>
                <c:pt idx="0">
                  <c:v>14640</c:v>
                </c:pt>
                <c:pt idx="1">
                  <c:v>16600</c:v>
                </c:pt>
                <c:pt idx="2">
                  <c:v>53400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8-42D9-A949-E4575876A9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60704"/>
        <c:axId val="801756392"/>
      </c:barChart>
      <c:catAx>
        <c:axId val="80176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6392"/>
        <c:crosses val="autoZero"/>
        <c:auto val="1"/>
        <c:lblAlgn val="ctr"/>
        <c:lblOffset val="100"/>
        <c:noMultiLvlLbl val="0"/>
      </c:catAx>
      <c:valAx>
        <c:axId val="80175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6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- Per Month  (%)</a:t>
            </a:r>
          </a:p>
        </c:rich>
      </c:tx>
      <c:layout>
        <c:manualLayout>
          <c:xMode val="edge"/>
          <c:yMode val="edge"/>
          <c:x val="0.154602479941648"/>
          <c:y val="4.826098935028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DigitalForce!$O$46:$O$57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DigitalForce!$R$46:$R$57</c:f>
              <c:numCache>
                <c:formatCode>0.00%</c:formatCode>
                <c:ptCount val="12"/>
                <c:pt idx="0">
                  <c:v>0.97340425531914898</c:v>
                </c:pt>
                <c:pt idx="1">
                  <c:v>0.94318181818181823</c:v>
                </c:pt>
                <c:pt idx="2">
                  <c:v>0.98888888888888893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F-46B3-83F7-1608C2B645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59528"/>
        <c:axId val="801761096"/>
      </c:barChart>
      <c:catAx>
        <c:axId val="80175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61096"/>
        <c:crosses val="autoZero"/>
        <c:auto val="1"/>
        <c:lblAlgn val="ctr"/>
        <c:lblOffset val="100"/>
        <c:noMultiLvlLbl val="0"/>
      </c:catAx>
      <c:valAx>
        <c:axId val="80176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9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RF_Mercury!$AA$2</c:f>
              <c:strCache>
                <c:ptCount val="1"/>
                <c:pt idx="0">
                  <c:v>Testcases Completed /Testcases Automatable(%)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RF_Mercury!$G$3:$G$3</c:f>
              <c:strCache>
                <c:ptCount val="1"/>
                <c:pt idx="0">
                  <c:v>January</c:v>
                </c:pt>
              </c:strCache>
            </c:strRef>
          </c:cat>
          <c:val>
            <c:numRef>
              <c:f>RF_Mercury!$AA$3:$AA$3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C-4878-988C-08D10F7D93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3882392"/>
        <c:axId val="713882784"/>
      </c:barChart>
      <c:catAx>
        <c:axId val="71388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82784"/>
        <c:crosses val="autoZero"/>
        <c:auto val="1"/>
        <c:lblAlgn val="ctr"/>
        <c:lblOffset val="100"/>
        <c:noMultiLvlLbl val="0"/>
      </c:catAx>
      <c:valAx>
        <c:axId val="7138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8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SAMPLE!$AB$2</c:f>
              <c:strCache>
                <c:ptCount val="1"/>
                <c:pt idx="0">
                  <c:v>Automation Progress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SAMPLE!$C$3:$C$4</c:f>
              <c:strCache>
                <c:ptCount val="2"/>
                <c:pt idx="0">
                  <c:v>Jan Regression</c:v>
                </c:pt>
                <c:pt idx="1">
                  <c:v>Jan Regression</c:v>
                </c:pt>
              </c:strCache>
            </c:strRef>
          </c:cat>
          <c:val>
            <c:numRef>
              <c:f>SAMPLE!$AB$3:$AB$4</c:f>
              <c:numCache>
                <c:formatCode>0.00%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1-4706-93C1-2DFBB9C05E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1770504"/>
        <c:axId val="801772464"/>
      </c:barChart>
      <c:catAx>
        <c:axId val="80177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72464"/>
        <c:crosses val="autoZero"/>
        <c:auto val="1"/>
        <c:lblAlgn val="ctr"/>
        <c:lblOffset val="100"/>
        <c:noMultiLvlLbl val="0"/>
      </c:catAx>
      <c:valAx>
        <c:axId val="8017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7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RF_Mercury!$AB$2</c:f>
              <c:strCache>
                <c:ptCount val="1"/>
                <c:pt idx="0">
                  <c:v>Testcases Completed /Valid Testcases(%)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RF_Mercury!$G$3:$G$3</c:f>
              <c:strCache>
                <c:ptCount val="1"/>
                <c:pt idx="0">
                  <c:v>January</c:v>
                </c:pt>
              </c:strCache>
            </c:strRef>
          </c:cat>
          <c:val>
            <c:numRef>
              <c:f>RF_Mercury!$AB$3:$AB$3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D-4043-A0E7-D12A768639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3883568"/>
        <c:axId val="713883960"/>
      </c:barChart>
      <c:catAx>
        <c:axId val="71388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83960"/>
        <c:crosses val="autoZero"/>
        <c:auto val="1"/>
        <c:lblAlgn val="ctr"/>
        <c:lblOffset val="100"/>
        <c:noMultiLvlLbl val="0"/>
      </c:catAx>
      <c:valAx>
        <c:axId val="713883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RF_Mercury!$AC$2</c:f>
              <c:strCache>
                <c:ptCount val="1"/>
                <c:pt idx="0">
                  <c:v>Automation Script Utilization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RF_Mercury!$G$3:$G$3</c:f>
              <c:strCache>
                <c:ptCount val="1"/>
                <c:pt idx="0">
                  <c:v>January</c:v>
                </c:pt>
              </c:strCache>
            </c:strRef>
          </c:cat>
          <c:val>
            <c:numRef>
              <c:f>RF_Mercury!$AC$3:$AC$3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2-45D4-B8E5-C76D740BDA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3881608"/>
        <c:axId val="1001763112"/>
      </c:barChart>
      <c:catAx>
        <c:axId val="71388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63112"/>
        <c:crosses val="autoZero"/>
        <c:auto val="1"/>
        <c:lblAlgn val="ctr"/>
        <c:lblOffset val="100"/>
        <c:noMultiLvlLbl val="0"/>
      </c:catAx>
      <c:valAx>
        <c:axId val="100176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8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</a:t>
            </a:r>
            <a:r>
              <a:rPr lang="en-US" baseline="0"/>
              <a:t> (PHs)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RF_Mercury!$R$1</c:f>
              <c:strCache>
                <c:ptCount val="1"/>
                <c:pt idx="0">
                  <c:v>Manual Effort For Execution (PH)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RF_Mercury!$G$3:$G$3</c:f>
              <c:strCache>
                <c:ptCount val="1"/>
                <c:pt idx="0">
                  <c:v>January</c:v>
                </c:pt>
              </c:strCache>
            </c:strRef>
          </c:cat>
          <c:val>
            <c:numRef>
              <c:f>RF_Mercury!$R$3:$R$3</c:f>
              <c:numCache>
                <c:formatCode>0.00</c:formatCode>
                <c:ptCount val="1"/>
                <c:pt idx="0">
                  <c:v>444.8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9-4AEC-B69A-1D6BB59D1680}"/>
            </c:ext>
          </c:extLst>
        </c:ser>
        <c:ser>
          <c:idx val="1"/>
          <c:order val="1"/>
          <c:tx>
            <c:strRef>
              <c:f>RF_Mercury!$X$1</c:f>
              <c:strCache>
                <c:ptCount val="1"/>
                <c:pt idx="0">
                  <c:v>Test Execution effort spent after automation
(PH)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RF_Mercury!$G$3:$G$3</c:f>
              <c:strCache>
                <c:ptCount val="1"/>
                <c:pt idx="0">
                  <c:v>January</c:v>
                </c:pt>
              </c:strCache>
            </c:strRef>
          </c:cat>
          <c:val>
            <c:numRef>
              <c:f>RF_Mercury!#REF!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9-4AEC-B69A-1D6BB59D1680}"/>
            </c:ext>
          </c:extLst>
        </c:ser>
        <c:ser>
          <c:idx val="2"/>
          <c:order val="2"/>
          <c:tx>
            <c:strRef>
              <c:f>RF_Mercury!$Y$1</c:f>
              <c:strCache>
                <c:ptCount val="1"/>
                <c:pt idx="0">
                  <c:v>Effort Savings Per Cycle (PH)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RF_Mercury!$G$3:$G$3</c:f>
              <c:strCache>
                <c:ptCount val="1"/>
                <c:pt idx="0">
                  <c:v>January</c:v>
                </c:pt>
              </c:strCache>
            </c:strRef>
          </c:cat>
          <c:val>
            <c:numRef>
              <c:f>RF_Mercury!$Y$3:$Y$3</c:f>
              <c:numCache>
                <c:formatCode>0.00</c:formatCode>
                <c:ptCount val="1"/>
                <c:pt idx="0">
                  <c:v>436.8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99-4AEC-B69A-1D6BB59D16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01765464"/>
        <c:axId val="1001761544"/>
      </c:barChart>
      <c:catAx>
        <c:axId val="100176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61544"/>
        <c:crosses val="autoZero"/>
        <c:auto val="1"/>
        <c:lblAlgn val="ctr"/>
        <c:lblOffset val="100"/>
        <c:noMultiLvlLbl val="0"/>
      </c:catAx>
      <c:valAx>
        <c:axId val="10017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6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RF_Mercury!$AD$2</c:f>
              <c:strCache>
                <c:ptCount val="1"/>
                <c:pt idx="0">
                  <c:v>Effort Savings 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RF_Mercury!$G$3:$G$3</c:f>
              <c:strCache>
                <c:ptCount val="1"/>
                <c:pt idx="0">
                  <c:v>January</c:v>
                </c:pt>
              </c:strCache>
            </c:strRef>
          </c:cat>
          <c:val>
            <c:numRef>
              <c:f>RF_Mercury!$AD$3:$AD$3</c:f>
              <c:numCache>
                <c:formatCode>0.00%</c:formatCode>
                <c:ptCount val="1"/>
                <c:pt idx="0">
                  <c:v>0.98201438848920863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F-408A-942C-7B64230421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01763896"/>
        <c:axId val="1001762720"/>
      </c:barChart>
      <c:catAx>
        <c:axId val="100176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62720"/>
        <c:crosses val="autoZero"/>
        <c:auto val="1"/>
        <c:lblAlgn val="ctr"/>
        <c:lblOffset val="100"/>
        <c:noMultiLvlLbl val="0"/>
      </c:catAx>
      <c:valAx>
        <c:axId val="1001762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6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Cycle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856353249961"/>
          <c:y val="0.23429437877554701"/>
          <c:w val="0.783908352632392"/>
          <c:h val="0.492628583269241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RF_Mercury!$AE$2</c:f>
              <c:strCache>
                <c:ptCount val="1"/>
                <c:pt idx="0">
                  <c:v>Cost Savings Per Cycle ($)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RF_Mercury!$G$3:$G$3</c:f>
              <c:strCache>
                <c:ptCount val="1"/>
                <c:pt idx="0">
                  <c:v>January</c:v>
                </c:pt>
              </c:strCache>
            </c:strRef>
          </c:cat>
          <c:val>
            <c:numRef>
              <c:f>RF_Mercury!$AE$3:$AE$3</c:f>
              <c:numCache>
                <c:formatCode>"$"#,##0.00_);[Red]\("$"#,##0.00\)</c:formatCode>
                <c:ptCount val="1"/>
                <c:pt idx="0">
                  <c:v>10920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7-4E71-B9AE-D37572F27E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01766248"/>
        <c:axId val="1001764288"/>
      </c:barChart>
      <c:catAx>
        <c:axId val="100176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64288"/>
        <c:crosses val="autoZero"/>
        <c:auto val="1"/>
        <c:lblAlgn val="ctr"/>
        <c:lblOffset val="100"/>
        <c:noMultiLvlLbl val="0"/>
      </c:catAx>
      <c:valAx>
        <c:axId val="1001764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6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Saving Per Month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98250468603"/>
          <c:y val="0.21747703412073499"/>
          <c:w val="0.84600483612867095"/>
          <c:h val="0.5478069762467899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RF_Mercury!$O$44:$O$55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RF_Mercury!$S$44:$S$55</c:f>
              <c:numCache>
                <c:formatCode>"$"#,##0.00</c:formatCode>
                <c:ptCount val="12"/>
                <c:pt idx="0">
                  <c:v>10920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A-43C0-81C1-ED6E8A63BD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01765072"/>
        <c:axId val="1001759192"/>
      </c:barChart>
      <c:catAx>
        <c:axId val="100176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59192"/>
        <c:crosses val="autoZero"/>
        <c:auto val="1"/>
        <c:lblAlgn val="ctr"/>
        <c:lblOffset val="100"/>
        <c:noMultiLvlLbl val="0"/>
      </c:catAx>
      <c:valAx>
        <c:axId val="100175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6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Effort Savings - Per Month  (%)</a:t>
            </a:r>
          </a:p>
        </c:rich>
      </c:tx>
      <c:layout>
        <c:manualLayout>
          <c:xMode val="edge"/>
          <c:yMode val="edge"/>
          <c:x val="0.154602479941648"/>
          <c:y val="4.826098935028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RF_Mercury!$O$44:$O$55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RF_Mercury!$R$44:$R$55</c:f>
              <c:numCache>
                <c:formatCode>0.00%</c:formatCode>
                <c:ptCount val="12"/>
                <c:pt idx="0">
                  <c:v>0.98201438848920863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9-4988-A106-503E7265FD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01762328"/>
        <c:axId val="1001759976"/>
      </c:barChart>
      <c:catAx>
        <c:axId val="100176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59976"/>
        <c:crosses val="autoZero"/>
        <c:auto val="1"/>
        <c:lblAlgn val="ctr"/>
        <c:lblOffset val="100"/>
        <c:noMultiLvlLbl val="0"/>
      </c:catAx>
      <c:valAx>
        <c:axId val="100175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6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Progress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POP!$AA$2</c:f>
              <c:strCache>
                <c:ptCount val="1"/>
                <c:pt idx="0">
                  <c:v>Testcases Completed /Testcases Automatable(%)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POP!$G$3:$G$3</c:f>
              <c:strCache>
                <c:ptCount val="1"/>
                <c:pt idx="0">
                  <c:v>June</c:v>
                </c:pt>
              </c:strCache>
            </c:strRef>
          </c:cat>
          <c:val>
            <c:numRef>
              <c:f>POP!$AA$3:$AA$3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8-4B10-9B2F-0BBD52405A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01760760"/>
        <c:axId val="1001761152"/>
      </c:barChart>
      <c:catAx>
        <c:axId val="100176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61152"/>
        <c:crosses val="autoZero"/>
        <c:auto val="1"/>
        <c:lblAlgn val="ctr"/>
        <c:lblOffset val="100"/>
        <c:noMultiLvlLbl val="0"/>
      </c:catAx>
      <c:valAx>
        <c:axId val="10017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6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Coverage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POP!$G$3:$G$3</c:f>
              <c:strCache>
                <c:ptCount val="1"/>
                <c:pt idx="0">
                  <c:v>June</c:v>
                </c:pt>
              </c:strCache>
            </c:strRef>
          </c:cat>
          <c:val>
            <c:numRef>
              <c:f>POP!$AB$3:$AB$3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B-4177-A89E-34F67864D2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682256"/>
        <c:axId val="971683824"/>
      </c:barChart>
      <c:catAx>
        <c:axId val="97168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83824"/>
        <c:crosses val="autoZero"/>
        <c:auto val="1"/>
        <c:lblAlgn val="ctr"/>
        <c:lblOffset val="100"/>
        <c:noMultiLvlLbl val="0"/>
      </c:catAx>
      <c:valAx>
        <c:axId val="9716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8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Automation Script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POP!$G$3:$G$3</c:f>
              <c:strCache>
                <c:ptCount val="1"/>
                <c:pt idx="0">
                  <c:v>June</c:v>
                </c:pt>
              </c:strCache>
            </c:strRef>
          </c:cat>
          <c:val>
            <c:numRef>
              <c:f>POP!$AC$3:$AC$3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6-4207-A062-81088B682A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679120"/>
        <c:axId val="971684216"/>
      </c:barChart>
      <c:catAx>
        <c:axId val="9716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84216"/>
        <c:crosses val="autoZero"/>
        <c:auto val="1"/>
        <c:lblAlgn val="ctr"/>
        <c:lblOffset val="100"/>
        <c:noMultiLvlLbl val="0"/>
      </c:catAx>
      <c:valAx>
        <c:axId val="97168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7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6.xml"/><Relationship Id="rId3" Type="http://schemas.openxmlformats.org/officeDocument/2006/relationships/chart" Target="../charts/chart91.xml"/><Relationship Id="rId7" Type="http://schemas.openxmlformats.org/officeDocument/2006/relationships/chart" Target="../charts/chart95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6" Type="http://schemas.openxmlformats.org/officeDocument/2006/relationships/chart" Target="../charts/chart94.xml"/><Relationship Id="rId5" Type="http://schemas.openxmlformats.org/officeDocument/2006/relationships/chart" Target="../charts/chart93.xml"/><Relationship Id="rId4" Type="http://schemas.openxmlformats.org/officeDocument/2006/relationships/chart" Target="../charts/chart92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4.xml"/><Relationship Id="rId3" Type="http://schemas.openxmlformats.org/officeDocument/2006/relationships/chart" Target="../charts/chart99.xml"/><Relationship Id="rId7" Type="http://schemas.openxmlformats.org/officeDocument/2006/relationships/chart" Target="../charts/chart103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6" Type="http://schemas.openxmlformats.org/officeDocument/2006/relationships/chart" Target="../charts/chart102.xml"/><Relationship Id="rId5" Type="http://schemas.openxmlformats.org/officeDocument/2006/relationships/chart" Target="../charts/chart101.xml"/><Relationship Id="rId4" Type="http://schemas.openxmlformats.org/officeDocument/2006/relationships/chart" Target="../charts/chart100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2.xml"/><Relationship Id="rId3" Type="http://schemas.openxmlformats.org/officeDocument/2006/relationships/chart" Target="../charts/chart107.xml"/><Relationship Id="rId7" Type="http://schemas.openxmlformats.org/officeDocument/2006/relationships/chart" Target="../charts/chart111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Relationship Id="rId6" Type="http://schemas.openxmlformats.org/officeDocument/2006/relationships/chart" Target="../charts/chart110.xml"/><Relationship Id="rId5" Type="http://schemas.openxmlformats.org/officeDocument/2006/relationships/chart" Target="../charts/chart109.xml"/><Relationship Id="rId4" Type="http://schemas.openxmlformats.org/officeDocument/2006/relationships/chart" Target="../charts/chart108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0.xml"/><Relationship Id="rId3" Type="http://schemas.openxmlformats.org/officeDocument/2006/relationships/chart" Target="../charts/chart115.xml"/><Relationship Id="rId7" Type="http://schemas.openxmlformats.org/officeDocument/2006/relationships/chart" Target="../charts/chart119.xml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6" Type="http://schemas.openxmlformats.org/officeDocument/2006/relationships/chart" Target="../charts/chart118.xml"/><Relationship Id="rId5" Type="http://schemas.openxmlformats.org/officeDocument/2006/relationships/chart" Target="../charts/chart117.xml"/><Relationship Id="rId4" Type="http://schemas.openxmlformats.org/officeDocument/2006/relationships/chart" Target="../charts/chart116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8.xml"/><Relationship Id="rId3" Type="http://schemas.openxmlformats.org/officeDocument/2006/relationships/chart" Target="../charts/chart123.xml"/><Relationship Id="rId7" Type="http://schemas.openxmlformats.org/officeDocument/2006/relationships/chart" Target="../charts/chart127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Relationship Id="rId6" Type="http://schemas.openxmlformats.org/officeDocument/2006/relationships/chart" Target="../charts/chart126.xml"/><Relationship Id="rId5" Type="http://schemas.openxmlformats.org/officeDocument/2006/relationships/chart" Target="../charts/chart125.xml"/><Relationship Id="rId4" Type="http://schemas.openxmlformats.org/officeDocument/2006/relationships/chart" Target="../charts/chart124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6.xml"/><Relationship Id="rId3" Type="http://schemas.openxmlformats.org/officeDocument/2006/relationships/chart" Target="../charts/chart131.xml"/><Relationship Id="rId7" Type="http://schemas.openxmlformats.org/officeDocument/2006/relationships/chart" Target="../charts/chart135.xml"/><Relationship Id="rId2" Type="http://schemas.openxmlformats.org/officeDocument/2006/relationships/chart" Target="../charts/chart130.xml"/><Relationship Id="rId1" Type="http://schemas.openxmlformats.org/officeDocument/2006/relationships/chart" Target="../charts/chart129.xml"/><Relationship Id="rId6" Type="http://schemas.openxmlformats.org/officeDocument/2006/relationships/chart" Target="../charts/chart134.xml"/><Relationship Id="rId5" Type="http://schemas.openxmlformats.org/officeDocument/2006/relationships/chart" Target="../charts/chart133.xml"/><Relationship Id="rId4" Type="http://schemas.openxmlformats.org/officeDocument/2006/relationships/chart" Target="../charts/chart132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4.xml"/><Relationship Id="rId3" Type="http://schemas.openxmlformats.org/officeDocument/2006/relationships/chart" Target="../charts/chart139.xml"/><Relationship Id="rId7" Type="http://schemas.openxmlformats.org/officeDocument/2006/relationships/chart" Target="../charts/chart143.xml"/><Relationship Id="rId2" Type="http://schemas.openxmlformats.org/officeDocument/2006/relationships/chart" Target="../charts/chart138.xml"/><Relationship Id="rId1" Type="http://schemas.openxmlformats.org/officeDocument/2006/relationships/chart" Target="../charts/chart137.xml"/><Relationship Id="rId6" Type="http://schemas.openxmlformats.org/officeDocument/2006/relationships/chart" Target="../charts/chart142.xml"/><Relationship Id="rId5" Type="http://schemas.openxmlformats.org/officeDocument/2006/relationships/chart" Target="../charts/chart141.xml"/><Relationship Id="rId4" Type="http://schemas.openxmlformats.org/officeDocument/2006/relationships/chart" Target="../charts/chart14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2.xml"/><Relationship Id="rId3" Type="http://schemas.openxmlformats.org/officeDocument/2006/relationships/chart" Target="../charts/chart147.xml"/><Relationship Id="rId7" Type="http://schemas.openxmlformats.org/officeDocument/2006/relationships/chart" Target="../charts/chart151.xml"/><Relationship Id="rId2" Type="http://schemas.openxmlformats.org/officeDocument/2006/relationships/chart" Target="../charts/chart146.xml"/><Relationship Id="rId1" Type="http://schemas.openxmlformats.org/officeDocument/2006/relationships/chart" Target="../charts/chart145.xml"/><Relationship Id="rId6" Type="http://schemas.openxmlformats.org/officeDocument/2006/relationships/chart" Target="../charts/chart150.xml"/><Relationship Id="rId5" Type="http://schemas.openxmlformats.org/officeDocument/2006/relationships/chart" Target="../charts/chart149.xml"/><Relationship Id="rId4" Type="http://schemas.openxmlformats.org/officeDocument/2006/relationships/chart" Target="../charts/chart148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0.xml"/><Relationship Id="rId3" Type="http://schemas.openxmlformats.org/officeDocument/2006/relationships/chart" Target="../charts/chart155.xml"/><Relationship Id="rId7" Type="http://schemas.openxmlformats.org/officeDocument/2006/relationships/chart" Target="../charts/chart159.xml"/><Relationship Id="rId2" Type="http://schemas.openxmlformats.org/officeDocument/2006/relationships/chart" Target="../charts/chart154.xml"/><Relationship Id="rId1" Type="http://schemas.openxmlformats.org/officeDocument/2006/relationships/chart" Target="../charts/chart153.xml"/><Relationship Id="rId6" Type="http://schemas.openxmlformats.org/officeDocument/2006/relationships/chart" Target="../charts/chart158.xml"/><Relationship Id="rId5" Type="http://schemas.openxmlformats.org/officeDocument/2006/relationships/chart" Target="../charts/chart157.xml"/><Relationship Id="rId4" Type="http://schemas.openxmlformats.org/officeDocument/2006/relationships/chart" Target="../charts/chart156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8.xml"/><Relationship Id="rId3" Type="http://schemas.openxmlformats.org/officeDocument/2006/relationships/chart" Target="../charts/chart163.xml"/><Relationship Id="rId7" Type="http://schemas.openxmlformats.org/officeDocument/2006/relationships/chart" Target="../charts/chart167.xml"/><Relationship Id="rId2" Type="http://schemas.openxmlformats.org/officeDocument/2006/relationships/chart" Target="../charts/chart162.xml"/><Relationship Id="rId1" Type="http://schemas.openxmlformats.org/officeDocument/2006/relationships/chart" Target="../charts/chart161.xml"/><Relationship Id="rId6" Type="http://schemas.openxmlformats.org/officeDocument/2006/relationships/chart" Target="../charts/chart166.xml"/><Relationship Id="rId5" Type="http://schemas.openxmlformats.org/officeDocument/2006/relationships/chart" Target="../charts/chart165.xml"/><Relationship Id="rId4" Type="http://schemas.openxmlformats.org/officeDocument/2006/relationships/chart" Target="../charts/chart164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6.xml"/><Relationship Id="rId3" Type="http://schemas.openxmlformats.org/officeDocument/2006/relationships/chart" Target="../charts/chart171.xml"/><Relationship Id="rId7" Type="http://schemas.openxmlformats.org/officeDocument/2006/relationships/chart" Target="../charts/chart175.xml"/><Relationship Id="rId2" Type="http://schemas.openxmlformats.org/officeDocument/2006/relationships/chart" Target="../charts/chart170.xml"/><Relationship Id="rId1" Type="http://schemas.openxmlformats.org/officeDocument/2006/relationships/chart" Target="../charts/chart169.xml"/><Relationship Id="rId6" Type="http://schemas.openxmlformats.org/officeDocument/2006/relationships/chart" Target="../charts/chart174.xml"/><Relationship Id="rId5" Type="http://schemas.openxmlformats.org/officeDocument/2006/relationships/chart" Target="../charts/chart173.xml"/><Relationship Id="rId4" Type="http://schemas.openxmlformats.org/officeDocument/2006/relationships/chart" Target="../charts/chart172.xml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4.xml"/><Relationship Id="rId13" Type="http://schemas.openxmlformats.org/officeDocument/2006/relationships/chart" Target="../charts/chart189.xml"/><Relationship Id="rId3" Type="http://schemas.openxmlformats.org/officeDocument/2006/relationships/chart" Target="../charts/chart179.xml"/><Relationship Id="rId7" Type="http://schemas.openxmlformats.org/officeDocument/2006/relationships/chart" Target="../charts/chart183.xml"/><Relationship Id="rId12" Type="http://schemas.openxmlformats.org/officeDocument/2006/relationships/chart" Target="../charts/chart188.xml"/><Relationship Id="rId2" Type="http://schemas.openxmlformats.org/officeDocument/2006/relationships/chart" Target="../charts/chart178.xml"/><Relationship Id="rId1" Type="http://schemas.openxmlformats.org/officeDocument/2006/relationships/chart" Target="../charts/chart177.xml"/><Relationship Id="rId6" Type="http://schemas.openxmlformats.org/officeDocument/2006/relationships/chart" Target="../charts/chart182.xml"/><Relationship Id="rId11" Type="http://schemas.openxmlformats.org/officeDocument/2006/relationships/chart" Target="../charts/chart187.xml"/><Relationship Id="rId5" Type="http://schemas.openxmlformats.org/officeDocument/2006/relationships/chart" Target="../charts/chart181.xml"/><Relationship Id="rId10" Type="http://schemas.openxmlformats.org/officeDocument/2006/relationships/chart" Target="../charts/chart186.xml"/><Relationship Id="rId4" Type="http://schemas.openxmlformats.org/officeDocument/2006/relationships/chart" Target="../charts/chart180.xml"/><Relationship Id="rId9" Type="http://schemas.openxmlformats.org/officeDocument/2006/relationships/chart" Target="../charts/chart185.xml"/><Relationship Id="rId14" Type="http://schemas.openxmlformats.org/officeDocument/2006/relationships/chart" Target="../charts/chart190.xml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8.xml"/><Relationship Id="rId3" Type="http://schemas.openxmlformats.org/officeDocument/2006/relationships/chart" Target="../charts/chart193.xml"/><Relationship Id="rId7" Type="http://schemas.openxmlformats.org/officeDocument/2006/relationships/chart" Target="../charts/chart197.xml"/><Relationship Id="rId2" Type="http://schemas.openxmlformats.org/officeDocument/2006/relationships/chart" Target="../charts/chart192.xml"/><Relationship Id="rId1" Type="http://schemas.openxmlformats.org/officeDocument/2006/relationships/chart" Target="../charts/chart191.xml"/><Relationship Id="rId6" Type="http://schemas.openxmlformats.org/officeDocument/2006/relationships/chart" Target="../charts/chart196.xml"/><Relationship Id="rId5" Type="http://schemas.openxmlformats.org/officeDocument/2006/relationships/chart" Target="../charts/chart195.xml"/><Relationship Id="rId4" Type="http://schemas.openxmlformats.org/officeDocument/2006/relationships/chart" Target="../charts/chart194.xml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6.xml"/><Relationship Id="rId3" Type="http://schemas.openxmlformats.org/officeDocument/2006/relationships/chart" Target="../charts/chart201.xml"/><Relationship Id="rId7" Type="http://schemas.openxmlformats.org/officeDocument/2006/relationships/chart" Target="../charts/chart205.xml"/><Relationship Id="rId2" Type="http://schemas.openxmlformats.org/officeDocument/2006/relationships/chart" Target="../charts/chart200.xml"/><Relationship Id="rId1" Type="http://schemas.openxmlformats.org/officeDocument/2006/relationships/chart" Target="../charts/chart199.xml"/><Relationship Id="rId6" Type="http://schemas.openxmlformats.org/officeDocument/2006/relationships/chart" Target="../charts/chart204.xml"/><Relationship Id="rId11" Type="http://schemas.openxmlformats.org/officeDocument/2006/relationships/chart" Target="../charts/chart209.xml"/><Relationship Id="rId5" Type="http://schemas.openxmlformats.org/officeDocument/2006/relationships/chart" Target="../charts/chart203.xml"/><Relationship Id="rId10" Type="http://schemas.openxmlformats.org/officeDocument/2006/relationships/chart" Target="../charts/chart208.xml"/><Relationship Id="rId4" Type="http://schemas.openxmlformats.org/officeDocument/2006/relationships/chart" Target="../charts/chart202.xml"/><Relationship Id="rId9" Type="http://schemas.openxmlformats.org/officeDocument/2006/relationships/chart" Target="../charts/chart207.xml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7.xml"/><Relationship Id="rId3" Type="http://schemas.openxmlformats.org/officeDocument/2006/relationships/chart" Target="../charts/chart212.xml"/><Relationship Id="rId7" Type="http://schemas.openxmlformats.org/officeDocument/2006/relationships/chart" Target="../charts/chart216.xml"/><Relationship Id="rId2" Type="http://schemas.openxmlformats.org/officeDocument/2006/relationships/chart" Target="../charts/chart211.xml"/><Relationship Id="rId1" Type="http://schemas.openxmlformats.org/officeDocument/2006/relationships/chart" Target="../charts/chart210.xml"/><Relationship Id="rId6" Type="http://schemas.openxmlformats.org/officeDocument/2006/relationships/chart" Target="../charts/chart215.xml"/><Relationship Id="rId5" Type="http://schemas.openxmlformats.org/officeDocument/2006/relationships/chart" Target="../charts/chart214.xml"/><Relationship Id="rId4" Type="http://schemas.openxmlformats.org/officeDocument/2006/relationships/chart" Target="../charts/chart213.xml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5.xml"/><Relationship Id="rId3" Type="http://schemas.openxmlformats.org/officeDocument/2006/relationships/chart" Target="../charts/chart220.xml"/><Relationship Id="rId7" Type="http://schemas.openxmlformats.org/officeDocument/2006/relationships/chart" Target="../charts/chart224.xml"/><Relationship Id="rId2" Type="http://schemas.openxmlformats.org/officeDocument/2006/relationships/chart" Target="../charts/chart219.xml"/><Relationship Id="rId1" Type="http://schemas.openxmlformats.org/officeDocument/2006/relationships/chart" Target="../charts/chart218.xml"/><Relationship Id="rId6" Type="http://schemas.openxmlformats.org/officeDocument/2006/relationships/chart" Target="../charts/chart223.xml"/><Relationship Id="rId5" Type="http://schemas.openxmlformats.org/officeDocument/2006/relationships/chart" Target="../charts/chart222.xml"/><Relationship Id="rId4" Type="http://schemas.openxmlformats.org/officeDocument/2006/relationships/chart" Target="../charts/chart221.xml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3.xml"/><Relationship Id="rId3" Type="http://schemas.openxmlformats.org/officeDocument/2006/relationships/chart" Target="../charts/chart228.xml"/><Relationship Id="rId7" Type="http://schemas.openxmlformats.org/officeDocument/2006/relationships/chart" Target="../charts/chart232.xml"/><Relationship Id="rId2" Type="http://schemas.openxmlformats.org/officeDocument/2006/relationships/chart" Target="../charts/chart227.xml"/><Relationship Id="rId1" Type="http://schemas.openxmlformats.org/officeDocument/2006/relationships/chart" Target="../charts/chart226.xml"/><Relationship Id="rId6" Type="http://schemas.openxmlformats.org/officeDocument/2006/relationships/chart" Target="../charts/chart231.xml"/><Relationship Id="rId5" Type="http://schemas.openxmlformats.org/officeDocument/2006/relationships/chart" Target="../charts/chart230.xml"/><Relationship Id="rId4" Type="http://schemas.openxmlformats.org/officeDocument/2006/relationships/chart" Target="../charts/chart22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1.xml"/><Relationship Id="rId3" Type="http://schemas.openxmlformats.org/officeDocument/2006/relationships/chart" Target="../charts/chart236.xml"/><Relationship Id="rId7" Type="http://schemas.openxmlformats.org/officeDocument/2006/relationships/chart" Target="../charts/chart240.xml"/><Relationship Id="rId2" Type="http://schemas.openxmlformats.org/officeDocument/2006/relationships/chart" Target="../charts/chart235.xml"/><Relationship Id="rId1" Type="http://schemas.openxmlformats.org/officeDocument/2006/relationships/chart" Target="../charts/chart234.xml"/><Relationship Id="rId6" Type="http://schemas.openxmlformats.org/officeDocument/2006/relationships/chart" Target="../charts/chart239.xml"/><Relationship Id="rId5" Type="http://schemas.openxmlformats.org/officeDocument/2006/relationships/chart" Target="../charts/chart238.xml"/><Relationship Id="rId4" Type="http://schemas.openxmlformats.org/officeDocument/2006/relationships/chart" Target="../charts/chart237.xml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9.xml"/><Relationship Id="rId3" Type="http://schemas.openxmlformats.org/officeDocument/2006/relationships/chart" Target="../charts/chart244.xml"/><Relationship Id="rId7" Type="http://schemas.openxmlformats.org/officeDocument/2006/relationships/chart" Target="../charts/chart248.xml"/><Relationship Id="rId2" Type="http://schemas.openxmlformats.org/officeDocument/2006/relationships/chart" Target="../charts/chart243.xml"/><Relationship Id="rId1" Type="http://schemas.openxmlformats.org/officeDocument/2006/relationships/chart" Target="../charts/chart242.xml"/><Relationship Id="rId6" Type="http://schemas.openxmlformats.org/officeDocument/2006/relationships/chart" Target="../charts/chart247.xml"/><Relationship Id="rId5" Type="http://schemas.openxmlformats.org/officeDocument/2006/relationships/chart" Target="../charts/chart246.xml"/><Relationship Id="rId4" Type="http://schemas.openxmlformats.org/officeDocument/2006/relationships/chart" Target="../charts/chart245.xml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7.xml"/><Relationship Id="rId3" Type="http://schemas.openxmlformats.org/officeDocument/2006/relationships/chart" Target="../charts/chart252.xml"/><Relationship Id="rId7" Type="http://schemas.openxmlformats.org/officeDocument/2006/relationships/chart" Target="../charts/chart256.xml"/><Relationship Id="rId2" Type="http://schemas.openxmlformats.org/officeDocument/2006/relationships/chart" Target="../charts/chart251.xml"/><Relationship Id="rId1" Type="http://schemas.openxmlformats.org/officeDocument/2006/relationships/chart" Target="../charts/chart250.xml"/><Relationship Id="rId6" Type="http://schemas.openxmlformats.org/officeDocument/2006/relationships/chart" Target="../charts/chart255.xml"/><Relationship Id="rId5" Type="http://schemas.openxmlformats.org/officeDocument/2006/relationships/chart" Target="../charts/chart254.xml"/><Relationship Id="rId4" Type="http://schemas.openxmlformats.org/officeDocument/2006/relationships/chart" Target="../charts/chart253.xml"/></Relationships>
</file>

<file path=xl/drawings/_rels/drawing3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5.xml"/><Relationship Id="rId3" Type="http://schemas.openxmlformats.org/officeDocument/2006/relationships/chart" Target="../charts/chart260.xml"/><Relationship Id="rId7" Type="http://schemas.openxmlformats.org/officeDocument/2006/relationships/chart" Target="../charts/chart264.xml"/><Relationship Id="rId2" Type="http://schemas.openxmlformats.org/officeDocument/2006/relationships/chart" Target="../charts/chart259.xml"/><Relationship Id="rId1" Type="http://schemas.openxmlformats.org/officeDocument/2006/relationships/chart" Target="../charts/chart258.xml"/><Relationship Id="rId6" Type="http://schemas.openxmlformats.org/officeDocument/2006/relationships/chart" Target="../charts/chart263.xml"/><Relationship Id="rId5" Type="http://schemas.openxmlformats.org/officeDocument/2006/relationships/chart" Target="../charts/chart262.xml"/><Relationship Id="rId4" Type="http://schemas.openxmlformats.org/officeDocument/2006/relationships/chart" Target="../charts/chart261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8.xml"/><Relationship Id="rId2" Type="http://schemas.openxmlformats.org/officeDocument/2006/relationships/chart" Target="../charts/chart267.xml"/><Relationship Id="rId1" Type="http://schemas.openxmlformats.org/officeDocument/2006/relationships/chart" Target="../charts/chart266.xml"/><Relationship Id="rId5" Type="http://schemas.openxmlformats.org/officeDocument/2006/relationships/chart" Target="../charts/chart270.xml"/><Relationship Id="rId4" Type="http://schemas.openxmlformats.org/officeDocument/2006/relationships/chart" Target="../charts/chart269.xml"/></Relationships>
</file>

<file path=xl/drawings/_rels/drawing3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8.xml"/><Relationship Id="rId3" Type="http://schemas.openxmlformats.org/officeDocument/2006/relationships/chart" Target="../charts/chart273.xml"/><Relationship Id="rId7" Type="http://schemas.openxmlformats.org/officeDocument/2006/relationships/chart" Target="../charts/chart277.xml"/><Relationship Id="rId2" Type="http://schemas.openxmlformats.org/officeDocument/2006/relationships/chart" Target="../charts/chart272.xml"/><Relationship Id="rId1" Type="http://schemas.openxmlformats.org/officeDocument/2006/relationships/chart" Target="../charts/chart271.xml"/><Relationship Id="rId6" Type="http://schemas.openxmlformats.org/officeDocument/2006/relationships/chart" Target="../charts/chart276.xml"/><Relationship Id="rId5" Type="http://schemas.openxmlformats.org/officeDocument/2006/relationships/chart" Target="../charts/chart275.xml"/><Relationship Id="rId4" Type="http://schemas.openxmlformats.org/officeDocument/2006/relationships/chart" Target="../charts/chart27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25879</xdr:colOff>
      <xdr:row>53</xdr:row>
      <xdr:rowOff>15456</xdr:rowOff>
    </xdr:from>
    <xdr:to>
      <xdr:col>22</xdr:col>
      <xdr:colOff>77278</xdr:colOff>
      <xdr:row>70</xdr:row>
      <xdr:rowOff>89859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31</xdr:row>
      <xdr:rowOff>152399</xdr:rowOff>
    </xdr:from>
    <xdr:to>
      <xdr:col>18</xdr:col>
      <xdr:colOff>333375</xdr:colOff>
      <xdr:row>51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136071</xdr:colOff>
      <xdr:row>10</xdr:row>
      <xdr:rowOff>85725</xdr:rowOff>
    </xdr:from>
    <xdr:to>
      <xdr:col>6</xdr:col>
      <xdr:colOff>285749</xdr:colOff>
      <xdr:row>19</xdr:row>
      <xdr:rowOff>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394800</xdr:colOff>
      <xdr:row>10</xdr:row>
      <xdr:rowOff>87669</xdr:rowOff>
    </xdr:from>
    <xdr:to>
      <xdr:col>10</xdr:col>
      <xdr:colOff>276225</xdr:colOff>
      <xdr:row>19</xdr:row>
      <xdr:rowOff>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458948</xdr:colOff>
      <xdr:row>10</xdr:row>
      <xdr:rowOff>154538</xdr:rowOff>
    </xdr:from>
    <xdr:to>
      <xdr:col>15</xdr:col>
      <xdr:colOff>333374</xdr:colOff>
      <xdr:row>19</xdr:row>
      <xdr:rowOff>57343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136069</xdr:colOff>
      <xdr:row>22</xdr:row>
      <xdr:rowOff>9721</xdr:rowOff>
    </xdr:from>
    <xdr:to>
      <xdr:col>5</xdr:col>
      <xdr:colOff>457200</xdr:colOff>
      <xdr:row>33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4664</xdr:colOff>
      <xdr:row>22</xdr:row>
      <xdr:rowOff>9914</xdr:rowOff>
    </xdr:from>
    <xdr:to>
      <xdr:col>9</xdr:col>
      <xdr:colOff>295275</xdr:colOff>
      <xdr:row>33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428625</xdr:colOff>
      <xdr:row>22</xdr:row>
      <xdr:rowOff>389</xdr:rowOff>
    </xdr:from>
    <xdr:to>
      <xdr:col>14</xdr:col>
      <xdr:colOff>323850</xdr:colOff>
      <xdr:row>33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165229</xdr:colOff>
      <xdr:row>36</xdr:row>
      <xdr:rowOff>29158</xdr:rowOff>
    </xdr:from>
    <xdr:to>
      <xdr:col>7</xdr:col>
      <xdr:colOff>0</xdr:colOff>
      <xdr:row>47</xdr:row>
      <xdr:rowOff>48597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514350</xdr:colOff>
      <xdr:row>36</xdr:row>
      <xdr:rowOff>29158</xdr:rowOff>
    </xdr:from>
    <xdr:to>
      <xdr:col>11</xdr:col>
      <xdr:colOff>571500</xdr:colOff>
      <xdr:row>47</xdr:row>
      <xdr:rowOff>38878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136070</xdr:colOff>
      <xdr:row>10</xdr:row>
      <xdr:rowOff>85725</xdr:rowOff>
    </xdr:from>
    <xdr:to>
      <xdr:col>7</xdr:col>
      <xdr:colOff>1114424</xdr:colOff>
      <xdr:row>19</xdr:row>
      <xdr:rowOff>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61425</xdr:colOff>
      <xdr:row>10</xdr:row>
      <xdr:rowOff>97194</xdr:rowOff>
    </xdr:from>
    <xdr:to>
      <xdr:col>14</xdr:col>
      <xdr:colOff>0</xdr:colOff>
      <xdr:row>19</xdr:row>
      <xdr:rowOff>9817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392273</xdr:colOff>
      <xdr:row>10</xdr:row>
      <xdr:rowOff>114300</xdr:rowOff>
    </xdr:from>
    <xdr:to>
      <xdr:col>19</xdr:col>
      <xdr:colOff>428625</xdr:colOff>
      <xdr:row>19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136069</xdr:colOff>
      <xdr:row>22</xdr:row>
      <xdr:rowOff>9721</xdr:rowOff>
    </xdr:from>
    <xdr:to>
      <xdr:col>5</xdr:col>
      <xdr:colOff>457200</xdr:colOff>
      <xdr:row>33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4664</xdr:colOff>
      <xdr:row>22</xdr:row>
      <xdr:rowOff>9914</xdr:rowOff>
    </xdr:from>
    <xdr:to>
      <xdr:col>9</xdr:col>
      <xdr:colOff>295275</xdr:colOff>
      <xdr:row>33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428625</xdr:colOff>
      <xdr:row>22</xdr:row>
      <xdr:rowOff>389</xdr:rowOff>
    </xdr:from>
    <xdr:to>
      <xdr:col>14</xdr:col>
      <xdr:colOff>323850</xdr:colOff>
      <xdr:row>33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165229</xdr:colOff>
      <xdr:row>36</xdr:row>
      <xdr:rowOff>29158</xdr:rowOff>
    </xdr:from>
    <xdr:to>
      <xdr:col>7</xdr:col>
      <xdr:colOff>247650</xdr:colOff>
      <xdr:row>47</xdr:row>
      <xdr:rowOff>48597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342900</xdr:colOff>
      <xdr:row>36</xdr:row>
      <xdr:rowOff>29158</xdr:rowOff>
    </xdr:from>
    <xdr:to>
      <xdr:col>12</xdr:col>
      <xdr:colOff>809625</xdr:colOff>
      <xdr:row>47</xdr:row>
      <xdr:rowOff>38878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136071</xdr:colOff>
      <xdr:row>12</xdr:row>
      <xdr:rowOff>85725</xdr:rowOff>
    </xdr:from>
    <xdr:to>
      <xdr:col>6</xdr:col>
      <xdr:colOff>285749</xdr:colOff>
      <xdr:row>21</xdr:row>
      <xdr:rowOff>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FD730-90F0-4A01-B3BA-C97C5BEBC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394800</xdr:colOff>
      <xdr:row>12</xdr:row>
      <xdr:rowOff>87669</xdr:rowOff>
    </xdr:from>
    <xdr:to>
      <xdr:col>10</xdr:col>
      <xdr:colOff>276225</xdr:colOff>
      <xdr:row>21</xdr:row>
      <xdr:rowOff>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69BDBF-3FD4-420D-8E26-7C247266F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458948</xdr:colOff>
      <xdr:row>12</xdr:row>
      <xdr:rowOff>154538</xdr:rowOff>
    </xdr:from>
    <xdr:to>
      <xdr:col>15</xdr:col>
      <xdr:colOff>333374</xdr:colOff>
      <xdr:row>21</xdr:row>
      <xdr:rowOff>57343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012E51-4461-4C7A-8FAC-7AB8701B5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136069</xdr:colOff>
      <xdr:row>24</xdr:row>
      <xdr:rowOff>9721</xdr:rowOff>
    </xdr:from>
    <xdr:to>
      <xdr:col>5</xdr:col>
      <xdr:colOff>457200</xdr:colOff>
      <xdr:row>35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40B215-35C8-4FF7-B24B-30765BEF9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4664</xdr:colOff>
      <xdr:row>24</xdr:row>
      <xdr:rowOff>9914</xdr:rowOff>
    </xdr:from>
    <xdr:to>
      <xdr:col>9</xdr:col>
      <xdr:colOff>295275</xdr:colOff>
      <xdr:row>35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7F3438-821B-42C9-9BCB-25DF99215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428625</xdr:colOff>
      <xdr:row>24</xdr:row>
      <xdr:rowOff>389</xdr:rowOff>
    </xdr:from>
    <xdr:to>
      <xdr:col>14</xdr:col>
      <xdr:colOff>323850</xdr:colOff>
      <xdr:row>35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DF0788-F36D-4B5D-919E-AE9A0714B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165229</xdr:colOff>
      <xdr:row>38</xdr:row>
      <xdr:rowOff>29158</xdr:rowOff>
    </xdr:from>
    <xdr:to>
      <xdr:col>7</xdr:col>
      <xdr:colOff>0</xdr:colOff>
      <xdr:row>49</xdr:row>
      <xdr:rowOff>48597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CAEFB9-A2E1-4B3C-87B2-73B502B60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514350</xdr:colOff>
      <xdr:row>38</xdr:row>
      <xdr:rowOff>29158</xdr:rowOff>
    </xdr:from>
    <xdr:to>
      <xdr:col>11</xdr:col>
      <xdr:colOff>571500</xdr:colOff>
      <xdr:row>49</xdr:row>
      <xdr:rowOff>38878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9D6DF8-E263-42E7-ABCE-58BBCE8D5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136071</xdr:colOff>
      <xdr:row>10</xdr:row>
      <xdr:rowOff>85725</xdr:rowOff>
    </xdr:from>
    <xdr:to>
      <xdr:col>6</xdr:col>
      <xdr:colOff>285749</xdr:colOff>
      <xdr:row>19</xdr:row>
      <xdr:rowOff>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394800</xdr:colOff>
      <xdr:row>10</xdr:row>
      <xdr:rowOff>87669</xdr:rowOff>
    </xdr:from>
    <xdr:to>
      <xdr:col>10</xdr:col>
      <xdr:colOff>276225</xdr:colOff>
      <xdr:row>19</xdr:row>
      <xdr:rowOff>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458948</xdr:colOff>
      <xdr:row>10</xdr:row>
      <xdr:rowOff>154538</xdr:rowOff>
    </xdr:from>
    <xdr:to>
      <xdr:col>15</xdr:col>
      <xdr:colOff>333374</xdr:colOff>
      <xdr:row>19</xdr:row>
      <xdr:rowOff>57343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209549</xdr:colOff>
      <xdr:row>22</xdr:row>
      <xdr:rowOff>9721</xdr:rowOff>
    </xdr:from>
    <xdr:to>
      <xdr:col>5</xdr:col>
      <xdr:colOff>457199</xdr:colOff>
      <xdr:row>33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4664</xdr:colOff>
      <xdr:row>22</xdr:row>
      <xdr:rowOff>9914</xdr:rowOff>
    </xdr:from>
    <xdr:to>
      <xdr:col>9</xdr:col>
      <xdr:colOff>295275</xdr:colOff>
      <xdr:row>33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428625</xdr:colOff>
      <xdr:row>22</xdr:row>
      <xdr:rowOff>389</xdr:rowOff>
    </xdr:from>
    <xdr:to>
      <xdr:col>14</xdr:col>
      <xdr:colOff>323850</xdr:colOff>
      <xdr:row>33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165229</xdr:colOff>
      <xdr:row>36</xdr:row>
      <xdr:rowOff>29158</xdr:rowOff>
    </xdr:from>
    <xdr:to>
      <xdr:col>7</xdr:col>
      <xdr:colOff>0</xdr:colOff>
      <xdr:row>47</xdr:row>
      <xdr:rowOff>48597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514350</xdr:colOff>
      <xdr:row>36</xdr:row>
      <xdr:rowOff>29158</xdr:rowOff>
    </xdr:from>
    <xdr:to>
      <xdr:col>11</xdr:col>
      <xdr:colOff>571500</xdr:colOff>
      <xdr:row>47</xdr:row>
      <xdr:rowOff>38878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136071</xdr:colOff>
      <xdr:row>10</xdr:row>
      <xdr:rowOff>85725</xdr:rowOff>
    </xdr:from>
    <xdr:to>
      <xdr:col>6</xdr:col>
      <xdr:colOff>285749</xdr:colOff>
      <xdr:row>19</xdr:row>
      <xdr:rowOff>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394800</xdr:colOff>
      <xdr:row>10</xdr:row>
      <xdr:rowOff>87669</xdr:rowOff>
    </xdr:from>
    <xdr:to>
      <xdr:col>10</xdr:col>
      <xdr:colOff>276225</xdr:colOff>
      <xdr:row>19</xdr:row>
      <xdr:rowOff>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458948</xdr:colOff>
      <xdr:row>10</xdr:row>
      <xdr:rowOff>154538</xdr:rowOff>
    </xdr:from>
    <xdr:to>
      <xdr:col>15</xdr:col>
      <xdr:colOff>333374</xdr:colOff>
      <xdr:row>19</xdr:row>
      <xdr:rowOff>57343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136069</xdr:colOff>
      <xdr:row>22</xdr:row>
      <xdr:rowOff>9721</xdr:rowOff>
    </xdr:from>
    <xdr:to>
      <xdr:col>5</xdr:col>
      <xdr:colOff>457200</xdr:colOff>
      <xdr:row>33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4664</xdr:colOff>
      <xdr:row>22</xdr:row>
      <xdr:rowOff>9914</xdr:rowOff>
    </xdr:from>
    <xdr:to>
      <xdr:col>9</xdr:col>
      <xdr:colOff>295275</xdr:colOff>
      <xdr:row>33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428625</xdr:colOff>
      <xdr:row>22</xdr:row>
      <xdr:rowOff>389</xdr:rowOff>
    </xdr:from>
    <xdr:to>
      <xdr:col>14</xdr:col>
      <xdr:colOff>323850</xdr:colOff>
      <xdr:row>33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165229</xdr:colOff>
      <xdr:row>36</xdr:row>
      <xdr:rowOff>29158</xdr:rowOff>
    </xdr:from>
    <xdr:to>
      <xdr:col>7</xdr:col>
      <xdr:colOff>0</xdr:colOff>
      <xdr:row>47</xdr:row>
      <xdr:rowOff>48597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514350</xdr:colOff>
      <xdr:row>36</xdr:row>
      <xdr:rowOff>29158</xdr:rowOff>
    </xdr:from>
    <xdr:to>
      <xdr:col>11</xdr:col>
      <xdr:colOff>571500</xdr:colOff>
      <xdr:row>47</xdr:row>
      <xdr:rowOff>38878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136071</xdr:colOff>
      <xdr:row>10</xdr:row>
      <xdr:rowOff>85725</xdr:rowOff>
    </xdr:from>
    <xdr:to>
      <xdr:col>6</xdr:col>
      <xdr:colOff>285749</xdr:colOff>
      <xdr:row>19</xdr:row>
      <xdr:rowOff>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432900</xdr:colOff>
      <xdr:row>10</xdr:row>
      <xdr:rowOff>106719</xdr:rowOff>
    </xdr:from>
    <xdr:to>
      <xdr:col>10</xdr:col>
      <xdr:colOff>314325</xdr:colOff>
      <xdr:row>19</xdr:row>
      <xdr:rowOff>19342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458948</xdr:colOff>
      <xdr:row>10</xdr:row>
      <xdr:rowOff>104775</xdr:rowOff>
    </xdr:from>
    <xdr:to>
      <xdr:col>15</xdr:col>
      <xdr:colOff>333374</xdr:colOff>
      <xdr:row>19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136069</xdr:colOff>
      <xdr:row>22</xdr:row>
      <xdr:rowOff>9721</xdr:rowOff>
    </xdr:from>
    <xdr:to>
      <xdr:col>5</xdr:col>
      <xdr:colOff>457200</xdr:colOff>
      <xdr:row>33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4664</xdr:colOff>
      <xdr:row>22</xdr:row>
      <xdr:rowOff>9914</xdr:rowOff>
    </xdr:from>
    <xdr:to>
      <xdr:col>9</xdr:col>
      <xdr:colOff>295275</xdr:colOff>
      <xdr:row>33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428625</xdr:colOff>
      <xdr:row>22</xdr:row>
      <xdr:rowOff>389</xdr:rowOff>
    </xdr:from>
    <xdr:to>
      <xdr:col>14</xdr:col>
      <xdr:colOff>323850</xdr:colOff>
      <xdr:row>33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165229</xdr:colOff>
      <xdr:row>36</xdr:row>
      <xdr:rowOff>29158</xdr:rowOff>
    </xdr:from>
    <xdr:to>
      <xdr:col>7</xdr:col>
      <xdr:colOff>0</xdr:colOff>
      <xdr:row>47</xdr:row>
      <xdr:rowOff>48597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514350</xdr:colOff>
      <xdr:row>36</xdr:row>
      <xdr:rowOff>29158</xdr:rowOff>
    </xdr:from>
    <xdr:to>
      <xdr:col>11</xdr:col>
      <xdr:colOff>571500</xdr:colOff>
      <xdr:row>47</xdr:row>
      <xdr:rowOff>38878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136071</xdr:colOff>
      <xdr:row>10</xdr:row>
      <xdr:rowOff>85725</xdr:rowOff>
    </xdr:from>
    <xdr:to>
      <xdr:col>6</xdr:col>
      <xdr:colOff>285749</xdr:colOff>
      <xdr:row>19</xdr:row>
      <xdr:rowOff>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394800</xdr:colOff>
      <xdr:row>10</xdr:row>
      <xdr:rowOff>87669</xdr:rowOff>
    </xdr:from>
    <xdr:to>
      <xdr:col>10</xdr:col>
      <xdr:colOff>276225</xdr:colOff>
      <xdr:row>19</xdr:row>
      <xdr:rowOff>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458948</xdr:colOff>
      <xdr:row>10</xdr:row>
      <xdr:rowOff>154538</xdr:rowOff>
    </xdr:from>
    <xdr:to>
      <xdr:col>15</xdr:col>
      <xdr:colOff>333374</xdr:colOff>
      <xdr:row>19</xdr:row>
      <xdr:rowOff>57343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136069</xdr:colOff>
      <xdr:row>22</xdr:row>
      <xdr:rowOff>9721</xdr:rowOff>
    </xdr:from>
    <xdr:to>
      <xdr:col>5</xdr:col>
      <xdr:colOff>457200</xdr:colOff>
      <xdr:row>33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4664</xdr:colOff>
      <xdr:row>22</xdr:row>
      <xdr:rowOff>9914</xdr:rowOff>
    </xdr:from>
    <xdr:to>
      <xdr:col>9</xdr:col>
      <xdr:colOff>295275</xdr:colOff>
      <xdr:row>33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428625</xdr:colOff>
      <xdr:row>22</xdr:row>
      <xdr:rowOff>389</xdr:rowOff>
    </xdr:from>
    <xdr:to>
      <xdr:col>14</xdr:col>
      <xdr:colOff>323850</xdr:colOff>
      <xdr:row>33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165229</xdr:colOff>
      <xdr:row>36</xdr:row>
      <xdr:rowOff>29158</xdr:rowOff>
    </xdr:from>
    <xdr:to>
      <xdr:col>7</xdr:col>
      <xdr:colOff>0</xdr:colOff>
      <xdr:row>47</xdr:row>
      <xdr:rowOff>48597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514350</xdr:colOff>
      <xdr:row>36</xdr:row>
      <xdr:rowOff>29158</xdr:rowOff>
    </xdr:from>
    <xdr:to>
      <xdr:col>11</xdr:col>
      <xdr:colOff>571500</xdr:colOff>
      <xdr:row>47</xdr:row>
      <xdr:rowOff>38878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136071</xdr:colOff>
      <xdr:row>12</xdr:row>
      <xdr:rowOff>85725</xdr:rowOff>
    </xdr:from>
    <xdr:to>
      <xdr:col>6</xdr:col>
      <xdr:colOff>285749</xdr:colOff>
      <xdr:row>21</xdr:row>
      <xdr:rowOff>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394800</xdr:colOff>
      <xdr:row>12</xdr:row>
      <xdr:rowOff>87669</xdr:rowOff>
    </xdr:from>
    <xdr:to>
      <xdr:col>10</xdr:col>
      <xdr:colOff>276225</xdr:colOff>
      <xdr:row>21</xdr:row>
      <xdr:rowOff>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458948</xdr:colOff>
      <xdr:row>12</xdr:row>
      <xdr:rowOff>154538</xdr:rowOff>
    </xdr:from>
    <xdr:to>
      <xdr:col>15</xdr:col>
      <xdr:colOff>333374</xdr:colOff>
      <xdr:row>21</xdr:row>
      <xdr:rowOff>57343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136069</xdr:colOff>
      <xdr:row>24</xdr:row>
      <xdr:rowOff>9721</xdr:rowOff>
    </xdr:from>
    <xdr:to>
      <xdr:col>5</xdr:col>
      <xdr:colOff>457200</xdr:colOff>
      <xdr:row>35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4664</xdr:colOff>
      <xdr:row>24</xdr:row>
      <xdr:rowOff>9914</xdr:rowOff>
    </xdr:from>
    <xdr:to>
      <xdr:col>9</xdr:col>
      <xdr:colOff>295275</xdr:colOff>
      <xdr:row>35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428625</xdr:colOff>
      <xdr:row>24</xdr:row>
      <xdr:rowOff>389</xdr:rowOff>
    </xdr:from>
    <xdr:to>
      <xdr:col>14</xdr:col>
      <xdr:colOff>323850</xdr:colOff>
      <xdr:row>35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165229</xdr:colOff>
      <xdr:row>38</xdr:row>
      <xdr:rowOff>29158</xdr:rowOff>
    </xdr:from>
    <xdr:to>
      <xdr:col>7</xdr:col>
      <xdr:colOff>0</xdr:colOff>
      <xdr:row>49</xdr:row>
      <xdr:rowOff>48597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514350</xdr:colOff>
      <xdr:row>38</xdr:row>
      <xdr:rowOff>29158</xdr:rowOff>
    </xdr:from>
    <xdr:to>
      <xdr:col>11</xdr:col>
      <xdr:colOff>571500</xdr:colOff>
      <xdr:row>49</xdr:row>
      <xdr:rowOff>38878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136071</xdr:colOff>
      <xdr:row>10</xdr:row>
      <xdr:rowOff>85725</xdr:rowOff>
    </xdr:from>
    <xdr:to>
      <xdr:col>6</xdr:col>
      <xdr:colOff>285749</xdr:colOff>
      <xdr:row>19</xdr:row>
      <xdr:rowOff>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394800</xdr:colOff>
      <xdr:row>10</xdr:row>
      <xdr:rowOff>87669</xdr:rowOff>
    </xdr:from>
    <xdr:to>
      <xdr:col>10</xdr:col>
      <xdr:colOff>276225</xdr:colOff>
      <xdr:row>19</xdr:row>
      <xdr:rowOff>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458948</xdr:colOff>
      <xdr:row>10</xdr:row>
      <xdr:rowOff>154538</xdr:rowOff>
    </xdr:from>
    <xdr:to>
      <xdr:col>15</xdr:col>
      <xdr:colOff>333374</xdr:colOff>
      <xdr:row>19</xdr:row>
      <xdr:rowOff>57343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136069</xdr:colOff>
      <xdr:row>22</xdr:row>
      <xdr:rowOff>9721</xdr:rowOff>
    </xdr:from>
    <xdr:to>
      <xdr:col>5</xdr:col>
      <xdr:colOff>457200</xdr:colOff>
      <xdr:row>33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4664</xdr:colOff>
      <xdr:row>22</xdr:row>
      <xdr:rowOff>9914</xdr:rowOff>
    </xdr:from>
    <xdr:to>
      <xdr:col>9</xdr:col>
      <xdr:colOff>295275</xdr:colOff>
      <xdr:row>33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428625</xdr:colOff>
      <xdr:row>22</xdr:row>
      <xdr:rowOff>389</xdr:rowOff>
    </xdr:from>
    <xdr:to>
      <xdr:col>14</xdr:col>
      <xdr:colOff>323850</xdr:colOff>
      <xdr:row>33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165229</xdr:colOff>
      <xdr:row>36</xdr:row>
      <xdr:rowOff>29158</xdr:rowOff>
    </xdr:from>
    <xdr:to>
      <xdr:col>7</xdr:col>
      <xdr:colOff>0</xdr:colOff>
      <xdr:row>47</xdr:row>
      <xdr:rowOff>48597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514350</xdr:colOff>
      <xdr:row>36</xdr:row>
      <xdr:rowOff>29158</xdr:rowOff>
    </xdr:from>
    <xdr:to>
      <xdr:col>11</xdr:col>
      <xdr:colOff>571500</xdr:colOff>
      <xdr:row>47</xdr:row>
      <xdr:rowOff>38878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136071</xdr:colOff>
      <xdr:row>10</xdr:row>
      <xdr:rowOff>85725</xdr:rowOff>
    </xdr:from>
    <xdr:to>
      <xdr:col>6</xdr:col>
      <xdr:colOff>285749</xdr:colOff>
      <xdr:row>19</xdr:row>
      <xdr:rowOff>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394800</xdr:colOff>
      <xdr:row>10</xdr:row>
      <xdr:rowOff>87669</xdr:rowOff>
    </xdr:from>
    <xdr:to>
      <xdr:col>10</xdr:col>
      <xdr:colOff>276225</xdr:colOff>
      <xdr:row>19</xdr:row>
      <xdr:rowOff>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458948</xdr:colOff>
      <xdr:row>10</xdr:row>
      <xdr:rowOff>154538</xdr:rowOff>
    </xdr:from>
    <xdr:to>
      <xdr:col>15</xdr:col>
      <xdr:colOff>333374</xdr:colOff>
      <xdr:row>19</xdr:row>
      <xdr:rowOff>57343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136069</xdr:colOff>
      <xdr:row>22</xdr:row>
      <xdr:rowOff>9721</xdr:rowOff>
    </xdr:from>
    <xdr:to>
      <xdr:col>5</xdr:col>
      <xdr:colOff>457200</xdr:colOff>
      <xdr:row>33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4664</xdr:colOff>
      <xdr:row>22</xdr:row>
      <xdr:rowOff>9914</xdr:rowOff>
    </xdr:from>
    <xdr:to>
      <xdr:col>9</xdr:col>
      <xdr:colOff>295275</xdr:colOff>
      <xdr:row>33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428625</xdr:colOff>
      <xdr:row>22</xdr:row>
      <xdr:rowOff>389</xdr:rowOff>
    </xdr:from>
    <xdr:to>
      <xdr:col>14</xdr:col>
      <xdr:colOff>323850</xdr:colOff>
      <xdr:row>33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165229</xdr:colOff>
      <xdr:row>36</xdr:row>
      <xdr:rowOff>29158</xdr:rowOff>
    </xdr:from>
    <xdr:to>
      <xdr:col>7</xdr:col>
      <xdr:colOff>0</xdr:colOff>
      <xdr:row>47</xdr:row>
      <xdr:rowOff>48597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514350</xdr:colOff>
      <xdr:row>36</xdr:row>
      <xdr:rowOff>29158</xdr:rowOff>
    </xdr:from>
    <xdr:to>
      <xdr:col>11</xdr:col>
      <xdr:colOff>571500</xdr:colOff>
      <xdr:row>47</xdr:row>
      <xdr:rowOff>38878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351233</xdr:colOff>
      <xdr:row>35</xdr:row>
      <xdr:rowOff>133349</xdr:rowOff>
    </xdr:from>
    <xdr:to>
      <xdr:col>10</xdr:col>
      <xdr:colOff>819149</xdr:colOff>
      <xdr:row>49</xdr:row>
      <xdr:rowOff>158352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35</xdr:row>
      <xdr:rowOff>108346</xdr:rowOff>
    </xdr:from>
    <xdr:to>
      <xdr:col>20</xdr:col>
      <xdr:colOff>600075</xdr:colOff>
      <xdr:row>50</xdr:row>
      <xdr:rowOff>63499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377428</xdr:colOff>
      <xdr:row>52</xdr:row>
      <xdr:rowOff>70246</xdr:rowOff>
    </xdr:from>
    <xdr:to>
      <xdr:col>10</xdr:col>
      <xdr:colOff>809625</xdr:colOff>
      <xdr:row>66</xdr:row>
      <xdr:rowOff>146446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380999</xdr:colOff>
      <xdr:row>70</xdr:row>
      <xdr:rowOff>85724</xdr:rowOff>
    </xdr:from>
    <xdr:to>
      <xdr:col>10</xdr:col>
      <xdr:colOff>819149</xdr:colOff>
      <xdr:row>86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590549</xdr:colOff>
      <xdr:row>70</xdr:row>
      <xdr:rowOff>95249</xdr:rowOff>
    </xdr:from>
    <xdr:to>
      <xdr:col>20</xdr:col>
      <xdr:colOff>581025</xdr:colOff>
      <xdr:row>85</xdr:row>
      <xdr:rowOff>95249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590549</xdr:colOff>
      <xdr:row>52</xdr:row>
      <xdr:rowOff>0</xdr:rowOff>
    </xdr:from>
    <xdr:to>
      <xdr:col>20</xdr:col>
      <xdr:colOff>603250</xdr:colOff>
      <xdr:row>66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136071</xdr:colOff>
      <xdr:row>10</xdr:row>
      <xdr:rowOff>85725</xdr:rowOff>
    </xdr:from>
    <xdr:to>
      <xdr:col>6</xdr:col>
      <xdr:colOff>285749</xdr:colOff>
      <xdr:row>19</xdr:row>
      <xdr:rowOff>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394800</xdr:colOff>
      <xdr:row>10</xdr:row>
      <xdr:rowOff>87669</xdr:rowOff>
    </xdr:from>
    <xdr:to>
      <xdr:col>10</xdr:col>
      <xdr:colOff>276225</xdr:colOff>
      <xdr:row>19</xdr:row>
      <xdr:rowOff>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458948</xdr:colOff>
      <xdr:row>10</xdr:row>
      <xdr:rowOff>154538</xdr:rowOff>
    </xdr:from>
    <xdr:to>
      <xdr:col>15</xdr:col>
      <xdr:colOff>333374</xdr:colOff>
      <xdr:row>19</xdr:row>
      <xdr:rowOff>57343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136069</xdr:colOff>
      <xdr:row>22</xdr:row>
      <xdr:rowOff>9721</xdr:rowOff>
    </xdr:from>
    <xdr:to>
      <xdr:col>5</xdr:col>
      <xdr:colOff>457200</xdr:colOff>
      <xdr:row>33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4664</xdr:colOff>
      <xdr:row>22</xdr:row>
      <xdr:rowOff>9914</xdr:rowOff>
    </xdr:from>
    <xdr:to>
      <xdr:col>9</xdr:col>
      <xdr:colOff>295275</xdr:colOff>
      <xdr:row>33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428625</xdr:colOff>
      <xdr:row>22</xdr:row>
      <xdr:rowOff>389</xdr:rowOff>
    </xdr:from>
    <xdr:to>
      <xdr:col>14</xdr:col>
      <xdr:colOff>323850</xdr:colOff>
      <xdr:row>33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165229</xdr:colOff>
      <xdr:row>36</xdr:row>
      <xdr:rowOff>29158</xdr:rowOff>
    </xdr:from>
    <xdr:to>
      <xdr:col>7</xdr:col>
      <xdr:colOff>0</xdr:colOff>
      <xdr:row>47</xdr:row>
      <xdr:rowOff>48597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514350</xdr:colOff>
      <xdr:row>36</xdr:row>
      <xdr:rowOff>29158</xdr:rowOff>
    </xdr:from>
    <xdr:to>
      <xdr:col>11</xdr:col>
      <xdr:colOff>571500</xdr:colOff>
      <xdr:row>47</xdr:row>
      <xdr:rowOff>38878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164646</xdr:colOff>
      <xdr:row>11</xdr:row>
      <xdr:rowOff>228600</xdr:rowOff>
    </xdr:from>
    <xdr:to>
      <xdr:col>6</xdr:col>
      <xdr:colOff>314324</xdr:colOff>
      <xdr:row>20</xdr:row>
      <xdr:rowOff>47724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394800</xdr:colOff>
      <xdr:row>12</xdr:row>
      <xdr:rowOff>87669</xdr:rowOff>
    </xdr:from>
    <xdr:to>
      <xdr:col>10</xdr:col>
      <xdr:colOff>276225</xdr:colOff>
      <xdr:row>21</xdr:row>
      <xdr:rowOff>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458948</xdr:colOff>
      <xdr:row>12</xdr:row>
      <xdr:rowOff>154538</xdr:rowOff>
    </xdr:from>
    <xdr:to>
      <xdr:col>15</xdr:col>
      <xdr:colOff>333374</xdr:colOff>
      <xdr:row>21</xdr:row>
      <xdr:rowOff>57343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136069</xdr:colOff>
      <xdr:row>24</xdr:row>
      <xdr:rowOff>9721</xdr:rowOff>
    </xdr:from>
    <xdr:to>
      <xdr:col>5</xdr:col>
      <xdr:colOff>457200</xdr:colOff>
      <xdr:row>35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4664</xdr:colOff>
      <xdr:row>24</xdr:row>
      <xdr:rowOff>9914</xdr:rowOff>
    </xdr:from>
    <xdr:to>
      <xdr:col>9</xdr:col>
      <xdr:colOff>295275</xdr:colOff>
      <xdr:row>35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428625</xdr:colOff>
      <xdr:row>24</xdr:row>
      <xdr:rowOff>389</xdr:rowOff>
    </xdr:from>
    <xdr:to>
      <xdr:col>14</xdr:col>
      <xdr:colOff>323850</xdr:colOff>
      <xdr:row>35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165229</xdr:colOff>
      <xdr:row>38</xdr:row>
      <xdr:rowOff>29158</xdr:rowOff>
    </xdr:from>
    <xdr:to>
      <xdr:col>7</xdr:col>
      <xdr:colOff>0</xdr:colOff>
      <xdr:row>49</xdr:row>
      <xdr:rowOff>48597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514350</xdr:colOff>
      <xdr:row>38</xdr:row>
      <xdr:rowOff>29158</xdr:rowOff>
    </xdr:from>
    <xdr:to>
      <xdr:col>11</xdr:col>
      <xdr:colOff>571500</xdr:colOff>
      <xdr:row>49</xdr:row>
      <xdr:rowOff>38878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136071</xdr:colOff>
      <xdr:row>10</xdr:row>
      <xdr:rowOff>85725</xdr:rowOff>
    </xdr:from>
    <xdr:to>
      <xdr:col>6</xdr:col>
      <xdr:colOff>285749</xdr:colOff>
      <xdr:row>19</xdr:row>
      <xdr:rowOff>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394800</xdr:colOff>
      <xdr:row>10</xdr:row>
      <xdr:rowOff>87669</xdr:rowOff>
    </xdr:from>
    <xdr:to>
      <xdr:col>10</xdr:col>
      <xdr:colOff>276225</xdr:colOff>
      <xdr:row>19</xdr:row>
      <xdr:rowOff>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458948</xdr:colOff>
      <xdr:row>10</xdr:row>
      <xdr:rowOff>154538</xdr:rowOff>
    </xdr:from>
    <xdr:to>
      <xdr:col>15</xdr:col>
      <xdr:colOff>333374</xdr:colOff>
      <xdr:row>19</xdr:row>
      <xdr:rowOff>57343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136069</xdr:colOff>
      <xdr:row>22</xdr:row>
      <xdr:rowOff>9721</xdr:rowOff>
    </xdr:from>
    <xdr:to>
      <xdr:col>5</xdr:col>
      <xdr:colOff>457200</xdr:colOff>
      <xdr:row>33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4664</xdr:colOff>
      <xdr:row>22</xdr:row>
      <xdr:rowOff>9914</xdr:rowOff>
    </xdr:from>
    <xdr:to>
      <xdr:col>9</xdr:col>
      <xdr:colOff>295275</xdr:colOff>
      <xdr:row>33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428625</xdr:colOff>
      <xdr:row>22</xdr:row>
      <xdr:rowOff>389</xdr:rowOff>
    </xdr:from>
    <xdr:to>
      <xdr:col>14</xdr:col>
      <xdr:colOff>323850</xdr:colOff>
      <xdr:row>33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165229</xdr:colOff>
      <xdr:row>36</xdr:row>
      <xdr:rowOff>29158</xdr:rowOff>
    </xdr:from>
    <xdr:to>
      <xdr:col>7</xdr:col>
      <xdr:colOff>0</xdr:colOff>
      <xdr:row>47</xdr:row>
      <xdr:rowOff>48597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514350</xdr:colOff>
      <xdr:row>36</xdr:row>
      <xdr:rowOff>29158</xdr:rowOff>
    </xdr:from>
    <xdr:to>
      <xdr:col>11</xdr:col>
      <xdr:colOff>571500</xdr:colOff>
      <xdr:row>47</xdr:row>
      <xdr:rowOff>38878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136071</xdr:colOff>
      <xdr:row>22</xdr:row>
      <xdr:rowOff>85725</xdr:rowOff>
    </xdr:from>
    <xdr:to>
      <xdr:col>6</xdr:col>
      <xdr:colOff>285749</xdr:colOff>
      <xdr:row>31</xdr:row>
      <xdr:rowOff>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394800</xdr:colOff>
      <xdr:row>22</xdr:row>
      <xdr:rowOff>87669</xdr:rowOff>
    </xdr:from>
    <xdr:to>
      <xdr:col>10</xdr:col>
      <xdr:colOff>276225</xdr:colOff>
      <xdr:row>31</xdr:row>
      <xdr:rowOff>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458948</xdr:colOff>
      <xdr:row>22</xdr:row>
      <xdr:rowOff>154538</xdr:rowOff>
    </xdr:from>
    <xdr:to>
      <xdr:col>15</xdr:col>
      <xdr:colOff>333374</xdr:colOff>
      <xdr:row>31</xdr:row>
      <xdr:rowOff>57343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136069</xdr:colOff>
      <xdr:row>34</xdr:row>
      <xdr:rowOff>9721</xdr:rowOff>
    </xdr:from>
    <xdr:to>
      <xdr:col>5</xdr:col>
      <xdr:colOff>457200</xdr:colOff>
      <xdr:row>45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4664</xdr:colOff>
      <xdr:row>34</xdr:row>
      <xdr:rowOff>9914</xdr:rowOff>
    </xdr:from>
    <xdr:to>
      <xdr:col>9</xdr:col>
      <xdr:colOff>295275</xdr:colOff>
      <xdr:row>45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428625</xdr:colOff>
      <xdr:row>34</xdr:row>
      <xdr:rowOff>389</xdr:rowOff>
    </xdr:from>
    <xdr:to>
      <xdr:col>14</xdr:col>
      <xdr:colOff>323850</xdr:colOff>
      <xdr:row>45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165229</xdr:colOff>
      <xdr:row>48</xdr:row>
      <xdr:rowOff>29158</xdr:rowOff>
    </xdr:from>
    <xdr:to>
      <xdr:col>7</xdr:col>
      <xdr:colOff>0</xdr:colOff>
      <xdr:row>59</xdr:row>
      <xdr:rowOff>48597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514350</xdr:colOff>
      <xdr:row>48</xdr:row>
      <xdr:rowOff>29158</xdr:rowOff>
    </xdr:from>
    <xdr:to>
      <xdr:col>11</xdr:col>
      <xdr:colOff>571500</xdr:colOff>
      <xdr:row>59</xdr:row>
      <xdr:rowOff>38878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136071</xdr:colOff>
      <xdr:row>17</xdr:row>
      <xdr:rowOff>85725</xdr:rowOff>
    </xdr:from>
    <xdr:to>
      <xdr:col>6</xdr:col>
      <xdr:colOff>285749</xdr:colOff>
      <xdr:row>26</xdr:row>
      <xdr:rowOff>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394800</xdr:colOff>
      <xdr:row>17</xdr:row>
      <xdr:rowOff>87669</xdr:rowOff>
    </xdr:from>
    <xdr:to>
      <xdr:col>10</xdr:col>
      <xdr:colOff>276225</xdr:colOff>
      <xdr:row>26</xdr:row>
      <xdr:rowOff>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458948</xdr:colOff>
      <xdr:row>17</xdr:row>
      <xdr:rowOff>154538</xdr:rowOff>
    </xdr:from>
    <xdr:to>
      <xdr:col>15</xdr:col>
      <xdr:colOff>333374</xdr:colOff>
      <xdr:row>26</xdr:row>
      <xdr:rowOff>57343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136069</xdr:colOff>
      <xdr:row>29</xdr:row>
      <xdr:rowOff>9721</xdr:rowOff>
    </xdr:from>
    <xdr:to>
      <xdr:col>5</xdr:col>
      <xdr:colOff>457200</xdr:colOff>
      <xdr:row>40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4664</xdr:colOff>
      <xdr:row>29</xdr:row>
      <xdr:rowOff>9914</xdr:rowOff>
    </xdr:from>
    <xdr:to>
      <xdr:col>9</xdr:col>
      <xdr:colOff>295275</xdr:colOff>
      <xdr:row>40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428625</xdr:colOff>
      <xdr:row>29</xdr:row>
      <xdr:rowOff>389</xdr:rowOff>
    </xdr:from>
    <xdr:to>
      <xdr:col>14</xdr:col>
      <xdr:colOff>323850</xdr:colOff>
      <xdr:row>40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136071</xdr:colOff>
      <xdr:row>17</xdr:row>
      <xdr:rowOff>85725</xdr:rowOff>
    </xdr:from>
    <xdr:to>
      <xdr:col>6</xdr:col>
      <xdr:colOff>285749</xdr:colOff>
      <xdr:row>26</xdr:row>
      <xdr:rowOff>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394800</xdr:colOff>
      <xdr:row>17</xdr:row>
      <xdr:rowOff>87669</xdr:rowOff>
    </xdr:from>
    <xdr:to>
      <xdr:col>10</xdr:col>
      <xdr:colOff>276225</xdr:colOff>
      <xdr:row>26</xdr:row>
      <xdr:rowOff>292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458948</xdr:colOff>
      <xdr:row>17</xdr:row>
      <xdr:rowOff>154538</xdr:rowOff>
    </xdr:from>
    <xdr:to>
      <xdr:col>15</xdr:col>
      <xdr:colOff>333374</xdr:colOff>
      <xdr:row>26</xdr:row>
      <xdr:rowOff>57343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136069</xdr:colOff>
      <xdr:row>29</xdr:row>
      <xdr:rowOff>9721</xdr:rowOff>
    </xdr:from>
    <xdr:to>
      <xdr:col>5</xdr:col>
      <xdr:colOff>457200</xdr:colOff>
      <xdr:row>40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4664</xdr:colOff>
      <xdr:row>29</xdr:row>
      <xdr:rowOff>9914</xdr:rowOff>
    </xdr:from>
    <xdr:to>
      <xdr:col>9</xdr:col>
      <xdr:colOff>295275</xdr:colOff>
      <xdr:row>40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428625</xdr:colOff>
      <xdr:row>29</xdr:row>
      <xdr:rowOff>389</xdr:rowOff>
    </xdr:from>
    <xdr:to>
      <xdr:col>14</xdr:col>
      <xdr:colOff>323850</xdr:colOff>
      <xdr:row>40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8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7</xdr:col>
      <xdr:colOff>644396</xdr:colOff>
      <xdr:row>54</xdr:row>
      <xdr:rowOff>19439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12</xdr:col>
      <xdr:colOff>628650</xdr:colOff>
      <xdr:row>54</xdr:row>
      <xdr:rowOff>9720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8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136071</xdr:colOff>
      <xdr:row>17</xdr:row>
      <xdr:rowOff>85725</xdr:rowOff>
    </xdr:from>
    <xdr:to>
      <xdr:col>6</xdr:col>
      <xdr:colOff>285749</xdr:colOff>
      <xdr:row>26</xdr:row>
      <xdr:rowOff>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394800</xdr:colOff>
      <xdr:row>17</xdr:row>
      <xdr:rowOff>87669</xdr:rowOff>
    </xdr:from>
    <xdr:to>
      <xdr:col>10</xdr:col>
      <xdr:colOff>276225</xdr:colOff>
      <xdr:row>26</xdr:row>
      <xdr:rowOff>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458948</xdr:colOff>
      <xdr:row>17</xdr:row>
      <xdr:rowOff>154538</xdr:rowOff>
    </xdr:from>
    <xdr:to>
      <xdr:col>15</xdr:col>
      <xdr:colOff>333374</xdr:colOff>
      <xdr:row>26</xdr:row>
      <xdr:rowOff>57343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136069</xdr:colOff>
      <xdr:row>29</xdr:row>
      <xdr:rowOff>9721</xdr:rowOff>
    </xdr:from>
    <xdr:to>
      <xdr:col>5</xdr:col>
      <xdr:colOff>457200</xdr:colOff>
      <xdr:row>40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4664</xdr:colOff>
      <xdr:row>29</xdr:row>
      <xdr:rowOff>9914</xdr:rowOff>
    </xdr:from>
    <xdr:to>
      <xdr:col>9</xdr:col>
      <xdr:colOff>295275</xdr:colOff>
      <xdr:row>40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428625</xdr:colOff>
      <xdr:row>29</xdr:row>
      <xdr:rowOff>389</xdr:rowOff>
    </xdr:from>
    <xdr:to>
      <xdr:col>14</xdr:col>
      <xdr:colOff>323850</xdr:colOff>
      <xdr:row>40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1111121</xdr:colOff>
      <xdr:row>42</xdr:row>
      <xdr:rowOff>47625</xdr:rowOff>
    </xdr:from>
    <xdr:to>
      <xdr:col>12</xdr:col>
      <xdr:colOff>425321</xdr:colOff>
      <xdr:row>53</xdr:row>
      <xdr:rowOff>57345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171450</xdr:colOff>
      <xdr:row>42</xdr:row>
      <xdr:rowOff>19050</xdr:rowOff>
    </xdr:from>
    <xdr:to>
      <xdr:col>7</xdr:col>
      <xdr:colOff>158621</xdr:colOff>
      <xdr:row>53</xdr:row>
      <xdr:rowOff>38489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40</xdr:row>
      <xdr:rowOff>19050</xdr:rowOff>
    </xdr:from>
    <xdr:to>
      <xdr:col>7</xdr:col>
      <xdr:colOff>168146</xdr:colOff>
      <xdr:row>51</xdr:row>
      <xdr:rowOff>38489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136069</xdr:colOff>
      <xdr:row>39</xdr:row>
      <xdr:rowOff>0</xdr:rowOff>
    </xdr:from>
    <xdr:to>
      <xdr:col>5</xdr:col>
      <xdr:colOff>457200</xdr:colOff>
      <xdr:row>39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4664</xdr:colOff>
      <xdr:row>39</xdr:row>
      <xdr:rowOff>0</xdr:rowOff>
    </xdr:from>
    <xdr:to>
      <xdr:col>9</xdr:col>
      <xdr:colOff>295275</xdr:colOff>
      <xdr:row>39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428625</xdr:colOff>
      <xdr:row>39</xdr:row>
      <xdr:rowOff>0</xdr:rowOff>
    </xdr:from>
    <xdr:to>
      <xdr:col>14</xdr:col>
      <xdr:colOff>323850</xdr:colOff>
      <xdr:row>39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136071</xdr:colOff>
      <xdr:row>16</xdr:row>
      <xdr:rowOff>85725</xdr:rowOff>
    </xdr:from>
    <xdr:to>
      <xdr:col>6</xdr:col>
      <xdr:colOff>285749</xdr:colOff>
      <xdr:row>25</xdr:row>
      <xdr:rowOff>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394800</xdr:colOff>
      <xdr:row>16</xdr:row>
      <xdr:rowOff>87669</xdr:rowOff>
    </xdr:from>
    <xdr:to>
      <xdr:col>10</xdr:col>
      <xdr:colOff>276225</xdr:colOff>
      <xdr:row>25</xdr:row>
      <xdr:rowOff>292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458948</xdr:colOff>
      <xdr:row>16</xdr:row>
      <xdr:rowOff>154538</xdr:rowOff>
    </xdr:from>
    <xdr:to>
      <xdr:col>15</xdr:col>
      <xdr:colOff>333374</xdr:colOff>
      <xdr:row>25</xdr:row>
      <xdr:rowOff>57343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A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136069</xdr:colOff>
      <xdr:row>28</xdr:row>
      <xdr:rowOff>9721</xdr:rowOff>
    </xdr:from>
    <xdr:to>
      <xdr:col>5</xdr:col>
      <xdr:colOff>457200</xdr:colOff>
      <xdr:row>39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4664</xdr:colOff>
      <xdr:row>28</xdr:row>
      <xdr:rowOff>9914</xdr:rowOff>
    </xdr:from>
    <xdr:to>
      <xdr:col>9</xdr:col>
      <xdr:colOff>295275</xdr:colOff>
      <xdr:row>39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A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428625</xdr:colOff>
      <xdr:row>28</xdr:row>
      <xdr:rowOff>389</xdr:rowOff>
    </xdr:from>
    <xdr:to>
      <xdr:col>14</xdr:col>
      <xdr:colOff>323850</xdr:colOff>
      <xdr:row>39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A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12</xdr:col>
      <xdr:colOff>628650</xdr:colOff>
      <xdr:row>51</xdr:row>
      <xdr:rowOff>9720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A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136071</xdr:colOff>
      <xdr:row>15</xdr:row>
      <xdr:rowOff>85725</xdr:rowOff>
    </xdr:from>
    <xdr:to>
      <xdr:col>6</xdr:col>
      <xdr:colOff>285749</xdr:colOff>
      <xdr:row>24</xdr:row>
      <xdr:rowOff>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394800</xdr:colOff>
      <xdr:row>15</xdr:row>
      <xdr:rowOff>87669</xdr:rowOff>
    </xdr:from>
    <xdr:to>
      <xdr:col>10</xdr:col>
      <xdr:colOff>276225</xdr:colOff>
      <xdr:row>24</xdr:row>
      <xdr:rowOff>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136069</xdr:colOff>
      <xdr:row>27</xdr:row>
      <xdr:rowOff>9721</xdr:rowOff>
    </xdr:from>
    <xdr:to>
      <xdr:col>5</xdr:col>
      <xdr:colOff>457200</xdr:colOff>
      <xdr:row>38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4664</xdr:colOff>
      <xdr:row>27</xdr:row>
      <xdr:rowOff>9914</xdr:rowOff>
    </xdr:from>
    <xdr:to>
      <xdr:col>9</xdr:col>
      <xdr:colOff>295275</xdr:colOff>
      <xdr:row>38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428625</xdr:colOff>
      <xdr:row>27</xdr:row>
      <xdr:rowOff>389</xdr:rowOff>
    </xdr:from>
    <xdr:to>
      <xdr:col>14</xdr:col>
      <xdr:colOff>323850</xdr:colOff>
      <xdr:row>38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1111121</xdr:colOff>
      <xdr:row>40</xdr:row>
      <xdr:rowOff>9525</xdr:rowOff>
    </xdr:from>
    <xdr:to>
      <xdr:col>12</xdr:col>
      <xdr:colOff>425321</xdr:colOff>
      <xdr:row>51</xdr:row>
      <xdr:rowOff>19245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209550</xdr:colOff>
      <xdr:row>40</xdr:row>
      <xdr:rowOff>9525</xdr:rowOff>
    </xdr:from>
    <xdr:to>
      <xdr:col>7</xdr:col>
      <xdr:colOff>196721</xdr:colOff>
      <xdr:row>51</xdr:row>
      <xdr:rowOff>28964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B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15</xdr:col>
      <xdr:colOff>750726</xdr:colOff>
      <xdr:row>22</xdr:row>
      <xdr:rowOff>188555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B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136071</xdr:colOff>
      <xdr:row>18</xdr:row>
      <xdr:rowOff>85725</xdr:rowOff>
    </xdr:from>
    <xdr:to>
      <xdr:col>6</xdr:col>
      <xdr:colOff>285749</xdr:colOff>
      <xdr:row>27</xdr:row>
      <xdr:rowOff>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394800</xdr:colOff>
      <xdr:row>18</xdr:row>
      <xdr:rowOff>87669</xdr:rowOff>
    </xdr:from>
    <xdr:to>
      <xdr:col>10</xdr:col>
      <xdr:colOff>276225</xdr:colOff>
      <xdr:row>27</xdr:row>
      <xdr:rowOff>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458948</xdr:colOff>
      <xdr:row>18</xdr:row>
      <xdr:rowOff>154538</xdr:rowOff>
    </xdr:from>
    <xdr:to>
      <xdr:col>15</xdr:col>
      <xdr:colOff>333374</xdr:colOff>
      <xdr:row>27</xdr:row>
      <xdr:rowOff>57343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136069</xdr:colOff>
      <xdr:row>30</xdr:row>
      <xdr:rowOff>9721</xdr:rowOff>
    </xdr:from>
    <xdr:to>
      <xdr:col>5</xdr:col>
      <xdr:colOff>457200</xdr:colOff>
      <xdr:row>41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4664</xdr:colOff>
      <xdr:row>30</xdr:row>
      <xdr:rowOff>9914</xdr:rowOff>
    </xdr:from>
    <xdr:to>
      <xdr:col>9</xdr:col>
      <xdr:colOff>295275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428625</xdr:colOff>
      <xdr:row>30</xdr:row>
      <xdr:rowOff>389</xdr:rowOff>
    </xdr:from>
    <xdr:to>
      <xdr:col>14</xdr:col>
      <xdr:colOff>323850</xdr:colOff>
      <xdr:row>41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C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1092071</xdr:colOff>
      <xdr:row>43</xdr:row>
      <xdr:rowOff>0</xdr:rowOff>
    </xdr:from>
    <xdr:to>
      <xdr:col>12</xdr:col>
      <xdr:colOff>406271</xdr:colOff>
      <xdr:row>54</xdr:row>
      <xdr:rowOff>9720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C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161925</xdr:colOff>
      <xdr:row>43</xdr:row>
      <xdr:rowOff>19050</xdr:rowOff>
    </xdr:from>
    <xdr:to>
      <xdr:col>7</xdr:col>
      <xdr:colOff>149096</xdr:colOff>
      <xdr:row>54</xdr:row>
      <xdr:rowOff>38489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404325</xdr:colOff>
      <xdr:row>11</xdr:row>
      <xdr:rowOff>1944</xdr:rowOff>
    </xdr:from>
    <xdr:to>
      <xdr:col>10</xdr:col>
      <xdr:colOff>285750</xdr:colOff>
      <xdr:row>20</xdr:row>
      <xdr:rowOff>9817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136069</xdr:colOff>
      <xdr:row>22</xdr:row>
      <xdr:rowOff>9721</xdr:rowOff>
    </xdr:from>
    <xdr:to>
      <xdr:col>5</xdr:col>
      <xdr:colOff>457200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4664</xdr:colOff>
      <xdr:row>22</xdr:row>
      <xdr:rowOff>9914</xdr:rowOff>
    </xdr:from>
    <xdr:to>
      <xdr:col>9</xdr:col>
      <xdr:colOff>295275</xdr:colOff>
      <xdr:row>33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428625</xdr:colOff>
      <xdr:row>22</xdr:row>
      <xdr:rowOff>389</xdr:rowOff>
    </xdr:from>
    <xdr:to>
      <xdr:col>14</xdr:col>
      <xdr:colOff>323850</xdr:colOff>
      <xdr:row>33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1101596</xdr:colOff>
      <xdr:row>35</xdr:row>
      <xdr:rowOff>9525</xdr:rowOff>
    </xdr:from>
    <xdr:to>
      <xdr:col>12</xdr:col>
      <xdr:colOff>415796</xdr:colOff>
      <xdr:row>46</xdr:row>
      <xdr:rowOff>19245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D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35</xdr:row>
      <xdr:rowOff>9525</xdr:rowOff>
    </xdr:from>
    <xdr:to>
      <xdr:col>7</xdr:col>
      <xdr:colOff>139571</xdr:colOff>
      <xdr:row>46</xdr:row>
      <xdr:rowOff>28964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D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</xdr:row>
      <xdr:rowOff>0</xdr:rowOff>
    </xdr:from>
    <xdr:to>
      <xdr:col>6</xdr:col>
      <xdr:colOff>149678</xdr:colOff>
      <xdr:row>19</xdr:row>
      <xdr:rowOff>104874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D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15</xdr:col>
      <xdr:colOff>750726</xdr:colOff>
      <xdr:row>19</xdr:row>
      <xdr:rowOff>93305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D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136071</xdr:colOff>
      <xdr:row>11</xdr:row>
      <xdr:rowOff>85725</xdr:rowOff>
    </xdr:from>
    <xdr:to>
      <xdr:col>6</xdr:col>
      <xdr:colOff>285749</xdr:colOff>
      <xdr:row>20</xdr:row>
      <xdr:rowOff>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394800</xdr:colOff>
      <xdr:row>11</xdr:row>
      <xdr:rowOff>87669</xdr:rowOff>
    </xdr:from>
    <xdr:to>
      <xdr:col>10</xdr:col>
      <xdr:colOff>276225</xdr:colOff>
      <xdr:row>20</xdr:row>
      <xdr:rowOff>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458948</xdr:colOff>
      <xdr:row>11</xdr:row>
      <xdr:rowOff>154538</xdr:rowOff>
    </xdr:from>
    <xdr:to>
      <xdr:col>15</xdr:col>
      <xdr:colOff>333374</xdr:colOff>
      <xdr:row>20</xdr:row>
      <xdr:rowOff>57343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136069</xdr:colOff>
      <xdr:row>23</xdr:row>
      <xdr:rowOff>9721</xdr:rowOff>
    </xdr:from>
    <xdr:to>
      <xdr:col>5</xdr:col>
      <xdr:colOff>457200</xdr:colOff>
      <xdr:row>34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4664</xdr:colOff>
      <xdr:row>23</xdr:row>
      <xdr:rowOff>9914</xdr:rowOff>
    </xdr:from>
    <xdr:to>
      <xdr:col>9</xdr:col>
      <xdr:colOff>295275</xdr:colOff>
      <xdr:row>34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428625</xdr:colOff>
      <xdr:row>23</xdr:row>
      <xdr:rowOff>389</xdr:rowOff>
    </xdr:from>
    <xdr:to>
      <xdr:col>14</xdr:col>
      <xdr:colOff>323850</xdr:colOff>
      <xdr:row>34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165229</xdr:colOff>
      <xdr:row>37</xdr:row>
      <xdr:rowOff>29158</xdr:rowOff>
    </xdr:from>
    <xdr:to>
      <xdr:col>7</xdr:col>
      <xdr:colOff>0</xdr:colOff>
      <xdr:row>48</xdr:row>
      <xdr:rowOff>48597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514350</xdr:colOff>
      <xdr:row>37</xdr:row>
      <xdr:rowOff>29158</xdr:rowOff>
    </xdr:from>
    <xdr:to>
      <xdr:col>11</xdr:col>
      <xdr:colOff>571500</xdr:colOff>
      <xdr:row>48</xdr:row>
      <xdr:rowOff>38878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136071</xdr:colOff>
      <xdr:row>15</xdr:row>
      <xdr:rowOff>85725</xdr:rowOff>
    </xdr:from>
    <xdr:to>
      <xdr:col>6</xdr:col>
      <xdr:colOff>285749</xdr:colOff>
      <xdr:row>24</xdr:row>
      <xdr:rowOff>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394800</xdr:colOff>
      <xdr:row>15</xdr:row>
      <xdr:rowOff>87669</xdr:rowOff>
    </xdr:from>
    <xdr:to>
      <xdr:col>10</xdr:col>
      <xdr:colOff>276225</xdr:colOff>
      <xdr:row>24</xdr:row>
      <xdr:rowOff>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458948</xdr:colOff>
      <xdr:row>15</xdr:row>
      <xdr:rowOff>154538</xdr:rowOff>
    </xdr:from>
    <xdr:to>
      <xdr:col>15</xdr:col>
      <xdr:colOff>333374</xdr:colOff>
      <xdr:row>24</xdr:row>
      <xdr:rowOff>57343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136069</xdr:colOff>
      <xdr:row>27</xdr:row>
      <xdr:rowOff>9721</xdr:rowOff>
    </xdr:from>
    <xdr:to>
      <xdr:col>5</xdr:col>
      <xdr:colOff>457200</xdr:colOff>
      <xdr:row>38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E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4664</xdr:colOff>
      <xdr:row>27</xdr:row>
      <xdr:rowOff>9914</xdr:rowOff>
    </xdr:from>
    <xdr:to>
      <xdr:col>9</xdr:col>
      <xdr:colOff>295275</xdr:colOff>
      <xdr:row>38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E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428625</xdr:colOff>
      <xdr:row>27</xdr:row>
      <xdr:rowOff>389</xdr:rowOff>
    </xdr:from>
    <xdr:to>
      <xdr:col>14</xdr:col>
      <xdr:colOff>323850</xdr:colOff>
      <xdr:row>38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E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1082546</xdr:colOff>
      <xdr:row>40</xdr:row>
      <xdr:rowOff>0</xdr:rowOff>
    </xdr:from>
    <xdr:to>
      <xdr:col>12</xdr:col>
      <xdr:colOff>396746</xdr:colOff>
      <xdr:row>51</xdr:row>
      <xdr:rowOff>9720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E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228600</xdr:colOff>
      <xdr:row>40</xdr:row>
      <xdr:rowOff>28575</xdr:rowOff>
    </xdr:from>
    <xdr:to>
      <xdr:col>7</xdr:col>
      <xdr:colOff>215771</xdr:colOff>
      <xdr:row>51</xdr:row>
      <xdr:rowOff>48014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E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136071</xdr:colOff>
      <xdr:row>12</xdr:row>
      <xdr:rowOff>85725</xdr:rowOff>
    </xdr:from>
    <xdr:to>
      <xdr:col>6</xdr:col>
      <xdr:colOff>285749</xdr:colOff>
      <xdr:row>21</xdr:row>
      <xdr:rowOff>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394800</xdr:colOff>
      <xdr:row>12</xdr:row>
      <xdr:rowOff>87669</xdr:rowOff>
    </xdr:from>
    <xdr:to>
      <xdr:col>10</xdr:col>
      <xdr:colOff>276225</xdr:colOff>
      <xdr:row>21</xdr:row>
      <xdr:rowOff>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458948</xdr:colOff>
      <xdr:row>12</xdr:row>
      <xdr:rowOff>154538</xdr:rowOff>
    </xdr:from>
    <xdr:to>
      <xdr:col>15</xdr:col>
      <xdr:colOff>333374</xdr:colOff>
      <xdr:row>21</xdr:row>
      <xdr:rowOff>57343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136069</xdr:colOff>
      <xdr:row>24</xdr:row>
      <xdr:rowOff>9721</xdr:rowOff>
    </xdr:from>
    <xdr:to>
      <xdr:col>5</xdr:col>
      <xdr:colOff>457200</xdr:colOff>
      <xdr:row>35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4664</xdr:colOff>
      <xdr:row>24</xdr:row>
      <xdr:rowOff>9914</xdr:rowOff>
    </xdr:from>
    <xdr:to>
      <xdr:col>9</xdr:col>
      <xdr:colOff>295275</xdr:colOff>
      <xdr:row>35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F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428625</xdr:colOff>
      <xdr:row>24</xdr:row>
      <xdr:rowOff>389</xdr:rowOff>
    </xdr:from>
    <xdr:to>
      <xdr:col>14</xdr:col>
      <xdr:colOff>323850</xdr:colOff>
      <xdr:row>35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F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1092071</xdr:colOff>
      <xdr:row>37</xdr:row>
      <xdr:rowOff>9525</xdr:rowOff>
    </xdr:from>
    <xdr:to>
      <xdr:col>12</xdr:col>
      <xdr:colOff>406271</xdr:colOff>
      <xdr:row>48</xdr:row>
      <xdr:rowOff>19245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F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161925</xdr:colOff>
      <xdr:row>37</xdr:row>
      <xdr:rowOff>28575</xdr:rowOff>
    </xdr:from>
    <xdr:to>
      <xdr:col>7</xdr:col>
      <xdr:colOff>149096</xdr:colOff>
      <xdr:row>48</xdr:row>
      <xdr:rowOff>48014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F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136071</xdr:colOff>
      <xdr:row>11</xdr:row>
      <xdr:rowOff>85725</xdr:rowOff>
    </xdr:from>
    <xdr:to>
      <xdr:col>6</xdr:col>
      <xdr:colOff>285749</xdr:colOff>
      <xdr:row>20</xdr:row>
      <xdr:rowOff>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394800</xdr:colOff>
      <xdr:row>11</xdr:row>
      <xdr:rowOff>87669</xdr:rowOff>
    </xdr:from>
    <xdr:to>
      <xdr:col>10</xdr:col>
      <xdr:colOff>276225</xdr:colOff>
      <xdr:row>20</xdr:row>
      <xdr:rowOff>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136069</xdr:colOff>
      <xdr:row>23</xdr:row>
      <xdr:rowOff>9721</xdr:rowOff>
    </xdr:from>
    <xdr:to>
      <xdr:col>5</xdr:col>
      <xdr:colOff>457200</xdr:colOff>
      <xdr:row>34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4664</xdr:colOff>
      <xdr:row>23</xdr:row>
      <xdr:rowOff>9914</xdr:rowOff>
    </xdr:from>
    <xdr:to>
      <xdr:col>9</xdr:col>
      <xdr:colOff>295275</xdr:colOff>
      <xdr:row>34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2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428625</xdr:colOff>
      <xdr:row>23</xdr:row>
      <xdr:rowOff>389</xdr:rowOff>
    </xdr:from>
    <xdr:to>
      <xdr:col>14</xdr:col>
      <xdr:colOff>323850</xdr:colOff>
      <xdr:row>34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2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1111121</xdr:colOff>
      <xdr:row>36</xdr:row>
      <xdr:rowOff>9525</xdr:rowOff>
    </xdr:from>
    <xdr:to>
      <xdr:col>12</xdr:col>
      <xdr:colOff>425321</xdr:colOff>
      <xdr:row>47</xdr:row>
      <xdr:rowOff>19245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2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142875</xdr:colOff>
      <xdr:row>36</xdr:row>
      <xdr:rowOff>9525</xdr:rowOff>
    </xdr:from>
    <xdr:to>
      <xdr:col>7</xdr:col>
      <xdr:colOff>130046</xdr:colOff>
      <xdr:row>47</xdr:row>
      <xdr:rowOff>28964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2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382748</xdr:colOff>
      <xdr:row>11</xdr:row>
      <xdr:rowOff>133350</xdr:rowOff>
    </xdr:from>
    <xdr:to>
      <xdr:col>15</xdr:col>
      <xdr:colOff>333375</xdr:colOff>
      <xdr:row>20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2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136071</xdr:colOff>
      <xdr:row>12</xdr:row>
      <xdr:rowOff>85725</xdr:rowOff>
    </xdr:from>
    <xdr:to>
      <xdr:col>6</xdr:col>
      <xdr:colOff>285749</xdr:colOff>
      <xdr:row>21</xdr:row>
      <xdr:rowOff>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394800</xdr:colOff>
      <xdr:row>12</xdr:row>
      <xdr:rowOff>87669</xdr:rowOff>
    </xdr:from>
    <xdr:to>
      <xdr:col>10</xdr:col>
      <xdr:colOff>276225</xdr:colOff>
      <xdr:row>21</xdr:row>
      <xdr:rowOff>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458948</xdr:colOff>
      <xdr:row>12</xdr:row>
      <xdr:rowOff>154538</xdr:rowOff>
    </xdr:from>
    <xdr:to>
      <xdr:col>15</xdr:col>
      <xdr:colOff>333374</xdr:colOff>
      <xdr:row>21</xdr:row>
      <xdr:rowOff>57343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136069</xdr:colOff>
      <xdr:row>24</xdr:row>
      <xdr:rowOff>9721</xdr:rowOff>
    </xdr:from>
    <xdr:to>
      <xdr:col>5</xdr:col>
      <xdr:colOff>457200</xdr:colOff>
      <xdr:row>35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2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4664</xdr:colOff>
      <xdr:row>24</xdr:row>
      <xdr:rowOff>9914</xdr:rowOff>
    </xdr:from>
    <xdr:to>
      <xdr:col>9</xdr:col>
      <xdr:colOff>295275</xdr:colOff>
      <xdr:row>35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2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428625</xdr:colOff>
      <xdr:row>24</xdr:row>
      <xdr:rowOff>389</xdr:rowOff>
    </xdr:from>
    <xdr:to>
      <xdr:col>14</xdr:col>
      <xdr:colOff>323850</xdr:colOff>
      <xdr:row>35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2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1092071</xdr:colOff>
      <xdr:row>37</xdr:row>
      <xdr:rowOff>9525</xdr:rowOff>
    </xdr:from>
    <xdr:to>
      <xdr:col>12</xdr:col>
      <xdr:colOff>406271</xdr:colOff>
      <xdr:row>48</xdr:row>
      <xdr:rowOff>19245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2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161925</xdr:colOff>
      <xdr:row>37</xdr:row>
      <xdr:rowOff>28575</xdr:rowOff>
    </xdr:from>
    <xdr:to>
      <xdr:col>7</xdr:col>
      <xdr:colOff>149096</xdr:colOff>
      <xdr:row>48</xdr:row>
      <xdr:rowOff>48014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2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9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</xdr:row>
      <xdr:rowOff>123825</xdr:rowOff>
    </xdr:from>
    <xdr:to>
      <xdr:col>17</xdr:col>
      <xdr:colOff>323850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19050</xdr:colOff>
      <xdr:row>2</xdr:row>
      <xdr:rowOff>152400</xdr:rowOff>
    </xdr:from>
    <xdr:to>
      <xdr:col>25</xdr:col>
      <xdr:colOff>323850</xdr:colOff>
      <xdr:row>17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10</xdr:col>
      <xdr:colOff>304800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2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23</xdr:row>
      <xdr:rowOff>0</xdr:rowOff>
    </xdr:from>
    <xdr:to>
      <xdr:col>21</xdr:col>
      <xdr:colOff>304800</xdr:colOff>
      <xdr:row>37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2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136071</xdr:colOff>
      <xdr:row>10</xdr:row>
      <xdr:rowOff>87475</xdr:rowOff>
    </xdr:from>
    <xdr:to>
      <xdr:col>4</xdr:col>
      <xdr:colOff>573444</xdr:colOff>
      <xdr:row>19</xdr:row>
      <xdr:rowOff>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213826</xdr:colOff>
      <xdr:row>10</xdr:row>
      <xdr:rowOff>97194</xdr:rowOff>
    </xdr:from>
    <xdr:to>
      <xdr:col>8</xdr:col>
      <xdr:colOff>1000125</xdr:colOff>
      <xdr:row>19</xdr:row>
      <xdr:rowOff>9817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20800</xdr:colOff>
      <xdr:row>10</xdr:row>
      <xdr:rowOff>68813</xdr:rowOff>
    </xdr:from>
    <xdr:to>
      <xdr:col>12</xdr:col>
      <xdr:colOff>511629</xdr:colOff>
      <xdr:row>18</xdr:row>
      <xdr:rowOff>162118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136070</xdr:colOff>
      <xdr:row>22</xdr:row>
      <xdr:rowOff>9721</xdr:rowOff>
    </xdr:from>
    <xdr:to>
      <xdr:col>5</xdr:col>
      <xdr:colOff>1944</xdr:colOff>
      <xdr:row>33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2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233264</xdr:colOff>
      <xdr:row>22</xdr:row>
      <xdr:rowOff>19439</xdr:rowOff>
    </xdr:from>
    <xdr:to>
      <xdr:col>8</xdr:col>
      <xdr:colOff>1009650</xdr:colOff>
      <xdr:row>33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2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19050</xdr:colOff>
      <xdr:row>22</xdr:row>
      <xdr:rowOff>19439</xdr:rowOff>
    </xdr:from>
    <xdr:to>
      <xdr:col>13</xdr:col>
      <xdr:colOff>790575</xdr:colOff>
      <xdr:row>33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2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165229</xdr:colOff>
      <xdr:row>36</xdr:row>
      <xdr:rowOff>29158</xdr:rowOff>
    </xdr:from>
    <xdr:to>
      <xdr:col>7</xdr:col>
      <xdr:colOff>0</xdr:colOff>
      <xdr:row>47</xdr:row>
      <xdr:rowOff>48597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2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514350</xdr:colOff>
      <xdr:row>36</xdr:row>
      <xdr:rowOff>29158</xdr:rowOff>
    </xdr:from>
    <xdr:to>
      <xdr:col>11</xdr:col>
      <xdr:colOff>571500</xdr:colOff>
      <xdr:row>47</xdr:row>
      <xdr:rowOff>38878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2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136071</xdr:colOff>
      <xdr:row>12</xdr:row>
      <xdr:rowOff>85725</xdr:rowOff>
    </xdr:from>
    <xdr:to>
      <xdr:col>6</xdr:col>
      <xdr:colOff>285749</xdr:colOff>
      <xdr:row>21</xdr:row>
      <xdr:rowOff>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1AE26-A9F8-4CC8-81EE-4397C00DC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394800</xdr:colOff>
      <xdr:row>12</xdr:row>
      <xdr:rowOff>87669</xdr:rowOff>
    </xdr:from>
    <xdr:to>
      <xdr:col>10</xdr:col>
      <xdr:colOff>276225</xdr:colOff>
      <xdr:row>21</xdr:row>
      <xdr:rowOff>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C2D98-0911-403E-86E1-A3332877B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458948</xdr:colOff>
      <xdr:row>12</xdr:row>
      <xdr:rowOff>154538</xdr:rowOff>
    </xdr:from>
    <xdr:to>
      <xdr:col>15</xdr:col>
      <xdr:colOff>333374</xdr:colOff>
      <xdr:row>21</xdr:row>
      <xdr:rowOff>57343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0577B7-A117-4288-96DF-08502EABD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136069</xdr:colOff>
      <xdr:row>24</xdr:row>
      <xdr:rowOff>9721</xdr:rowOff>
    </xdr:from>
    <xdr:to>
      <xdr:col>5</xdr:col>
      <xdr:colOff>457200</xdr:colOff>
      <xdr:row>35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144204-C799-4DA9-BC2B-79B986D40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4664</xdr:colOff>
      <xdr:row>24</xdr:row>
      <xdr:rowOff>9914</xdr:rowOff>
    </xdr:from>
    <xdr:to>
      <xdr:col>9</xdr:col>
      <xdr:colOff>295275</xdr:colOff>
      <xdr:row>35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19C472-3273-47DD-B6A9-700C1684F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428625</xdr:colOff>
      <xdr:row>24</xdr:row>
      <xdr:rowOff>389</xdr:rowOff>
    </xdr:from>
    <xdr:to>
      <xdr:col>14</xdr:col>
      <xdr:colOff>323850</xdr:colOff>
      <xdr:row>35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633E72-A2AE-444B-A692-DC6BF75E3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165229</xdr:colOff>
      <xdr:row>38</xdr:row>
      <xdr:rowOff>29158</xdr:rowOff>
    </xdr:from>
    <xdr:to>
      <xdr:col>7</xdr:col>
      <xdr:colOff>0</xdr:colOff>
      <xdr:row>49</xdr:row>
      <xdr:rowOff>48597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5289A5-3F51-4DB1-A97F-7C964E659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514350</xdr:colOff>
      <xdr:row>38</xdr:row>
      <xdr:rowOff>29158</xdr:rowOff>
    </xdr:from>
    <xdr:to>
      <xdr:col>11</xdr:col>
      <xdr:colOff>571500</xdr:colOff>
      <xdr:row>49</xdr:row>
      <xdr:rowOff>38878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FC6691-D4B7-469E-84A8-B31FDC6E5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136071</xdr:colOff>
      <xdr:row>12</xdr:row>
      <xdr:rowOff>85725</xdr:rowOff>
    </xdr:from>
    <xdr:to>
      <xdr:col>6</xdr:col>
      <xdr:colOff>285749</xdr:colOff>
      <xdr:row>21</xdr:row>
      <xdr:rowOff>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394800</xdr:colOff>
      <xdr:row>12</xdr:row>
      <xdr:rowOff>87669</xdr:rowOff>
    </xdr:from>
    <xdr:to>
      <xdr:col>10</xdr:col>
      <xdr:colOff>276225</xdr:colOff>
      <xdr:row>21</xdr:row>
      <xdr:rowOff>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458948</xdr:colOff>
      <xdr:row>12</xdr:row>
      <xdr:rowOff>154538</xdr:rowOff>
    </xdr:from>
    <xdr:to>
      <xdr:col>15</xdr:col>
      <xdr:colOff>333374</xdr:colOff>
      <xdr:row>21</xdr:row>
      <xdr:rowOff>57343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136069</xdr:colOff>
      <xdr:row>24</xdr:row>
      <xdr:rowOff>9721</xdr:rowOff>
    </xdr:from>
    <xdr:to>
      <xdr:col>5</xdr:col>
      <xdr:colOff>457200</xdr:colOff>
      <xdr:row>35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4664</xdr:colOff>
      <xdr:row>24</xdr:row>
      <xdr:rowOff>9914</xdr:rowOff>
    </xdr:from>
    <xdr:to>
      <xdr:col>9</xdr:col>
      <xdr:colOff>295275</xdr:colOff>
      <xdr:row>35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428625</xdr:colOff>
      <xdr:row>24</xdr:row>
      <xdr:rowOff>389</xdr:rowOff>
    </xdr:from>
    <xdr:to>
      <xdr:col>14</xdr:col>
      <xdr:colOff>323850</xdr:colOff>
      <xdr:row>35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165229</xdr:colOff>
      <xdr:row>38</xdr:row>
      <xdr:rowOff>29158</xdr:rowOff>
    </xdr:from>
    <xdr:to>
      <xdr:col>7</xdr:col>
      <xdr:colOff>0</xdr:colOff>
      <xdr:row>49</xdr:row>
      <xdr:rowOff>48597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514350</xdr:colOff>
      <xdr:row>38</xdr:row>
      <xdr:rowOff>29158</xdr:rowOff>
    </xdr:from>
    <xdr:to>
      <xdr:col>11</xdr:col>
      <xdr:colOff>571500</xdr:colOff>
      <xdr:row>49</xdr:row>
      <xdr:rowOff>38878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164646</xdr:colOff>
      <xdr:row>10</xdr:row>
      <xdr:rowOff>228600</xdr:rowOff>
    </xdr:from>
    <xdr:to>
      <xdr:col>6</xdr:col>
      <xdr:colOff>314324</xdr:colOff>
      <xdr:row>19</xdr:row>
      <xdr:rowOff>47724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385275</xdr:colOff>
      <xdr:row>10</xdr:row>
      <xdr:rowOff>230544</xdr:rowOff>
    </xdr:from>
    <xdr:to>
      <xdr:col>10</xdr:col>
      <xdr:colOff>266700</xdr:colOff>
      <xdr:row>19</xdr:row>
      <xdr:rowOff>47917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392273</xdr:colOff>
      <xdr:row>10</xdr:row>
      <xdr:rowOff>240263</xdr:rowOff>
    </xdr:from>
    <xdr:to>
      <xdr:col>15</xdr:col>
      <xdr:colOff>266699</xdr:colOff>
      <xdr:row>19</xdr:row>
      <xdr:rowOff>47818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136069</xdr:colOff>
      <xdr:row>23</xdr:row>
      <xdr:rowOff>9721</xdr:rowOff>
    </xdr:from>
    <xdr:to>
      <xdr:col>5</xdr:col>
      <xdr:colOff>457200</xdr:colOff>
      <xdr:row>34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4664</xdr:colOff>
      <xdr:row>23</xdr:row>
      <xdr:rowOff>9914</xdr:rowOff>
    </xdr:from>
    <xdr:to>
      <xdr:col>9</xdr:col>
      <xdr:colOff>295275</xdr:colOff>
      <xdr:row>34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428625</xdr:colOff>
      <xdr:row>23</xdr:row>
      <xdr:rowOff>389</xdr:rowOff>
    </xdr:from>
    <xdr:to>
      <xdr:col>14</xdr:col>
      <xdr:colOff>323850</xdr:colOff>
      <xdr:row>34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165229</xdr:colOff>
      <xdr:row>37</xdr:row>
      <xdr:rowOff>29158</xdr:rowOff>
    </xdr:from>
    <xdr:to>
      <xdr:col>7</xdr:col>
      <xdr:colOff>0</xdr:colOff>
      <xdr:row>48</xdr:row>
      <xdr:rowOff>48597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514350</xdr:colOff>
      <xdr:row>37</xdr:row>
      <xdr:rowOff>29158</xdr:rowOff>
    </xdr:from>
    <xdr:to>
      <xdr:col>11</xdr:col>
      <xdr:colOff>571500</xdr:colOff>
      <xdr:row>48</xdr:row>
      <xdr:rowOff>38878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164646</xdr:colOff>
      <xdr:row>10</xdr:row>
      <xdr:rowOff>228600</xdr:rowOff>
    </xdr:from>
    <xdr:to>
      <xdr:col>6</xdr:col>
      <xdr:colOff>314324</xdr:colOff>
      <xdr:row>19</xdr:row>
      <xdr:rowOff>47724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385275</xdr:colOff>
      <xdr:row>10</xdr:row>
      <xdr:rowOff>230544</xdr:rowOff>
    </xdr:from>
    <xdr:to>
      <xdr:col>10</xdr:col>
      <xdr:colOff>266700</xdr:colOff>
      <xdr:row>19</xdr:row>
      <xdr:rowOff>47917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392273</xdr:colOff>
      <xdr:row>10</xdr:row>
      <xdr:rowOff>240263</xdr:rowOff>
    </xdr:from>
    <xdr:to>
      <xdr:col>15</xdr:col>
      <xdr:colOff>266699</xdr:colOff>
      <xdr:row>19</xdr:row>
      <xdr:rowOff>47818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136069</xdr:colOff>
      <xdr:row>23</xdr:row>
      <xdr:rowOff>9721</xdr:rowOff>
    </xdr:from>
    <xdr:to>
      <xdr:col>5</xdr:col>
      <xdr:colOff>457200</xdr:colOff>
      <xdr:row>34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4664</xdr:colOff>
      <xdr:row>23</xdr:row>
      <xdr:rowOff>9914</xdr:rowOff>
    </xdr:from>
    <xdr:to>
      <xdr:col>9</xdr:col>
      <xdr:colOff>295275</xdr:colOff>
      <xdr:row>34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428625</xdr:colOff>
      <xdr:row>23</xdr:row>
      <xdr:rowOff>389</xdr:rowOff>
    </xdr:from>
    <xdr:to>
      <xdr:col>14</xdr:col>
      <xdr:colOff>323850</xdr:colOff>
      <xdr:row>34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165229</xdr:colOff>
      <xdr:row>37</xdr:row>
      <xdr:rowOff>29158</xdr:rowOff>
    </xdr:from>
    <xdr:to>
      <xdr:col>7</xdr:col>
      <xdr:colOff>0</xdr:colOff>
      <xdr:row>48</xdr:row>
      <xdr:rowOff>48597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514350</xdr:colOff>
      <xdr:row>37</xdr:row>
      <xdr:rowOff>29158</xdr:rowOff>
    </xdr:from>
    <xdr:to>
      <xdr:col>11</xdr:col>
      <xdr:colOff>571500</xdr:colOff>
      <xdr:row>48</xdr:row>
      <xdr:rowOff>38878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136071</xdr:colOff>
      <xdr:row>10</xdr:row>
      <xdr:rowOff>85725</xdr:rowOff>
    </xdr:from>
    <xdr:to>
      <xdr:col>6</xdr:col>
      <xdr:colOff>285749</xdr:colOff>
      <xdr:row>19</xdr:row>
      <xdr:rowOff>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394800</xdr:colOff>
      <xdr:row>10</xdr:row>
      <xdr:rowOff>87669</xdr:rowOff>
    </xdr:from>
    <xdr:to>
      <xdr:col>10</xdr:col>
      <xdr:colOff>276225</xdr:colOff>
      <xdr:row>19</xdr:row>
      <xdr:rowOff>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458948</xdr:colOff>
      <xdr:row>10</xdr:row>
      <xdr:rowOff>154538</xdr:rowOff>
    </xdr:from>
    <xdr:to>
      <xdr:col>15</xdr:col>
      <xdr:colOff>333374</xdr:colOff>
      <xdr:row>19</xdr:row>
      <xdr:rowOff>57343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4664</xdr:colOff>
      <xdr:row>22</xdr:row>
      <xdr:rowOff>9914</xdr:rowOff>
    </xdr:from>
    <xdr:to>
      <xdr:col>9</xdr:col>
      <xdr:colOff>295275</xdr:colOff>
      <xdr:row>33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428625</xdr:colOff>
      <xdr:row>22</xdr:row>
      <xdr:rowOff>389</xdr:rowOff>
    </xdr:from>
    <xdr:to>
      <xdr:col>14</xdr:col>
      <xdr:colOff>323850</xdr:colOff>
      <xdr:row>33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165229</xdr:colOff>
      <xdr:row>36</xdr:row>
      <xdr:rowOff>29158</xdr:rowOff>
    </xdr:from>
    <xdr:to>
      <xdr:col>7</xdr:col>
      <xdr:colOff>0</xdr:colOff>
      <xdr:row>47</xdr:row>
      <xdr:rowOff>48597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514350</xdr:colOff>
      <xdr:row>36</xdr:row>
      <xdr:rowOff>29158</xdr:rowOff>
    </xdr:from>
    <xdr:to>
      <xdr:col>11</xdr:col>
      <xdr:colOff>571500</xdr:colOff>
      <xdr:row>47</xdr:row>
      <xdr:rowOff>38878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</xdr:colOff>
      <xdr:row>22</xdr:row>
      <xdr:rowOff>0</xdr:rowOff>
    </xdr:from>
    <xdr:to>
      <xdr:col>5</xdr:col>
      <xdr:colOff>378281</xdr:colOff>
      <xdr:row>33</xdr:row>
      <xdr:rowOff>28379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136071</xdr:colOff>
      <xdr:row>10</xdr:row>
      <xdr:rowOff>85725</xdr:rowOff>
    </xdr:from>
    <xdr:to>
      <xdr:col>6</xdr:col>
      <xdr:colOff>285749</xdr:colOff>
      <xdr:row>19</xdr:row>
      <xdr:rowOff>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432900</xdr:colOff>
      <xdr:row>10</xdr:row>
      <xdr:rowOff>106719</xdr:rowOff>
    </xdr:from>
    <xdr:to>
      <xdr:col>10</xdr:col>
      <xdr:colOff>314325</xdr:colOff>
      <xdr:row>19</xdr:row>
      <xdr:rowOff>19342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458948</xdr:colOff>
      <xdr:row>10</xdr:row>
      <xdr:rowOff>104775</xdr:rowOff>
    </xdr:from>
    <xdr:to>
      <xdr:col>15</xdr:col>
      <xdr:colOff>333374</xdr:colOff>
      <xdr:row>19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136069</xdr:colOff>
      <xdr:row>22</xdr:row>
      <xdr:rowOff>9721</xdr:rowOff>
    </xdr:from>
    <xdr:to>
      <xdr:col>5</xdr:col>
      <xdr:colOff>457200</xdr:colOff>
      <xdr:row>33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4664</xdr:colOff>
      <xdr:row>22</xdr:row>
      <xdr:rowOff>9914</xdr:rowOff>
    </xdr:from>
    <xdr:to>
      <xdr:col>9</xdr:col>
      <xdr:colOff>295275</xdr:colOff>
      <xdr:row>33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428625</xdr:colOff>
      <xdr:row>22</xdr:row>
      <xdr:rowOff>389</xdr:rowOff>
    </xdr:from>
    <xdr:to>
      <xdr:col>14</xdr:col>
      <xdr:colOff>323850</xdr:colOff>
      <xdr:row>33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165229</xdr:colOff>
      <xdr:row>36</xdr:row>
      <xdr:rowOff>29158</xdr:rowOff>
    </xdr:from>
    <xdr:to>
      <xdr:col>7</xdr:col>
      <xdr:colOff>0</xdr:colOff>
      <xdr:row>47</xdr:row>
      <xdr:rowOff>48597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514350</xdr:colOff>
      <xdr:row>36</xdr:row>
      <xdr:rowOff>29158</xdr:rowOff>
    </xdr:from>
    <xdr:to>
      <xdr:col>11</xdr:col>
      <xdr:colOff>571500</xdr:colOff>
      <xdr:row>47</xdr:row>
      <xdr:rowOff>38878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bcuni-my.sharepoint.com/3415E8B9/NBCU%20-%20Automation%20Report_19th_Sep_2017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bcuni-my.sharepoint.com/NBCUniversalCognizant/NBCU_Automation%20QA%20Dashboar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bcuni-my.sharepoint.com/personal/206644127_tfayd_com/Documents/My%20Documents/Desktop/NBCU_Automation%20QA%20Dashboard_18_June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EffortSaving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MonthlyEffortSavings 2018"/>
      <sheetName val="Cumulative Metrics 2018"/>
      <sheetName val="Releaseforce"/>
      <sheetName val="Magic"/>
      <sheetName val="DreamyAPI"/>
      <sheetName val="News.com"/>
      <sheetName val="Today.com"/>
      <sheetName val="Bento"/>
      <sheetName val="COMPASS"/>
      <sheetName val="Telly"/>
      <sheetName val="USH"/>
      <sheetName val="Event"/>
      <sheetName val="OVC"/>
      <sheetName val="Producer Dashboard"/>
      <sheetName val="Sheet1"/>
    </sheetNames>
    <sheetDataSet>
      <sheetData sheetId="0"/>
      <sheetData sheetId="1">
        <row r="2">
          <cell r="B2" t="str">
            <v>January</v>
          </cell>
          <cell r="C2" t="str">
            <v>February</v>
          </cell>
          <cell r="D2" t="str">
            <v>March</v>
          </cell>
          <cell r="E2" t="str">
            <v>April</v>
          </cell>
          <cell r="F2" t="str">
            <v>May</v>
          </cell>
          <cell r="G2" t="str">
            <v>June</v>
          </cell>
          <cell r="H2" t="str">
            <v>July</v>
          </cell>
          <cell r="I2" t="str">
            <v>August</v>
          </cell>
          <cell r="J2" t="str">
            <v>September</v>
          </cell>
          <cell r="K2" t="str">
            <v>October</v>
          </cell>
          <cell r="L2" t="str">
            <v>November</v>
          </cell>
          <cell r="M2" t="str">
            <v>December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EffortSavings 2021"/>
      <sheetName val="Cumulative Metrics 2021"/>
      <sheetName val="SAMPLE"/>
      <sheetName val="POP"/>
      <sheetName val="ALF"/>
      <sheetName val="Magic"/>
      <sheetName val="GTM"/>
      <sheetName val="CompassRePlatform"/>
      <sheetName val="USH OmniBasket"/>
      <sheetName val="UO OmniBasket"/>
      <sheetName val="Finance"/>
      <sheetName val="RF_Mercury"/>
      <sheetName val="TicketingPOS"/>
      <sheetName val="DigitalForce"/>
      <sheetName val="USH_EzRez"/>
      <sheetName val="USH_B2B"/>
      <sheetName val="Medea"/>
      <sheetName val="CAR"/>
      <sheetName val="KAM"/>
      <sheetName val="Recap"/>
      <sheetName val="TBT"/>
      <sheetName val="ReleaseForce"/>
      <sheetName val="WideOrbit"/>
      <sheetName val="Score"/>
      <sheetName val="DeptSystems"/>
      <sheetName val="Sphere"/>
      <sheetName val="CAFE"/>
      <sheetName val="SAFE"/>
      <sheetName val="ProM"/>
      <sheetName val="TVROCS"/>
      <sheetName val="PDM"/>
      <sheetName val="AssetTracker"/>
      <sheetName val="APAR"/>
      <sheetName val="Sheet2"/>
      <sheetName val="Producer Dashboard"/>
      <sheetName val="Sheet1"/>
      <sheetName val="EffortSavings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 t="str">
            <v>Jan Regression</v>
          </cell>
          <cell r="R3">
            <v>905</v>
          </cell>
          <cell r="X3">
            <v>301.66666666666703</v>
          </cell>
          <cell r="Y3">
            <v>603.33333333333303</v>
          </cell>
        </row>
        <row r="4">
          <cell r="C4" t="str">
            <v>February</v>
          </cell>
          <cell r="R4">
            <v>905</v>
          </cell>
          <cell r="X4">
            <v>301.66666666666703</v>
          </cell>
          <cell r="Y4">
            <v>603.33333333333303</v>
          </cell>
        </row>
        <row r="5">
          <cell r="C5" t="str">
            <v>March</v>
          </cell>
          <cell r="R5">
            <v>449</v>
          </cell>
          <cell r="X5">
            <v>149.666666666667</v>
          </cell>
          <cell r="Y5">
            <v>299.33333333333297</v>
          </cell>
        </row>
        <row r="6">
          <cell r="C6" t="str">
            <v>April</v>
          </cell>
          <cell r="R6">
            <v>1361</v>
          </cell>
          <cell r="X6">
            <v>453.66666666666703</v>
          </cell>
          <cell r="Y6">
            <v>907.33333333333303</v>
          </cell>
        </row>
        <row r="7">
          <cell r="C7" t="str">
            <v>May</v>
          </cell>
          <cell r="R7">
            <v>905</v>
          </cell>
          <cell r="X7">
            <v>301.66666666666703</v>
          </cell>
          <cell r="Y7">
            <v>603.33333333333303</v>
          </cell>
        </row>
        <row r="8">
          <cell r="C8" t="str">
            <v>June</v>
          </cell>
          <cell r="R8">
            <v>1810</v>
          </cell>
          <cell r="X8">
            <v>603.33333333333303</v>
          </cell>
          <cell r="Y8">
            <v>1206.6666666666699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drawing" Target="../drawings/drawing3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0"/>
  <sheetViews>
    <sheetView zoomScale="93" zoomScaleNormal="93" zoomScalePageLayoutView="93" workbookViewId="0">
      <selection activeCell="A2" sqref="A2"/>
    </sheetView>
  </sheetViews>
  <sheetFormatPr defaultColWidth="8.81640625" defaultRowHeight="14.5"/>
  <cols>
    <col min="1" max="1" width="33.81640625" style="101" customWidth="1"/>
    <col min="2" max="2" width="45.453125" style="101" customWidth="1"/>
    <col min="3" max="3" width="28.453125" style="100" customWidth="1"/>
    <col min="4" max="4" width="31.453125" style="101" customWidth="1"/>
    <col min="5" max="16384" width="8.81640625" style="101"/>
  </cols>
  <sheetData>
    <row r="1" spans="1:4" s="100" customFormat="1">
      <c r="A1" s="134" t="s">
        <v>0</v>
      </c>
      <c r="B1" s="134" t="s">
        <v>1</v>
      </c>
      <c r="C1" s="134" t="s">
        <v>2</v>
      </c>
      <c r="D1" s="134" t="s">
        <v>3</v>
      </c>
    </row>
    <row r="2" spans="1:4" ht="43.5">
      <c r="A2" s="135" t="s">
        <v>4</v>
      </c>
      <c r="B2" s="115" t="s">
        <v>5</v>
      </c>
      <c r="C2" s="136" t="s">
        <v>6</v>
      </c>
      <c r="D2" s="115"/>
    </row>
    <row r="3" spans="1:4" ht="43.5">
      <c r="A3" s="115" t="s">
        <v>7</v>
      </c>
      <c r="B3" s="115" t="s">
        <v>8</v>
      </c>
      <c r="C3" s="136" t="s">
        <v>6</v>
      </c>
      <c r="D3" s="115"/>
    </row>
    <row r="4" spans="1:4" ht="29">
      <c r="A4" s="115" t="s">
        <v>9</v>
      </c>
      <c r="B4" s="115" t="s">
        <v>10</v>
      </c>
      <c r="C4" s="136" t="s">
        <v>6</v>
      </c>
      <c r="D4" s="115"/>
    </row>
    <row r="5" spans="1:4" ht="116">
      <c r="A5" s="115" t="s">
        <v>11</v>
      </c>
      <c r="B5" s="115" t="s">
        <v>12</v>
      </c>
      <c r="C5" s="136" t="s">
        <v>13</v>
      </c>
      <c r="D5" s="115" t="s">
        <v>14</v>
      </c>
    </row>
    <row r="6" spans="1:4">
      <c r="A6" s="115" t="s">
        <v>15</v>
      </c>
      <c r="B6" s="115" t="s">
        <v>16</v>
      </c>
      <c r="C6" s="136" t="s">
        <v>6</v>
      </c>
      <c r="D6" s="115"/>
    </row>
    <row r="7" spans="1:4" ht="72.5">
      <c r="A7" s="115" t="s">
        <v>17</v>
      </c>
      <c r="B7" s="115" t="s">
        <v>18</v>
      </c>
      <c r="C7" s="136" t="s">
        <v>6</v>
      </c>
      <c r="D7" s="115" t="s">
        <v>19</v>
      </c>
    </row>
    <row r="9" spans="1:4">
      <c r="A9" s="137" t="s">
        <v>20</v>
      </c>
    </row>
    <row r="10" spans="1:4">
      <c r="A10" s="138" t="s">
        <v>21</v>
      </c>
    </row>
  </sheetData>
  <pageMargins left="0.7" right="0.7" top="0.75" bottom="0.75" header="0.3" footer="0.3"/>
  <pageSetup paperSize="9" orientation="portrait"/>
  <headerFooter>
    <oddFooter>&amp;CNBCU Internal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G59"/>
  <sheetViews>
    <sheetView zoomScale="106" zoomScaleNormal="106" workbookViewId="0">
      <pane xSplit="2" topLeftCell="C1" activePane="topRight" state="frozen"/>
      <selection pane="topRight" activeCell="I6" sqref="I6"/>
    </sheetView>
  </sheetViews>
  <sheetFormatPr defaultColWidth="8.81640625" defaultRowHeight="10.5"/>
  <cols>
    <col min="1" max="1" width="12.1796875" style="63" customWidth="1"/>
    <col min="2" max="2" width="10.453125" style="63" customWidth="1"/>
    <col min="3" max="3" width="14.1796875" style="63" customWidth="1"/>
    <col min="4" max="4" width="5.453125" style="63" customWidth="1"/>
    <col min="5" max="6" width="9" style="63" customWidth="1"/>
    <col min="7" max="7" width="8.81640625" style="63" customWidth="1"/>
    <col min="8" max="8" width="19.453125" style="63" customWidth="1"/>
    <col min="9" max="9" width="19.81640625" style="63" customWidth="1"/>
    <col min="10" max="10" width="11.453125" style="63" customWidth="1"/>
    <col min="11" max="11" width="13.1796875" style="63" customWidth="1"/>
    <col min="12" max="12" width="11.1796875" style="63" customWidth="1"/>
    <col min="13" max="14" width="13.1796875" style="63" customWidth="1"/>
    <col min="15" max="15" width="13.81640625" style="63" customWidth="1"/>
    <col min="16" max="16" width="22.453125" style="63" customWidth="1"/>
    <col min="17" max="18" width="19.453125" style="63" customWidth="1"/>
    <col min="19" max="19" width="12.1796875" style="63" customWidth="1"/>
    <col min="20" max="20" width="17.453125" style="63" customWidth="1"/>
    <col min="21" max="21" width="9.81640625" style="63" customWidth="1"/>
    <col min="22" max="22" width="18" style="63" customWidth="1"/>
    <col min="23" max="23" width="19.1796875" style="63" customWidth="1"/>
    <col min="24" max="24" width="13.453125" style="63" customWidth="1"/>
    <col min="25" max="25" width="10.1796875" style="63" customWidth="1"/>
    <col min="26" max="26" width="18.1796875" style="63" customWidth="1"/>
    <col min="27" max="27" width="15" style="63" customWidth="1"/>
    <col min="28" max="28" width="9.453125" style="63" customWidth="1"/>
    <col min="29" max="29" width="18" style="63" customWidth="1"/>
    <col min="30" max="30" width="12.1796875" style="63" customWidth="1"/>
    <col min="31" max="31" width="11.453125" style="63" customWidth="1"/>
    <col min="32" max="32" width="8.81640625" style="63" customWidth="1"/>
    <col min="33" max="33" width="13.81640625" style="63" customWidth="1"/>
    <col min="34" max="34" width="8.81640625" style="63" customWidth="1"/>
    <col min="35" max="16384" width="8.81640625" style="63"/>
  </cols>
  <sheetData>
    <row r="1" spans="1:33" s="15" customFormat="1" ht="33" customHeight="1">
      <c r="A1" s="172" t="s">
        <v>22</v>
      </c>
      <c r="B1" s="172" t="s">
        <v>47</v>
      </c>
      <c r="C1" s="172" t="s">
        <v>48</v>
      </c>
      <c r="D1" s="172" t="s">
        <v>79</v>
      </c>
      <c r="E1" s="172" t="s">
        <v>80</v>
      </c>
      <c r="F1" s="172" t="s">
        <v>81</v>
      </c>
      <c r="G1" s="172" t="s">
        <v>82</v>
      </c>
      <c r="H1" s="172" t="s">
        <v>50</v>
      </c>
      <c r="I1" s="172" t="s">
        <v>51</v>
      </c>
      <c r="J1" s="172" t="s">
        <v>53</v>
      </c>
      <c r="K1" s="172" t="s">
        <v>54</v>
      </c>
      <c r="L1" s="172" t="s">
        <v>55</v>
      </c>
      <c r="M1" s="172" t="s">
        <v>56</v>
      </c>
      <c r="N1" s="175" t="s">
        <v>57</v>
      </c>
      <c r="O1" s="172" t="s">
        <v>58</v>
      </c>
      <c r="P1" s="172" t="s">
        <v>83</v>
      </c>
      <c r="Q1" s="172" t="s">
        <v>95</v>
      </c>
      <c r="R1" s="172" t="s">
        <v>60</v>
      </c>
      <c r="S1" s="172" t="s">
        <v>61</v>
      </c>
      <c r="T1" s="172"/>
      <c r="U1" s="172"/>
      <c r="V1" s="172" t="s">
        <v>62</v>
      </c>
      <c r="W1" s="172" t="s">
        <v>63</v>
      </c>
      <c r="X1" s="172" t="s">
        <v>64</v>
      </c>
      <c r="Y1" s="172" t="s">
        <v>85</v>
      </c>
      <c r="Z1" s="172" t="s">
        <v>66</v>
      </c>
      <c r="AA1" s="172" t="s">
        <v>67</v>
      </c>
      <c r="AB1" s="172"/>
      <c r="AC1" s="172"/>
      <c r="AD1" s="172"/>
      <c r="AE1" s="172"/>
      <c r="AF1" s="172" t="s">
        <v>3</v>
      </c>
      <c r="AG1" s="172" t="s">
        <v>86</v>
      </c>
    </row>
    <row r="2" spans="1:33" s="15" customFormat="1" ht="55.5" customHeigh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6"/>
      <c r="O2" s="172"/>
      <c r="P2" s="172"/>
      <c r="Q2" s="172"/>
      <c r="R2" s="172"/>
      <c r="S2" s="4" t="s">
        <v>68</v>
      </c>
      <c r="T2" s="4" t="s">
        <v>69</v>
      </c>
      <c r="U2" s="4" t="s">
        <v>70</v>
      </c>
      <c r="V2" s="172"/>
      <c r="W2" s="172"/>
      <c r="X2" s="172"/>
      <c r="Y2" s="172"/>
      <c r="Z2" s="172"/>
      <c r="AA2" s="4" t="s">
        <v>96</v>
      </c>
      <c r="AB2" s="4" t="s">
        <v>97</v>
      </c>
      <c r="AC2" s="4" t="s">
        <v>73</v>
      </c>
      <c r="AD2" s="4" t="s">
        <v>74</v>
      </c>
      <c r="AE2" s="4" t="s">
        <v>75</v>
      </c>
      <c r="AF2" s="172"/>
      <c r="AG2" s="172"/>
    </row>
    <row r="3" spans="1:33" ht="15.75" customHeight="1">
      <c r="A3" s="5" t="s">
        <v>105</v>
      </c>
      <c r="B3" s="42" t="s">
        <v>106</v>
      </c>
      <c r="C3" s="23" t="s">
        <v>30</v>
      </c>
      <c r="D3" s="23">
        <v>310</v>
      </c>
      <c r="E3" s="44">
        <v>44317</v>
      </c>
      <c r="F3" s="44">
        <v>44337</v>
      </c>
      <c r="G3" s="23" t="s">
        <v>30</v>
      </c>
      <c r="H3" s="23">
        <v>149</v>
      </c>
      <c r="I3" s="23">
        <v>149</v>
      </c>
      <c r="J3" s="23">
        <v>149</v>
      </c>
      <c r="K3" s="24">
        <v>149</v>
      </c>
      <c r="L3" s="23">
        <v>5</v>
      </c>
      <c r="M3" s="23">
        <v>0</v>
      </c>
      <c r="N3" s="23">
        <v>0</v>
      </c>
      <c r="O3" s="24">
        <f t="shared" ref="O3" si="0">(K3-L3)</f>
        <v>144</v>
      </c>
      <c r="P3" s="23">
        <v>6600</v>
      </c>
      <c r="Q3" s="28">
        <v>0</v>
      </c>
      <c r="R3" s="29">
        <f t="shared" ref="R3" si="1">($P3/$AG3)*8</f>
        <v>8800</v>
      </c>
      <c r="S3" s="30">
        <v>126</v>
      </c>
      <c r="T3" s="30">
        <v>57</v>
      </c>
      <c r="U3" s="26">
        <v>0</v>
      </c>
      <c r="V3" s="29">
        <f>(($H3-$J3)/$B$10)*8</f>
        <v>0</v>
      </c>
      <c r="W3" s="31">
        <v>0</v>
      </c>
      <c r="X3" s="29">
        <f>SUM(T3,V3,W3)</f>
        <v>57</v>
      </c>
      <c r="Y3" s="29">
        <f t="shared" ref="Y3" si="2">R3-X3</f>
        <v>8743</v>
      </c>
      <c r="Z3" s="36">
        <v>0</v>
      </c>
      <c r="AA3" s="37">
        <f t="shared" ref="AA3" si="3">IFERROR(J3/I3,0)</f>
        <v>1</v>
      </c>
      <c r="AB3" s="37">
        <f t="shared" ref="AB3" si="4">IFERROR(J3/H3,0)</f>
        <v>1</v>
      </c>
      <c r="AC3" s="37">
        <f t="shared" ref="AC3" si="5">IFERROR(P3/(O3*D3),0)</f>
        <v>0.14784946236559141</v>
      </c>
      <c r="AD3" s="37">
        <f t="shared" ref="AD3" si="6">IFERROR(Y3/R3,0)</f>
        <v>0.99352272727272728</v>
      </c>
      <c r="AE3" s="46">
        <f>Y3*$B$9</f>
        <v>218575</v>
      </c>
      <c r="AF3" s="42"/>
      <c r="AG3" s="23">
        <v>6</v>
      </c>
    </row>
    <row r="4" spans="1:33" s="62" customFormat="1">
      <c r="A4" s="8" t="s">
        <v>105</v>
      </c>
      <c r="B4" s="8" t="s">
        <v>90</v>
      </c>
      <c r="C4" s="9" t="s">
        <v>90</v>
      </c>
      <c r="D4" s="9">
        <f ca="1">SUM(D3:INDIRECT("D"&amp;ROW()-1))</f>
        <v>310</v>
      </c>
      <c r="E4" s="9"/>
      <c r="F4" s="9"/>
      <c r="G4" s="9"/>
      <c r="H4" s="9">
        <f ca="1">INDIRECT("H"&amp;ROW()-1)</f>
        <v>149</v>
      </c>
      <c r="I4" s="9">
        <f ca="1">INDIRECT("I"&amp;ROW()-1)</f>
        <v>149</v>
      </c>
      <c r="J4" s="9">
        <f ca="1">INDIRECT("J"&amp;ROW()-1)</f>
        <v>149</v>
      </c>
      <c r="K4" s="24">
        <f ca="1">INDIRECT("K"&amp;ROW()-1)</f>
        <v>149</v>
      </c>
      <c r="L4" s="24">
        <f ca="1">INDIRECT("L"&amp;ROW()-1)</f>
        <v>5</v>
      </c>
      <c r="M4" s="9">
        <f ca="1">SUM(M3:INDIRECT("M"&amp;ROW()-1))</f>
        <v>0</v>
      </c>
      <c r="N4" s="9">
        <f ca="1">SUM(N3:INDIRECT("N"&amp;ROW()-1))</f>
        <v>0</v>
      </c>
      <c r="O4" s="9">
        <f ca="1">INDIRECT("O"&amp;ROW()-1)</f>
        <v>144</v>
      </c>
      <c r="P4" s="9">
        <f ca="1">SUM(P3:INDIRECT("P"&amp;ROW()-1))</f>
        <v>6600</v>
      </c>
      <c r="Q4" s="9">
        <f ca="1">SUM(Q3:INDIRECT("Q"&amp;ROW()-1))</f>
        <v>0</v>
      </c>
      <c r="R4" s="27">
        <f ca="1">SUM(R3:INDIRECT("R"&amp;ROW()-1))</f>
        <v>8800</v>
      </c>
      <c r="S4" s="9">
        <f ca="1">SUM(S3:INDIRECT("S"&amp;ROW()-1))</f>
        <v>126</v>
      </c>
      <c r="T4" s="9">
        <f ca="1">SUM(T3:INDIRECT("T"&amp;ROW()-1))</f>
        <v>57</v>
      </c>
      <c r="U4" s="9">
        <f ca="1">SUM(U3:INDIRECT("U"&amp;ROW()-1))</f>
        <v>0</v>
      </c>
      <c r="V4" s="9">
        <f ca="1">SUM(V3:INDIRECT("V"&amp;ROW()-1))</f>
        <v>0</v>
      </c>
      <c r="W4" s="9">
        <f ca="1">SUM(W3:INDIRECT("W"&amp;ROW()-1))</f>
        <v>0</v>
      </c>
      <c r="X4" s="9">
        <f ca="1">SUM(X3:INDIRECT("X"&amp;ROW()-1))</f>
        <v>57</v>
      </c>
      <c r="Y4" s="27">
        <f ca="1">SUM(Y3:INDIRECT("Y"&amp;ROW()-1))</f>
        <v>8743</v>
      </c>
      <c r="Z4" s="9">
        <f ca="1">SUM(Z3:INDIRECT("z"&amp;ROW()-1))</f>
        <v>0</v>
      </c>
      <c r="AA4" s="34">
        <f ca="1">J4/I4</f>
        <v>1</v>
      </c>
      <c r="AB4" s="34">
        <f ca="1">J4/H4</f>
        <v>1</v>
      </c>
      <c r="AC4" s="34">
        <f ca="1">P4/(O4*D4)</f>
        <v>0.14784946236559141</v>
      </c>
      <c r="AD4" s="39">
        <f t="shared" ref="AD4" ca="1" si="7">IFERROR(Y4/R4,0)</f>
        <v>0.99352272727272728</v>
      </c>
      <c r="AE4" s="35">
        <f ca="1">SUM(AE3:INDIRECT("AF"&amp;ROW()-1))</f>
        <v>218575</v>
      </c>
      <c r="AF4" s="9"/>
      <c r="AG4" s="9"/>
    </row>
    <row r="5" spans="1:33" s="62" customFormat="1"/>
    <row r="6" spans="1:33" s="62" customFormat="1">
      <c r="A6" s="10"/>
      <c r="B6" s="11"/>
      <c r="E6" s="62">
        <v>11</v>
      </c>
      <c r="Q6" s="13"/>
      <c r="AC6" s="64"/>
    </row>
    <row r="7" spans="1:33" s="62" customFormat="1">
      <c r="A7" s="10"/>
      <c r="B7" s="11"/>
      <c r="Q7" s="13"/>
      <c r="AC7" s="64"/>
    </row>
    <row r="8" spans="1:33" s="62" customFormat="1">
      <c r="A8" s="10"/>
      <c r="B8" s="11"/>
      <c r="Q8" s="13"/>
      <c r="AC8" s="64"/>
    </row>
    <row r="9" spans="1:33" s="62" customFormat="1">
      <c r="A9" s="10" t="s">
        <v>91</v>
      </c>
      <c r="B9" s="11">
        <v>25</v>
      </c>
      <c r="P9" s="64"/>
      <c r="Q9" s="13"/>
      <c r="AC9" s="64"/>
    </row>
    <row r="10" spans="1:33" ht="21">
      <c r="A10" s="10" t="s">
        <v>92</v>
      </c>
      <c r="B10" s="12">
        <v>15</v>
      </c>
      <c r="C10" s="62"/>
      <c r="D10" s="62"/>
      <c r="E10" s="62"/>
      <c r="F10" s="62"/>
      <c r="G10" s="62"/>
      <c r="H10" s="62"/>
      <c r="I10" s="62"/>
      <c r="J10" s="64"/>
      <c r="K10" s="64"/>
      <c r="L10" s="62"/>
      <c r="M10" s="62"/>
      <c r="N10" s="62"/>
      <c r="O10" s="62"/>
      <c r="P10" s="62"/>
      <c r="Q10" s="13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</row>
    <row r="42" spans="14:33">
      <c r="N42" s="172" t="s">
        <v>22</v>
      </c>
      <c r="O42" s="172" t="s">
        <v>82</v>
      </c>
      <c r="P42" s="172" t="s">
        <v>60</v>
      </c>
      <c r="Q42" s="172" t="s">
        <v>85</v>
      </c>
      <c r="R42" s="172" t="s">
        <v>74</v>
      </c>
      <c r="S42" s="172" t="s">
        <v>75</v>
      </c>
      <c r="T42" s="173"/>
      <c r="AG42" s="13"/>
    </row>
    <row r="43" spans="14:33">
      <c r="N43" s="172"/>
      <c r="O43" s="172"/>
      <c r="P43" s="172"/>
      <c r="Q43" s="172"/>
      <c r="R43" s="172"/>
      <c r="S43" s="172"/>
      <c r="T43" s="173"/>
      <c r="AG43" s="13"/>
    </row>
    <row r="44" spans="14:33">
      <c r="N44" s="42" t="s">
        <v>105</v>
      </c>
      <c r="O44" s="23" t="s">
        <v>26</v>
      </c>
      <c r="P44" s="26">
        <f>SUMIFS($R$3:$R$3,$G$3:$G$3,O44)</f>
        <v>0</v>
      </c>
      <c r="Q44" s="26">
        <f>SUMIFS($Y$3:$Y$3,$G$3:$G$3,O44)</f>
        <v>0</v>
      </c>
      <c r="R44" s="32">
        <f>IFERROR(Q44/P44,0)</f>
        <v>0</v>
      </c>
      <c r="S44" s="33">
        <f t="shared" ref="S44:S55" si="8">SUMIFS($AE$3:$AE$3,$G$3:$G$3,O44)</f>
        <v>0</v>
      </c>
      <c r="T44" s="18"/>
      <c r="AG44" s="15"/>
    </row>
    <row r="45" spans="14:33">
      <c r="N45" s="42" t="s">
        <v>105</v>
      </c>
      <c r="O45" s="23" t="s">
        <v>27</v>
      </c>
      <c r="P45" s="26">
        <f t="shared" ref="P45:P55" si="9">SUMIFS($R$3:$R$3,$G$3:$G$3,O45)</f>
        <v>0</v>
      </c>
      <c r="Q45" s="26">
        <f t="shared" ref="Q45:Q55" si="10">SUMIFS($Y$3:$Y$3,$G$3:$G$3,O45)</f>
        <v>0</v>
      </c>
      <c r="R45" s="32">
        <f t="shared" ref="R45:R55" si="11">IFERROR(Q45/P45,0)</f>
        <v>0</v>
      </c>
      <c r="S45" s="33">
        <f t="shared" si="8"/>
        <v>0</v>
      </c>
      <c r="T45" s="18"/>
      <c r="AG45" s="15"/>
    </row>
    <row r="46" spans="14:33">
      <c r="N46" s="42" t="s">
        <v>105</v>
      </c>
      <c r="O46" s="23" t="s">
        <v>28</v>
      </c>
      <c r="P46" s="26">
        <f t="shared" si="9"/>
        <v>0</v>
      </c>
      <c r="Q46" s="26">
        <f t="shared" si="10"/>
        <v>0</v>
      </c>
      <c r="R46" s="32">
        <f t="shared" si="11"/>
        <v>0</v>
      </c>
      <c r="S46" s="33">
        <f t="shared" si="8"/>
        <v>0</v>
      </c>
      <c r="T46" s="18"/>
      <c r="AG46" s="15"/>
    </row>
    <row r="47" spans="14:33">
      <c r="N47" s="42" t="s">
        <v>105</v>
      </c>
      <c r="O47" s="23" t="s">
        <v>29</v>
      </c>
      <c r="P47" s="26">
        <f t="shared" si="9"/>
        <v>0</v>
      </c>
      <c r="Q47" s="26">
        <f t="shared" si="10"/>
        <v>0</v>
      </c>
      <c r="R47" s="32">
        <f t="shared" si="11"/>
        <v>0</v>
      </c>
      <c r="S47" s="33">
        <f t="shared" si="8"/>
        <v>0</v>
      </c>
      <c r="T47" s="18"/>
      <c r="AG47" s="15"/>
    </row>
    <row r="48" spans="14:33">
      <c r="N48" s="42" t="s">
        <v>105</v>
      </c>
      <c r="O48" s="23" t="s">
        <v>30</v>
      </c>
      <c r="P48" s="26">
        <f t="shared" si="9"/>
        <v>8800</v>
      </c>
      <c r="Q48" s="26">
        <f t="shared" si="10"/>
        <v>8743</v>
      </c>
      <c r="R48" s="32">
        <f t="shared" si="11"/>
        <v>0.99352272727272728</v>
      </c>
      <c r="S48" s="33">
        <f t="shared" si="8"/>
        <v>218575</v>
      </c>
      <c r="T48" s="18"/>
      <c r="AG48" s="15"/>
    </row>
    <row r="49" spans="1:33">
      <c r="N49" s="42" t="s">
        <v>105</v>
      </c>
      <c r="O49" s="23" t="s">
        <v>31</v>
      </c>
      <c r="P49" s="26">
        <f t="shared" si="9"/>
        <v>0</v>
      </c>
      <c r="Q49" s="26">
        <f t="shared" si="10"/>
        <v>0</v>
      </c>
      <c r="R49" s="32">
        <f t="shared" si="11"/>
        <v>0</v>
      </c>
      <c r="S49" s="33">
        <f t="shared" si="8"/>
        <v>0</v>
      </c>
      <c r="T49" s="18"/>
      <c r="AG49" s="15"/>
    </row>
    <row r="50" spans="1:33" ht="15" customHeight="1">
      <c r="N50" s="42" t="s">
        <v>105</v>
      </c>
      <c r="O50" s="23" t="s">
        <v>32</v>
      </c>
      <c r="P50" s="26">
        <f t="shared" si="9"/>
        <v>0</v>
      </c>
      <c r="Q50" s="26">
        <f t="shared" si="10"/>
        <v>0</v>
      </c>
      <c r="R50" s="32">
        <f t="shared" si="11"/>
        <v>0</v>
      </c>
      <c r="S50" s="33">
        <f t="shared" si="8"/>
        <v>0</v>
      </c>
      <c r="T50" s="18"/>
      <c r="AG50" s="15"/>
    </row>
    <row r="51" spans="1:33">
      <c r="A51" s="173"/>
      <c r="B51" s="173"/>
      <c r="C51" s="173"/>
      <c r="D51" s="173"/>
      <c r="E51" s="173"/>
      <c r="F51" s="173"/>
      <c r="G51" s="173"/>
      <c r="N51" s="42" t="s">
        <v>105</v>
      </c>
      <c r="O51" s="23" t="s">
        <v>33</v>
      </c>
      <c r="P51" s="26">
        <f t="shared" si="9"/>
        <v>0</v>
      </c>
      <c r="Q51" s="26">
        <f t="shared" si="10"/>
        <v>0</v>
      </c>
      <c r="R51" s="32">
        <f t="shared" si="11"/>
        <v>0</v>
      </c>
      <c r="S51" s="33">
        <f t="shared" si="8"/>
        <v>0</v>
      </c>
      <c r="T51" s="18"/>
      <c r="AG51" s="15"/>
    </row>
    <row r="52" spans="1:33">
      <c r="A52" s="173"/>
      <c r="B52" s="173"/>
      <c r="C52" s="173"/>
      <c r="D52" s="173"/>
      <c r="E52" s="173"/>
      <c r="F52" s="173"/>
      <c r="G52" s="173"/>
      <c r="N52" s="42" t="s">
        <v>105</v>
      </c>
      <c r="O52" s="23" t="s">
        <v>34</v>
      </c>
      <c r="P52" s="26">
        <f t="shared" si="9"/>
        <v>0</v>
      </c>
      <c r="Q52" s="26">
        <f t="shared" si="10"/>
        <v>0</v>
      </c>
      <c r="R52" s="32">
        <f t="shared" si="11"/>
        <v>0</v>
      </c>
      <c r="S52" s="33">
        <f t="shared" si="8"/>
        <v>0</v>
      </c>
      <c r="T52" s="18"/>
      <c r="AG52" s="15"/>
    </row>
    <row r="53" spans="1:33">
      <c r="A53" s="14"/>
      <c r="B53" s="15"/>
      <c r="C53" s="15"/>
      <c r="D53" s="16"/>
      <c r="E53" s="16"/>
      <c r="F53" s="17"/>
      <c r="G53" s="18"/>
      <c r="N53" s="42" t="s">
        <v>105</v>
      </c>
      <c r="O53" s="23" t="s">
        <v>35</v>
      </c>
      <c r="P53" s="26">
        <f t="shared" si="9"/>
        <v>0</v>
      </c>
      <c r="Q53" s="26">
        <f t="shared" si="10"/>
        <v>0</v>
      </c>
      <c r="R53" s="32">
        <f t="shared" si="11"/>
        <v>0</v>
      </c>
      <c r="S53" s="33">
        <f t="shared" si="8"/>
        <v>0</v>
      </c>
      <c r="T53" s="18"/>
      <c r="AG53" s="15"/>
    </row>
    <row r="54" spans="1:33">
      <c r="A54" s="14"/>
      <c r="B54" s="15"/>
      <c r="C54" s="15"/>
      <c r="D54" s="16"/>
      <c r="E54" s="16"/>
      <c r="F54" s="17"/>
      <c r="G54" s="18"/>
      <c r="N54" s="42" t="s">
        <v>105</v>
      </c>
      <c r="O54" s="23" t="s">
        <v>36</v>
      </c>
      <c r="P54" s="26">
        <f t="shared" si="9"/>
        <v>0</v>
      </c>
      <c r="Q54" s="26">
        <f t="shared" si="10"/>
        <v>0</v>
      </c>
      <c r="R54" s="32">
        <f t="shared" si="11"/>
        <v>0</v>
      </c>
      <c r="S54" s="33">
        <f t="shared" si="8"/>
        <v>0</v>
      </c>
      <c r="T54" s="18"/>
      <c r="AG54" s="15"/>
    </row>
    <row r="55" spans="1:33">
      <c r="A55" s="14"/>
      <c r="B55" s="15"/>
      <c r="C55" s="15"/>
      <c r="D55" s="16"/>
      <c r="E55" s="16"/>
      <c r="F55" s="17"/>
      <c r="G55" s="18"/>
      <c r="N55" s="42" t="s">
        <v>105</v>
      </c>
      <c r="O55" s="23" t="s">
        <v>37</v>
      </c>
      <c r="P55" s="26">
        <f t="shared" si="9"/>
        <v>0</v>
      </c>
      <c r="Q55" s="26">
        <f t="shared" si="10"/>
        <v>0</v>
      </c>
      <c r="R55" s="32">
        <f t="shared" si="11"/>
        <v>0</v>
      </c>
      <c r="S55" s="33">
        <f t="shared" si="8"/>
        <v>0</v>
      </c>
      <c r="T55" s="18"/>
      <c r="AG55" s="15"/>
    </row>
    <row r="56" spans="1:33">
      <c r="A56" s="14"/>
      <c r="B56" s="15"/>
      <c r="C56" s="15"/>
      <c r="D56" s="16"/>
      <c r="E56" s="16"/>
      <c r="F56" s="17"/>
      <c r="G56" s="18"/>
      <c r="N56" s="8" t="s">
        <v>107</v>
      </c>
      <c r="O56" s="9"/>
      <c r="P56" s="27">
        <f>SUM(P44:P55)</f>
        <v>8800</v>
      </c>
      <c r="Q56" s="27">
        <f>SUM(Q44:Q55)</f>
        <v>8743</v>
      </c>
      <c r="R56" s="34">
        <f t="shared" ref="R56" si="12">IFERROR(Q56/P56,0)</f>
        <v>0.99352272727272728</v>
      </c>
      <c r="S56" s="35">
        <f>SUM(S44:S55)</f>
        <v>218575</v>
      </c>
      <c r="T56" s="22"/>
      <c r="AG56" s="13"/>
    </row>
    <row r="57" spans="1:33">
      <c r="A57" s="14"/>
      <c r="B57" s="15"/>
      <c r="C57" s="15"/>
      <c r="D57" s="16"/>
      <c r="E57" s="16"/>
      <c r="F57" s="17"/>
      <c r="G57" s="18"/>
    </row>
    <row r="58" spans="1:33">
      <c r="A58" s="19"/>
      <c r="B58" s="19"/>
      <c r="C58" s="13"/>
      <c r="D58" s="20"/>
      <c r="E58" s="20"/>
      <c r="F58" s="21"/>
      <c r="G58" s="22"/>
    </row>
    <row r="59" spans="1:33">
      <c r="A59" s="10" t="s">
        <v>91</v>
      </c>
      <c r="B59" s="11">
        <v>25</v>
      </c>
      <c r="C59" s="62"/>
      <c r="D59" s="62"/>
      <c r="E59" s="62"/>
      <c r="F59" s="62"/>
      <c r="G59" s="62"/>
    </row>
  </sheetData>
  <sheetProtection formatCells="0" formatColumns="0" formatRows="0"/>
  <mergeCells count="41">
    <mergeCell ref="Y1:Y2"/>
    <mergeCell ref="Z1:Z2"/>
    <mergeCell ref="AF1:AF2"/>
    <mergeCell ref="AG1:AG2"/>
    <mergeCell ref="S42:S43"/>
    <mergeCell ref="T42:T43"/>
    <mergeCell ref="V1:V2"/>
    <mergeCell ref="W1:W2"/>
    <mergeCell ref="X1:X2"/>
    <mergeCell ref="S1:U1"/>
    <mergeCell ref="AA1:AE1"/>
    <mergeCell ref="P1:P2"/>
    <mergeCell ref="P42:P43"/>
    <mergeCell ref="Q1:Q2"/>
    <mergeCell ref="Q42:Q43"/>
    <mergeCell ref="R1:R2"/>
    <mergeCell ref="R42:R43"/>
    <mergeCell ref="M1:M2"/>
    <mergeCell ref="N1:N2"/>
    <mergeCell ref="N42:N43"/>
    <mergeCell ref="O1:O2"/>
    <mergeCell ref="O42:O43"/>
    <mergeCell ref="H1:H2"/>
    <mergeCell ref="I1:I2"/>
    <mergeCell ref="J1:J2"/>
    <mergeCell ref="K1:K2"/>
    <mergeCell ref="L1:L2"/>
    <mergeCell ref="A1:A2"/>
    <mergeCell ref="A51:A52"/>
    <mergeCell ref="B1:B2"/>
    <mergeCell ref="B51:B52"/>
    <mergeCell ref="C1:C2"/>
    <mergeCell ref="C51:C52"/>
    <mergeCell ref="G1:G2"/>
    <mergeCell ref="G51:G52"/>
    <mergeCell ref="D1:D2"/>
    <mergeCell ref="D51:D52"/>
    <mergeCell ref="E1:E2"/>
    <mergeCell ref="E51:E52"/>
    <mergeCell ref="F1:F2"/>
    <mergeCell ref="F51:F52"/>
  </mergeCells>
  <pageMargins left="0.7" right="0.7" top="0.75" bottom="0.75" header="0.3" footer="0.3"/>
  <pageSetup paperSize="9" orientation="portrait"/>
  <headerFooter>
    <oddFooter>&amp;CNBCU Internal</oddFooter>
  </headerFooter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G59"/>
  <sheetViews>
    <sheetView workbookViewId="0">
      <pane xSplit="2" topLeftCell="C1" activePane="topRight" state="frozen"/>
      <selection pane="topRight" activeCell="E6" sqref="E6"/>
    </sheetView>
  </sheetViews>
  <sheetFormatPr defaultColWidth="8.81640625" defaultRowHeight="14.5"/>
  <cols>
    <col min="1" max="2" width="13.453125" style="3" customWidth="1"/>
    <col min="3" max="3" width="14.1796875" style="3" customWidth="1"/>
    <col min="4" max="4" width="5.453125" style="3" customWidth="1"/>
    <col min="5" max="6" width="9" style="3" customWidth="1"/>
    <col min="7" max="7" width="8.81640625" style="3" customWidth="1"/>
    <col min="8" max="8" width="19.453125" style="3" customWidth="1"/>
    <col min="9" max="9" width="19.81640625" style="3" customWidth="1"/>
    <col min="10" max="10" width="11.453125" style="3" customWidth="1"/>
    <col min="11" max="11" width="13.1796875" style="3" customWidth="1"/>
    <col min="12" max="12" width="11.1796875" style="3" customWidth="1"/>
    <col min="13" max="14" width="13.1796875" style="3" customWidth="1"/>
    <col min="15" max="15" width="13.81640625" style="3" customWidth="1"/>
    <col min="16" max="16" width="22.453125" style="3" customWidth="1"/>
    <col min="17" max="18" width="19.453125" style="3" customWidth="1"/>
    <col min="19" max="19" width="12.1796875" style="3" customWidth="1"/>
    <col min="20" max="20" width="17.453125" style="3" customWidth="1"/>
    <col min="21" max="21" width="9.81640625" style="3" customWidth="1"/>
    <col min="22" max="22" width="18" style="3" customWidth="1"/>
    <col min="23" max="23" width="19.1796875" style="3" customWidth="1"/>
    <col min="24" max="24" width="13.453125" style="3" customWidth="1"/>
    <col min="25" max="25" width="10.1796875" style="3" customWidth="1"/>
    <col min="26" max="26" width="18.1796875" style="3" customWidth="1"/>
    <col min="27" max="27" width="15" style="3" customWidth="1"/>
    <col min="28" max="28" width="9.453125" style="3" customWidth="1"/>
    <col min="29" max="29" width="18" style="3" customWidth="1"/>
    <col min="30" max="30" width="12.1796875" style="3" customWidth="1"/>
    <col min="31" max="31" width="11.453125" style="3" customWidth="1"/>
    <col min="32" max="32" width="37" style="3" customWidth="1"/>
    <col min="33" max="33" width="9.1796875" style="3" hidden="1" customWidth="1"/>
    <col min="34" max="16384" width="8.81640625" style="3"/>
  </cols>
  <sheetData>
    <row r="1" spans="1:33" s="1" customFormat="1" ht="33" customHeight="1">
      <c r="A1" s="172" t="s">
        <v>22</v>
      </c>
      <c r="B1" s="172" t="s">
        <v>47</v>
      </c>
      <c r="C1" s="172" t="s">
        <v>48</v>
      </c>
      <c r="D1" s="172" t="s">
        <v>79</v>
      </c>
      <c r="E1" s="172" t="s">
        <v>80</v>
      </c>
      <c r="F1" s="172" t="s">
        <v>81</v>
      </c>
      <c r="G1" s="172" t="s">
        <v>82</v>
      </c>
      <c r="H1" s="172" t="s">
        <v>50</v>
      </c>
      <c r="I1" s="172" t="s">
        <v>51</v>
      </c>
      <c r="J1" s="172" t="s">
        <v>53</v>
      </c>
      <c r="K1" s="172" t="s">
        <v>54</v>
      </c>
      <c r="L1" s="172" t="s">
        <v>94</v>
      </c>
      <c r="M1" s="172" t="s">
        <v>56</v>
      </c>
      <c r="N1" s="175" t="s">
        <v>57</v>
      </c>
      <c r="O1" s="172" t="s">
        <v>58</v>
      </c>
      <c r="P1" s="172" t="s">
        <v>83</v>
      </c>
      <c r="Q1" s="172" t="s">
        <v>95</v>
      </c>
      <c r="R1" s="172" t="s">
        <v>60</v>
      </c>
      <c r="S1" s="172" t="s">
        <v>61</v>
      </c>
      <c r="T1" s="172"/>
      <c r="U1" s="172"/>
      <c r="V1" s="172" t="s">
        <v>62</v>
      </c>
      <c r="W1" s="172" t="s">
        <v>63</v>
      </c>
      <c r="X1" s="172" t="s">
        <v>64</v>
      </c>
      <c r="Y1" s="172" t="s">
        <v>85</v>
      </c>
      <c r="Z1" s="172" t="s">
        <v>66</v>
      </c>
      <c r="AA1" s="172" t="s">
        <v>67</v>
      </c>
      <c r="AB1" s="172"/>
      <c r="AC1" s="172"/>
      <c r="AD1" s="172"/>
      <c r="AE1" s="172"/>
      <c r="AF1" s="172" t="s">
        <v>3</v>
      </c>
      <c r="AG1" s="172" t="s">
        <v>86</v>
      </c>
    </row>
    <row r="2" spans="1:33" s="1" customFormat="1" ht="55.5" customHeigh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6"/>
      <c r="O2" s="172"/>
      <c r="P2" s="172"/>
      <c r="Q2" s="172"/>
      <c r="R2" s="172"/>
      <c r="S2" s="4" t="s">
        <v>68</v>
      </c>
      <c r="T2" s="4" t="s">
        <v>69</v>
      </c>
      <c r="U2" s="4" t="s">
        <v>70</v>
      </c>
      <c r="V2" s="172"/>
      <c r="W2" s="172"/>
      <c r="X2" s="172"/>
      <c r="Y2" s="172"/>
      <c r="Z2" s="172"/>
      <c r="AA2" s="4" t="s">
        <v>96</v>
      </c>
      <c r="AB2" s="4" t="s">
        <v>97</v>
      </c>
      <c r="AC2" s="4" t="s">
        <v>73</v>
      </c>
      <c r="AD2" s="4" t="s">
        <v>74</v>
      </c>
      <c r="AE2" s="4" t="s">
        <v>75</v>
      </c>
      <c r="AF2" s="172"/>
      <c r="AG2" s="172"/>
    </row>
    <row r="3" spans="1:33" ht="13.5" customHeight="1">
      <c r="A3" s="42" t="s">
        <v>98</v>
      </c>
      <c r="B3" s="42" t="s">
        <v>99</v>
      </c>
      <c r="C3" s="42" t="s">
        <v>99</v>
      </c>
      <c r="D3" s="23">
        <v>1</v>
      </c>
      <c r="E3" s="44">
        <v>44348</v>
      </c>
      <c r="F3" s="44">
        <v>44358</v>
      </c>
      <c r="G3" s="23" t="s">
        <v>31</v>
      </c>
      <c r="H3" s="23">
        <v>27</v>
      </c>
      <c r="I3" s="23">
        <v>27</v>
      </c>
      <c r="J3" s="23">
        <v>27</v>
      </c>
      <c r="K3" s="24">
        <v>27</v>
      </c>
      <c r="L3" s="23">
        <v>8</v>
      </c>
      <c r="M3" s="23">
        <v>0</v>
      </c>
      <c r="N3" s="23">
        <v>19</v>
      </c>
      <c r="O3" s="24">
        <v>19</v>
      </c>
      <c r="P3" s="23">
        <v>19</v>
      </c>
      <c r="Q3" s="28">
        <v>0</v>
      </c>
      <c r="R3" s="29">
        <f t="shared" ref="R3" si="0">($P3/$AG3)*8</f>
        <v>19</v>
      </c>
      <c r="S3" s="30">
        <v>5</v>
      </c>
      <c r="T3" s="30">
        <v>6</v>
      </c>
      <c r="U3" s="26">
        <v>34</v>
      </c>
      <c r="V3" s="29">
        <f>(($H3-$J3)/$AG3)*8</f>
        <v>0</v>
      </c>
      <c r="W3" s="31">
        <v>0</v>
      </c>
      <c r="X3" s="29">
        <f>SUM(T3,V3,W3)</f>
        <v>6</v>
      </c>
      <c r="Y3" s="29">
        <f t="shared" ref="Y3" si="1">R3-X3</f>
        <v>13</v>
      </c>
      <c r="Z3" s="36">
        <v>4</v>
      </c>
      <c r="AA3" s="37">
        <f t="shared" ref="AA3:AA4" si="2">J3/I3</f>
        <v>1</v>
      </c>
      <c r="AB3" s="37">
        <f t="shared" ref="AB3:AB4" si="3">J3/H3</f>
        <v>1</v>
      </c>
      <c r="AC3" s="37">
        <f t="shared" ref="AC3" si="4">IFERROR(P3/(O3*D3),0)</f>
        <v>1</v>
      </c>
      <c r="AD3" s="37">
        <f t="shared" ref="AD3" si="5">IFERROR(Y3/R3,0)</f>
        <v>0.68421052631578949</v>
      </c>
      <c r="AE3" s="38">
        <f>Y3*$B$9</f>
        <v>325</v>
      </c>
      <c r="AF3" s="23" t="s">
        <v>100</v>
      </c>
      <c r="AG3" s="23">
        <v>8</v>
      </c>
    </row>
    <row r="4" spans="1:33" s="2" customFormat="1">
      <c r="A4" s="8" t="s">
        <v>98</v>
      </c>
      <c r="B4" s="8" t="s">
        <v>90</v>
      </c>
      <c r="C4" s="9" t="s">
        <v>90</v>
      </c>
      <c r="D4" s="9">
        <f ca="1">SUM(D3:INDIRECT("D"&amp;ROW()-1))</f>
        <v>1</v>
      </c>
      <c r="E4" s="9"/>
      <c r="F4" s="9"/>
      <c r="G4" s="9"/>
      <c r="H4" s="9">
        <f ca="1">INDIRECT("H"&amp;ROW()-1)</f>
        <v>27</v>
      </c>
      <c r="I4" s="9">
        <f ca="1">INDIRECT("I"&amp;ROW()-1)</f>
        <v>27</v>
      </c>
      <c r="J4" s="9">
        <f ca="1">INDIRECT("J"&amp;ROW()-1)</f>
        <v>27</v>
      </c>
      <c r="K4" s="9">
        <f ca="1">INDIRECT("K"&amp;ROW()-1)</f>
        <v>27</v>
      </c>
      <c r="L4" s="24">
        <f ca="1">INDIRECT("L"&amp;ROW()-1)</f>
        <v>8</v>
      </c>
      <c r="M4" s="9">
        <f ca="1">SUM(M3:INDIRECT("M"&amp;ROW()-1))</f>
        <v>0</v>
      </c>
      <c r="N4" s="9">
        <f>SUM(N3:N3)</f>
        <v>19</v>
      </c>
      <c r="O4" s="9">
        <f ca="1">INDIRECT("O"&amp;ROW()-1)</f>
        <v>19</v>
      </c>
      <c r="P4" s="9">
        <f>SUM(P3:P3)</f>
        <v>19</v>
      </c>
      <c r="Q4" s="9">
        <f ca="1">SUM(Q3:INDIRECT("Q"&amp;ROW()-1))</f>
        <v>0</v>
      </c>
      <c r="R4" s="27">
        <f ca="1">SUM(R3:INDIRECT("R"&amp;ROW()-1))</f>
        <v>19</v>
      </c>
      <c r="S4" s="27">
        <f>SUM(S3:S3)</f>
        <v>5</v>
      </c>
      <c r="T4" s="27">
        <f>SUM(T3:T3)</f>
        <v>6</v>
      </c>
      <c r="U4" s="27">
        <f>SUM(U3:U3)</f>
        <v>34</v>
      </c>
      <c r="V4" s="9">
        <f ca="1">SUM(V3:INDIRECT("V"&amp;ROW()-1))</f>
        <v>0</v>
      </c>
      <c r="W4" s="9">
        <f ca="1">SUM(W3:INDIRECT("W"&amp;ROW()-1))</f>
        <v>0</v>
      </c>
      <c r="X4" s="9">
        <f ca="1">SUM(X3:INDIRECT("X"&amp;ROW()-1))</f>
        <v>6</v>
      </c>
      <c r="Y4" s="27">
        <f ca="1">SUM(Y3:INDIRECT("Y"&amp;ROW()-1))</f>
        <v>13</v>
      </c>
      <c r="Z4" s="9">
        <f ca="1">SUM(Z3:INDIRECT("z"&amp;ROW()-1))</f>
        <v>4</v>
      </c>
      <c r="AA4" s="34">
        <f t="shared" ca="1" si="2"/>
        <v>1</v>
      </c>
      <c r="AB4" s="34">
        <f t="shared" ca="1" si="3"/>
        <v>1</v>
      </c>
      <c r="AC4" s="34">
        <f t="shared" ref="AC4" ca="1" si="6">P4/(O4*D4)</f>
        <v>1</v>
      </c>
      <c r="AD4" s="39">
        <f t="shared" ref="AD4" ca="1" si="7">Y4/R4</f>
        <v>0.68421052631578949</v>
      </c>
      <c r="AE4" s="35">
        <f ca="1">SUM(AE3:INDIRECT("AF"&amp;ROW()-1))</f>
        <v>325</v>
      </c>
      <c r="AF4" s="9"/>
      <c r="AG4" s="9"/>
    </row>
    <row r="5" spans="1:33" s="2" customFormat="1"/>
    <row r="6" spans="1:33" s="2" customFormat="1">
      <c r="A6" s="10"/>
      <c r="B6" s="11"/>
      <c r="E6" s="2">
        <v>11</v>
      </c>
      <c r="Q6" s="13"/>
      <c r="AC6" s="25"/>
    </row>
    <row r="7" spans="1:33" s="2" customFormat="1">
      <c r="A7" s="10"/>
      <c r="B7" s="11"/>
      <c r="L7" s="45"/>
      <c r="Q7" s="13"/>
      <c r="AC7" s="25"/>
    </row>
    <row r="8" spans="1:33" s="2" customFormat="1">
      <c r="A8" s="10"/>
      <c r="B8" s="11"/>
      <c r="Q8" s="13"/>
      <c r="AC8" s="25"/>
    </row>
    <row r="9" spans="1:33" s="2" customFormat="1">
      <c r="A9" s="10" t="s">
        <v>91</v>
      </c>
      <c r="B9" s="11">
        <v>25</v>
      </c>
      <c r="P9" s="25"/>
      <c r="Q9" s="13"/>
      <c r="AC9" s="25"/>
    </row>
    <row r="10" spans="1:33">
      <c r="A10" s="10" t="s">
        <v>92</v>
      </c>
      <c r="B10" s="12">
        <v>8</v>
      </c>
      <c r="C10" s="2"/>
      <c r="D10" s="2"/>
      <c r="E10" s="2"/>
      <c r="F10" s="2"/>
      <c r="G10" s="2"/>
      <c r="H10" s="2"/>
      <c r="I10" s="2"/>
      <c r="J10" s="25"/>
      <c r="K10" s="25"/>
      <c r="L10" s="2"/>
      <c r="M10" s="2"/>
      <c r="N10" s="2"/>
      <c r="O10" s="2"/>
      <c r="P10" s="2"/>
      <c r="Q10" s="1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42" spans="14:33">
      <c r="N42" s="172" t="s">
        <v>22</v>
      </c>
      <c r="O42" s="172" t="s">
        <v>82</v>
      </c>
      <c r="P42" s="172" t="s">
        <v>60</v>
      </c>
      <c r="Q42" s="172" t="s">
        <v>85</v>
      </c>
      <c r="R42" s="172" t="s">
        <v>74</v>
      </c>
      <c r="S42" s="172" t="s">
        <v>75</v>
      </c>
      <c r="T42" s="173"/>
      <c r="AG42" s="13"/>
    </row>
    <row r="43" spans="14:33">
      <c r="N43" s="172"/>
      <c r="O43" s="172"/>
      <c r="P43" s="172"/>
      <c r="Q43" s="172"/>
      <c r="R43" s="172"/>
      <c r="S43" s="172"/>
      <c r="T43" s="173"/>
      <c r="AG43" s="13"/>
    </row>
    <row r="44" spans="14:33">
      <c r="N44" s="23" t="s">
        <v>98</v>
      </c>
      <c r="O44" s="23" t="s">
        <v>26</v>
      </c>
      <c r="P44" s="26">
        <f>SUMIFS($R$3:$R$3,$G$3:$G$3,O44)</f>
        <v>0</v>
      </c>
      <c r="Q44" s="26">
        <f>SUMIFS($Y$3:$Y$3,$G$3:$G$3,O44)</f>
        <v>0</v>
      </c>
      <c r="R44" s="32">
        <f>IFERROR(Q44/P44,0)</f>
        <v>0</v>
      </c>
      <c r="S44" s="33">
        <f>SUMIFS($AE$3:$AE$3,$G$3:$G$3,O44)</f>
        <v>0</v>
      </c>
      <c r="T44" s="18"/>
      <c r="AG44" s="15"/>
    </row>
    <row r="45" spans="14:33">
      <c r="N45" s="23" t="s">
        <v>98</v>
      </c>
      <c r="O45" s="23" t="s">
        <v>27</v>
      </c>
      <c r="P45" s="26">
        <f t="shared" ref="P45:P55" si="8">SUMIFS($R$3:$R$3,$G$3:$G$3,O45)</f>
        <v>0</v>
      </c>
      <c r="Q45" s="26">
        <f>SUMIFS($Y$3:$Y$3,$G$3:$G$3,O45)</f>
        <v>0</v>
      </c>
      <c r="R45" s="32">
        <f t="shared" ref="R45:R56" si="9">IFERROR(Q45/P45,0)</f>
        <v>0</v>
      </c>
      <c r="S45" s="33">
        <f>SUMIFS($AE$3:$AE$3,$G$3:$G$3,O45)</f>
        <v>0</v>
      </c>
      <c r="T45" s="18"/>
      <c r="AG45" s="15"/>
    </row>
    <row r="46" spans="14:33">
      <c r="N46" s="23" t="s">
        <v>98</v>
      </c>
      <c r="O46" s="23" t="s">
        <v>28</v>
      </c>
      <c r="P46" s="26">
        <f t="shared" si="8"/>
        <v>0</v>
      </c>
      <c r="Q46" s="26">
        <f>SUMIFS($Y$3:$Y$3,$G$3:$G$3,O46)</f>
        <v>0</v>
      </c>
      <c r="R46" s="32">
        <f t="shared" si="9"/>
        <v>0</v>
      </c>
      <c r="S46" s="33">
        <f>SUMIFS($AE$3:$AE$3,$G$3:$G$3,O46)</f>
        <v>0</v>
      </c>
      <c r="T46" s="18"/>
      <c r="AG46" s="15"/>
    </row>
    <row r="47" spans="14:33">
      <c r="N47" s="23" t="s">
        <v>98</v>
      </c>
      <c r="O47" s="23" t="s">
        <v>29</v>
      </c>
      <c r="P47" s="26">
        <f t="shared" si="8"/>
        <v>0</v>
      </c>
      <c r="Q47" s="26">
        <f t="shared" ref="Q47:Q55" si="10">SUMIFS($Y$3:$Y$3,$G$3:$G$3,O47)</f>
        <v>0</v>
      </c>
      <c r="R47" s="32">
        <f t="shared" si="9"/>
        <v>0</v>
      </c>
      <c r="S47" s="33">
        <f t="shared" ref="S47:S55" si="11">SUMIFS($AE$3:$AE$3,$G$3:$G$3,O47)</f>
        <v>0</v>
      </c>
      <c r="T47" s="18"/>
      <c r="AG47" s="15"/>
    </row>
    <row r="48" spans="14:33">
      <c r="N48" s="23" t="s">
        <v>98</v>
      </c>
      <c r="O48" s="23" t="s">
        <v>30</v>
      </c>
      <c r="P48" s="26">
        <f t="shared" si="8"/>
        <v>0</v>
      </c>
      <c r="Q48" s="26">
        <f t="shared" si="10"/>
        <v>0</v>
      </c>
      <c r="R48" s="32">
        <f t="shared" si="9"/>
        <v>0</v>
      </c>
      <c r="S48" s="33">
        <f t="shared" si="11"/>
        <v>0</v>
      </c>
      <c r="T48" s="18"/>
      <c r="AG48" s="15"/>
    </row>
    <row r="49" spans="1:33">
      <c r="N49" s="23" t="s">
        <v>98</v>
      </c>
      <c r="O49" s="23" t="s">
        <v>31</v>
      </c>
      <c r="P49" s="26">
        <f t="shared" si="8"/>
        <v>19</v>
      </c>
      <c r="Q49" s="26">
        <f t="shared" si="10"/>
        <v>13</v>
      </c>
      <c r="R49" s="32">
        <f t="shared" si="9"/>
        <v>0.68421052631578949</v>
      </c>
      <c r="S49" s="33">
        <f t="shared" si="11"/>
        <v>325</v>
      </c>
      <c r="T49" s="18"/>
      <c r="AG49" s="15"/>
    </row>
    <row r="50" spans="1:33" ht="15" customHeight="1">
      <c r="N50" s="23" t="s">
        <v>98</v>
      </c>
      <c r="O50" s="23" t="s">
        <v>32</v>
      </c>
      <c r="P50" s="26">
        <f t="shared" si="8"/>
        <v>0</v>
      </c>
      <c r="Q50" s="26">
        <f t="shared" si="10"/>
        <v>0</v>
      </c>
      <c r="R50" s="32">
        <f t="shared" si="9"/>
        <v>0</v>
      </c>
      <c r="S50" s="33">
        <f t="shared" si="11"/>
        <v>0</v>
      </c>
      <c r="T50" s="18"/>
      <c r="AG50" s="15"/>
    </row>
    <row r="51" spans="1:33">
      <c r="A51" s="173"/>
      <c r="B51" s="173"/>
      <c r="C51" s="173"/>
      <c r="D51" s="173"/>
      <c r="E51" s="173"/>
      <c r="F51" s="173"/>
      <c r="G51" s="173"/>
      <c r="N51" s="23" t="s">
        <v>98</v>
      </c>
      <c r="O51" s="23" t="s">
        <v>33</v>
      </c>
      <c r="P51" s="26">
        <f t="shared" si="8"/>
        <v>0</v>
      </c>
      <c r="Q51" s="26">
        <f t="shared" si="10"/>
        <v>0</v>
      </c>
      <c r="R51" s="32">
        <f t="shared" si="9"/>
        <v>0</v>
      </c>
      <c r="S51" s="33">
        <f t="shared" si="11"/>
        <v>0</v>
      </c>
      <c r="T51" s="18"/>
      <c r="AG51" s="15"/>
    </row>
    <row r="52" spans="1:33">
      <c r="A52" s="173"/>
      <c r="B52" s="173"/>
      <c r="C52" s="173"/>
      <c r="D52" s="173"/>
      <c r="E52" s="173"/>
      <c r="F52" s="173"/>
      <c r="G52" s="173"/>
      <c r="N52" s="23" t="s">
        <v>98</v>
      </c>
      <c r="O52" s="23" t="s">
        <v>34</v>
      </c>
      <c r="P52" s="26">
        <f t="shared" si="8"/>
        <v>0</v>
      </c>
      <c r="Q52" s="26">
        <f t="shared" si="10"/>
        <v>0</v>
      </c>
      <c r="R52" s="32">
        <f t="shared" si="9"/>
        <v>0</v>
      </c>
      <c r="S52" s="33">
        <f t="shared" si="11"/>
        <v>0</v>
      </c>
      <c r="T52" s="18"/>
      <c r="AG52" s="15"/>
    </row>
    <row r="53" spans="1:33">
      <c r="A53" s="14"/>
      <c r="B53" s="15"/>
      <c r="C53" s="15"/>
      <c r="D53" s="16"/>
      <c r="E53" s="16"/>
      <c r="F53" s="17"/>
      <c r="G53" s="18"/>
      <c r="N53" s="23" t="s">
        <v>98</v>
      </c>
      <c r="O53" s="23" t="s">
        <v>35</v>
      </c>
      <c r="P53" s="26">
        <f t="shared" si="8"/>
        <v>0</v>
      </c>
      <c r="Q53" s="26">
        <f t="shared" si="10"/>
        <v>0</v>
      </c>
      <c r="R53" s="32">
        <f t="shared" si="9"/>
        <v>0</v>
      </c>
      <c r="S53" s="33">
        <f t="shared" si="11"/>
        <v>0</v>
      </c>
      <c r="T53" s="18"/>
      <c r="AG53" s="15"/>
    </row>
    <row r="54" spans="1:33">
      <c r="A54" s="14"/>
      <c r="B54" s="15"/>
      <c r="C54" s="15"/>
      <c r="D54" s="16"/>
      <c r="E54" s="16"/>
      <c r="F54" s="17"/>
      <c r="G54" s="18"/>
      <c r="N54" s="23" t="s">
        <v>98</v>
      </c>
      <c r="O54" s="23" t="s">
        <v>36</v>
      </c>
      <c r="P54" s="26">
        <f t="shared" si="8"/>
        <v>0</v>
      </c>
      <c r="Q54" s="26">
        <f t="shared" si="10"/>
        <v>0</v>
      </c>
      <c r="R54" s="32">
        <f t="shared" si="9"/>
        <v>0</v>
      </c>
      <c r="S54" s="33">
        <f t="shared" si="11"/>
        <v>0</v>
      </c>
      <c r="T54" s="18"/>
      <c r="AG54" s="15"/>
    </row>
    <row r="55" spans="1:33">
      <c r="A55" s="14"/>
      <c r="B55" s="15"/>
      <c r="C55" s="15"/>
      <c r="D55" s="16"/>
      <c r="E55" s="16"/>
      <c r="F55" s="17"/>
      <c r="G55" s="18"/>
      <c r="N55" s="23" t="s">
        <v>98</v>
      </c>
      <c r="O55" s="23" t="s">
        <v>37</v>
      </c>
      <c r="P55" s="26">
        <f t="shared" si="8"/>
        <v>0</v>
      </c>
      <c r="Q55" s="26">
        <f t="shared" si="10"/>
        <v>0</v>
      </c>
      <c r="R55" s="32">
        <f t="shared" si="9"/>
        <v>0</v>
      </c>
      <c r="S55" s="33">
        <f t="shared" si="11"/>
        <v>0</v>
      </c>
      <c r="T55" s="18"/>
      <c r="AG55" s="15"/>
    </row>
    <row r="56" spans="1:33">
      <c r="A56" s="14"/>
      <c r="B56" s="15"/>
      <c r="C56" s="15"/>
      <c r="D56" s="16"/>
      <c r="E56" s="16"/>
      <c r="F56" s="17"/>
      <c r="G56" s="18"/>
      <c r="N56" s="23" t="s">
        <v>98</v>
      </c>
      <c r="O56" s="9"/>
      <c r="P56" s="27">
        <f>SUM(P44:P55)</f>
        <v>19</v>
      </c>
      <c r="Q56" s="27">
        <f>SUM(Q44:Q55)</f>
        <v>13</v>
      </c>
      <c r="R56" s="34">
        <f t="shared" si="9"/>
        <v>0.68421052631578949</v>
      </c>
      <c r="S56" s="35">
        <f>SUM(S44:S55)</f>
        <v>325</v>
      </c>
      <c r="T56" s="22"/>
      <c r="AG56" s="13"/>
    </row>
    <row r="57" spans="1:33">
      <c r="A57" s="14"/>
      <c r="B57" s="15"/>
      <c r="C57" s="15"/>
      <c r="D57" s="16"/>
      <c r="E57" s="16"/>
      <c r="F57" s="17"/>
      <c r="G57" s="18"/>
    </row>
    <row r="58" spans="1:33">
      <c r="A58" s="19"/>
      <c r="B58" s="19"/>
      <c r="C58" s="13"/>
      <c r="D58" s="20"/>
      <c r="E58" s="20"/>
      <c r="F58" s="21"/>
      <c r="G58" s="22"/>
    </row>
    <row r="59" spans="1:33">
      <c r="A59" s="10" t="s">
        <v>91</v>
      </c>
      <c r="B59" s="11">
        <v>25</v>
      </c>
      <c r="C59" s="2"/>
      <c r="D59" s="2"/>
      <c r="E59" s="2"/>
      <c r="F59" s="2"/>
      <c r="G59" s="2"/>
    </row>
  </sheetData>
  <sheetProtection formatCells="0" formatColumns="0" formatRows="0"/>
  <mergeCells count="41">
    <mergeCell ref="Y1:Y2"/>
    <mergeCell ref="Z1:Z2"/>
    <mergeCell ref="AF1:AF2"/>
    <mergeCell ref="AG1:AG2"/>
    <mergeCell ref="S42:S43"/>
    <mergeCell ref="T42:T43"/>
    <mergeCell ref="V1:V2"/>
    <mergeCell ref="W1:W2"/>
    <mergeCell ref="X1:X2"/>
    <mergeCell ref="S1:U1"/>
    <mergeCell ref="AA1:AE1"/>
    <mergeCell ref="P1:P2"/>
    <mergeCell ref="P42:P43"/>
    <mergeCell ref="Q1:Q2"/>
    <mergeCell ref="Q42:Q43"/>
    <mergeCell ref="R1:R2"/>
    <mergeCell ref="R42:R43"/>
    <mergeCell ref="M1:M2"/>
    <mergeCell ref="N1:N2"/>
    <mergeCell ref="N42:N43"/>
    <mergeCell ref="O1:O2"/>
    <mergeCell ref="O42:O43"/>
    <mergeCell ref="H1:H2"/>
    <mergeCell ref="I1:I2"/>
    <mergeCell ref="J1:J2"/>
    <mergeCell ref="K1:K2"/>
    <mergeCell ref="L1:L2"/>
    <mergeCell ref="A1:A2"/>
    <mergeCell ref="A51:A52"/>
    <mergeCell ref="B1:B2"/>
    <mergeCell ref="B51:B52"/>
    <mergeCell ref="C1:C2"/>
    <mergeCell ref="C51:C52"/>
    <mergeCell ref="G1:G2"/>
    <mergeCell ref="G51:G52"/>
    <mergeCell ref="D1:D2"/>
    <mergeCell ref="D51:D52"/>
    <mergeCell ref="E1:E2"/>
    <mergeCell ref="E51:E52"/>
    <mergeCell ref="F1:F2"/>
    <mergeCell ref="F51:F52"/>
  </mergeCells>
  <pageMargins left="0.7" right="0.7" top="0.75" bottom="0.75" header="0.3" footer="0.3"/>
  <pageSetup paperSize="9" orientation="portrait"/>
  <headerFooter>
    <oddFooter>&amp;CNBCU Internal</oddFooter>
  </headerFooter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AG59"/>
  <sheetViews>
    <sheetView topLeftCell="A31" workbookViewId="0">
      <pane xSplit="2" topLeftCell="J1" activePane="topRight" state="frozen"/>
      <selection pane="topRight" activeCell="S44" sqref="S44"/>
    </sheetView>
  </sheetViews>
  <sheetFormatPr defaultColWidth="8.81640625" defaultRowHeight="10.5"/>
  <cols>
    <col min="1" max="1" width="12.1796875" style="63" customWidth="1"/>
    <col min="2" max="2" width="10.453125" style="63" customWidth="1"/>
    <col min="3" max="3" width="14.1796875" style="63" customWidth="1"/>
    <col min="4" max="4" width="5.453125" style="63" customWidth="1"/>
    <col min="5" max="6" width="9" style="63" customWidth="1"/>
    <col min="7" max="7" width="8.81640625" style="63" customWidth="1"/>
    <col min="8" max="8" width="19.453125" style="63" customWidth="1"/>
    <col min="9" max="9" width="19.81640625" style="63" customWidth="1"/>
    <col min="10" max="10" width="11.453125" style="63" customWidth="1"/>
    <col min="11" max="11" width="13.1796875" style="63" customWidth="1"/>
    <col min="12" max="12" width="11.1796875" style="63" customWidth="1"/>
    <col min="13" max="14" width="13.1796875" style="63" customWidth="1"/>
    <col min="15" max="15" width="13.81640625" style="63" customWidth="1"/>
    <col min="16" max="16" width="22.453125" style="63" customWidth="1"/>
    <col min="17" max="18" width="19.453125" style="63" customWidth="1"/>
    <col min="19" max="19" width="12.1796875" style="63" customWidth="1"/>
    <col min="20" max="20" width="17.453125" style="63" customWidth="1"/>
    <col min="21" max="21" width="9.81640625" style="63" customWidth="1"/>
    <col min="22" max="22" width="18" style="63" customWidth="1"/>
    <col min="23" max="23" width="19.1796875" style="63" customWidth="1"/>
    <col min="24" max="24" width="13.453125" style="63" customWidth="1"/>
    <col min="25" max="25" width="10.1796875" style="63" customWidth="1"/>
    <col min="26" max="26" width="18.1796875" style="63" customWidth="1"/>
    <col min="27" max="27" width="15" style="63" customWidth="1"/>
    <col min="28" max="28" width="9.453125" style="63" customWidth="1"/>
    <col min="29" max="29" width="18" style="63" customWidth="1"/>
    <col min="30" max="30" width="12.1796875" style="63" customWidth="1"/>
    <col min="31" max="31" width="11.453125" style="63" customWidth="1"/>
    <col min="32" max="32" width="8.81640625" style="63" customWidth="1"/>
    <col min="33" max="33" width="13.81640625" style="63" customWidth="1"/>
    <col min="34" max="34" width="8.81640625" style="63" customWidth="1"/>
    <col min="35" max="16384" width="8.81640625" style="63"/>
  </cols>
  <sheetData>
    <row r="1" spans="1:33" s="15" customFormat="1" ht="33" customHeight="1">
      <c r="A1" s="172" t="s">
        <v>22</v>
      </c>
      <c r="B1" s="172" t="s">
        <v>47</v>
      </c>
      <c r="C1" s="172" t="s">
        <v>48</v>
      </c>
      <c r="D1" s="172" t="s">
        <v>79</v>
      </c>
      <c r="E1" s="172" t="s">
        <v>80</v>
      </c>
      <c r="F1" s="172" t="s">
        <v>81</v>
      </c>
      <c r="G1" s="172" t="s">
        <v>82</v>
      </c>
      <c r="H1" s="172" t="s">
        <v>50</v>
      </c>
      <c r="I1" s="172" t="s">
        <v>51</v>
      </c>
      <c r="J1" s="172" t="s">
        <v>53</v>
      </c>
      <c r="K1" s="172" t="s">
        <v>54</v>
      </c>
      <c r="L1" s="172" t="s">
        <v>55</v>
      </c>
      <c r="M1" s="172" t="s">
        <v>56</v>
      </c>
      <c r="N1" s="175" t="s">
        <v>57</v>
      </c>
      <c r="O1" s="172" t="s">
        <v>58</v>
      </c>
      <c r="P1" s="172" t="s">
        <v>83</v>
      </c>
      <c r="Q1" s="172" t="s">
        <v>95</v>
      </c>
      <c r="R1" s="172" t="s">
        <v>60</v>
      </c>
      <c r="S1" s="172" t="s">
        <v>61</v>
      </c>
      <c r="T1" s="172"/>
      <c r="U1" s="172"/>
      <c r="V1" s="172" t="s">
        <v>62</v>
      </c>
      <c r="W1" s="172" t="s">
        <v>63</v>
      </c>
      <c r="X1" s="172" t="s">
        <v>64</v>
      </c>
      <c r="Y1" s="172" t="s">
        <v>85</v>
      </c>
      <c r="Z1" s="172" t="s">
        <v>66</v>
      </c>
      <c r="AA1" s="172" t="s">
        <v>67</v>
      </c>
      <c r="AB1" s="172"/>
      <c r="AC1" s="172"/>
      <c r="AD1" s="172"/>
      <c r="AE1" s="172"/>
      <c r="AF1" s="172" t="s">
        <v>3</v>
      </c>
      <c r="AG1" s="172" t="s">
        <v>86</v>
      </c>
    </row>
    <row r="2" spans="1:33" s="15" customFormat="1" ht="55.5" customHeigh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6"/>
      <c r="O2" s="172"/>
      <c r="P2" s="172"/>
      <c r="Q2" s="172"/>
      <c r="R2" s="172"/>
      <c r="S2" s="4" t="s">
        <v>68</v>
      </c>
      <c r="T2" s="4" t="s">
        <v>69</v>
      </c>
      <c r="U2" s="4" t="s">
        <v>70</v>
      </c>
      <c r="V2" s="172"/>
      <c r="W2" s="172"/>
      <c r="X2" s="172"/>
      <c r="Y2" s="172"/>
      <c r="Z2" s="172"/>
      <c r="AA2" s="4" t="s">
        <v>96</v>
      </c>
      <c r="AB2" s="4" t="s">
        <v>97</v>
      </c>
      <c r="AC2" s="4" t="s">
        <v>73</v>
      </c>
      <c r="AD2" s="4" t="s">
        <v>74</v>
      </c>
      <c r="AE2" s="4" t="s">
        <v>75</v>
      </c>
      <c r="AF2" s="172"/>
      <c r="AG2" s="172"/>
    </row>
    <row r="3" spans="1:33">
      <c r="A3" s="5" t="s">
        <v>108</v>
      </c>
      <c r="B3" s="42" t="s">
        <v>109</v>
      </c>
      <c r="C3" s="23" t="s">
        <v>26</v>
      </c>
      <c r="D3" s="23">
        <v>2</v>
      </c>
      <c r="E3" s="44">
        <v>44562</v>
      </c>
      <c r="F3" s="44">
        <v>44592</v>
      </c>
      <c r="G3" s="23" t="s">
        <v>26</v>
      </c>
      <c r="H3" s="23">
        <v>147</v>
      </c>
      <c r="I3" s="23">
        <v>147</v>
      </c>
      <c r="J3" s="23">
        <v>147</v>
      </c>
      <c r="K3" s="24">
        <v>147</v>
      </c>
      <c r="L3" s="23">
        <v>0</v>
      </c>
      <c r="M3" s="23">
        <v>0</v>
      </c>
      <c r="N3" s="23">
        <v>0</v>
      </c>
      <c r="O3" s="24">
        <v>147</v>
      </c>
      <c r="P3" s="23">
        <v>230</v>
      </c>
      <c r="Q3" s="28">
        <v>0</v>
      </c>
      <c r="R3" s="29">
        <f t="shared" ref="R3" si="0">($P3/$AG3)*8</f>
        <v>306.66666666666669</v>
      </c>
      <c r="S3" s="30">
        <v>16</v>
      </c>
      <c r="T3" s="30">
        <v>24</v>
      </c>
      <c r="U3" s="26">
        <v>0</v>
      </c>
      <c r="V3" s="29">
        <f>(($H3-$J3)/$B$10)*8</f>
        <v>0</v>
      </c>
      <c r="W3" s="31">
        <v>0</v>
      </c>
      <c r="X3" s="29">
        <f t="shared" ref="X3" si="1">SUM(T3,V3,W3)</f>
        <v>24</v>
      </c>
      <c r="Y3" s="29">
        <f t="shared" ref="Y3" si="2">R3-X3</f>
        <v>282.66666666666669</v>
      </c>
      <c r="Z3" s="36">
        <v>0</v>
      </c>
      <c r="AA3" s="37">
        <f t="shared" ref="AA3" si="3">IFERROR(J3/I3,0)</f>
        <v>1</v>
      </c>
      <c r="AB3" s="37">
        <f t="shared" ref="AB3" si="4">IFERROR(J3/H3,0)</f>
        <v>1</v>
      </c>
      <c r="AC3" s="37">
        <f t="shared" ref="AC3" si="5">IFERROR(P3/(O3*D3),0)</f>
        <v>0.78231292517006801</v>
      </c>
      <c r="AD3" s="37">
        <f t="shared" ref="AD3" si="6">IFERROR(Y3/R3,0)</f>
        <v>0.92173913043478262</v>
      </c>
      <c r="AE3" s="46">
        <f>Y3*$B$9</f>
        <v>7066.666666666667</v>
      </c>
      <c r="AF3" s="42"/>
      <c r="AG3" s="23">
        <v>6</v>
      </c>
    </row>
    <row r="4" spans="1:33" s="62" customFormat="1">
      <c r="A4" s="8" t="s">
        <v>108</v>
      </c>
      <c r="B4" s="8" t="s">
        <v>90</v>
      </c>
      <c r="C4" s="9" t="s">
        <v>90</v>
      </c>
      <c r="D4" s="9">
        <f ca="1">SUM(D3:INDIRECT("D"&amp;ROW()-1))</f>
        <v>2</v>
      </c>
      <c r="E4" s="9"/>
      <c r="F4" s="9"/>
      <c r="G4" s="9"/>
      <c r="H4" s="9">
        <f ca="1">INDIRECT("H"&amp;ROW()-1)</f>
        <v>147</v>
      </c>
      <c r="I4" s="9">
        <f ca="1">INDIRECT("I"&amp;ROW()-1)</f>
        <v>147</v>
      </c>
      <c r="J4" s="9">
        <f ca="1">INDIRECT("J"&amp;ROW()-1)</f>
        <v>147</v>
      </c>
      <c r="K4" s="24">
        <f ca="1">INDIRECT("K"&amp;ROW()-1)</f>
        <v>147</v>
      </c>
      <c r="L4" s="9">
        <f ca="1">SUM(L3:INDIRECT("L"&amp;ROW()-1))</f>
        <v>0</v>
      </c>
      <c r="M4" s="9">
        <f ca="1">SUM(M3:INDIRECT("M"&amp;ROW()-1))</f>
        <v>0</v>
      </c>
      <c r="N4" s="9">
        <f ca="1">SUM(N3:INDIRECT("N"&amp;ROW()-1))</f>
        <v>0</v>
      </c>
      <c r="O4" s="9">
        <f ca="1">INDIRECT("O"&amp;ROW()-1)</f>
        <v>147</v>
      </c>
      <c r="P4" s="9">
        <f ca="1">SUM(P3:INDIRECT("P"&amp;ROW()-1))</f>
        <v>230</v>
      </c>
      <c r="Q4" s="9">
        <f ca="1">SUM(Q3:INDIRECT("Q"&amp;ROW()-1))</f>
        <v>0</v>
      </c>
      <c r="R4" s="27">
        <f ca="1">SUM(R3:INDIRECT("R"&amp;ROW()-1))</f>
        <v>306.66666666666669</v>
      </c>
      <c r="S4" s="9">
        <f ca="1">SUM(S3:INDIRECT("S"&amp;ROW()-1))</f>
        <v>16</v>
      </c>
      <c r="T4" s="9">
        <f ca="1">SUM(T3:INDIRECT("T"&amp;ROW()-1))</f>
        <v>24</v>
      </c>
      <c r="U4" s="9">
        <f ca="1">SUM(U3:INDIRECT("U"&amp;ROW()-1))</f>
        <v>0</v>
      </c>
      <c r="V4" s="9">
        <f ca="1">SUM(V3:INDIRECT("V"&amp;ROW()-1))</f>
        <v>0</v>
      </c>
      <c r="W4" s="9">
        <f ca="1">SUM(W3:INDIRECT("W"&amp;ROW()-1))</f>
        <v>0</v>
      </c>
      <c r="X4" s="9">
        <f ca="1">SUM(X3:INDIRECT("X"&amp;ROW()-1))</f>
        <v>24</v>
      </c>
      <c r="Y4" s="27">
        <f ca="1">SUM(Y3:INDIRECT("Y"&amp;ROW()-1))</f>
        <v>282.66666666666669</v>
      </c>
      <c r="Z4" s="9">
        <f ca="1">SUM(Z3:INDIRECT("z"&amp;ROW()-1))</f>
        <v>0</v>
      </c>
      <c r="AA4" s="34">
        <f ca="1">J4/I4</f>
        <v>1</v>
      </c>
      <c r="AB4" s="34">
        <f ca="1">J4/H4</f>
        <v>1</v>
      </c>
      <c r="AC4" s="34">
        <f ca="1">P4/(O4*D4)</f>
        <v>0.78231292517006801</v>
      </c>
      <c r="AD4" s="39">
        <f t="shared" ref="AD4" ca="1" si="7">IFERROR(Y4/R4,0)</f>
        <v>0.92173913043478262</v>
      </c>
      <c r="AE4" s="35">
        <f ca="1">SUM(AE3:INDIRECT("AF"&amp;ROW()-1))</f>
        <v>7066.666666666667</v>
      </c>
      <c r="AF4" s="9"/>
      <c r="AG4" s="9"/>
    </row>
    <row r="5" spans="1:33" s="62" customFormat="1"/>
    <row r="6" spans="1:33" s="62" customFormat="1">
      <c r="A6" s="10"/>
      <c r="B6" s="11"/>
      <c r="E6" s="62">
        <v>11</v>
      </c>
      <c r="Q6" s="13"/>
      <c r="AC6" s="64"/>
    </row>
    <row r="7" spans="1:33" s="62" customFormat="1">
      <c r="A7" s="10"/>
      <c r="B7" s="11"/>
      <c r="Q7" s="13"/>
      <c r="AC7" s="64"/>
    </row>
    <row r="8" spans="1:33" s="62" customFormat="1">
      <c r="A8" s="10"/>
      <c r="B8" s="11"/>
      <c r="Q8" s="13"/>
      <c r="AC8" s="64"/>
    </row>
    <row r="9" spans="1:33" s="62" customFormat="1">
      <c r="A9" s="10" t="s">
        <v>91</v>
      </c>
      <c r="B9" s="11">
        <v>25</v>
      </c>
      <c r="P9" s="64"/>
      <c r="Q9" s="13"/>
      <c r="AC9" s="64"/>
    </row>
    <row r="10" spans="1:33" ht="21">
      <c r="A10" s="10" t="s">
        <v>92</v>
      </c>
      <c r="B10" s="12">
        <v>15</v>
      </c>
      <c r="C10" s="62"/>
      <c r="D10" s="62"/>
      <c r="E10" s="62"/>
      <c r="F10" s="62"/>
      <c r="G10" s="62"/>
      <c r="H10" s="62"/>
      <c r="I10" s="62"/>
      <c r="J10" s="64"/>
      <c r="K10" s="64"/>
      <c r="L10" s="62"/>
      <c r="M10" s="62"/>
      <c r="N10" s="62"/>
      <c r="O10" s="62"/>
      <c r="P10" s="62"/>
      <c r="Q10" s="13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</row>
    <row r="42" spans="14:33">
      <c r="N42" s="172" t="s">
        <v>22</v>
      </c>
      <c r="O42" s="172" t="s">
        <v>82</v>
      </c>
      <c r="P42" s="172" t="s">
        <v>60</v>
      </c>
      <c r="Q42" s="172" t="s">
        <v>85</v>
      </c>
      <c r="R42" s="172" t="s">
        <v>74</v>
      </c>
      <c r="S42" s="172" t="s">
        <v>75</v>
      </c>
      <c r="T42" s="173"/>
      <c r="AG42" s="13"/>
    </row>
    <row r="43" spans="14:33">
      <c r="N43" s="172"/>
      <c r="O43" s="172"/>
      <c r="P43" s="172"/>
      <c r="Q43" s="172"/>
      <c r="R43" s="172"/>
      <c r="S43" s="172"/>
      <c r="T43" s="173"/>
      <c r="AG43" s="13"/>
    </row>
    <row r="44" spans="14:33">
      <c r="N44" s="42" t="s">
        <v>108</v>
      </c>
      <c r="O44" s="23" t="s">
        <v>26</v>
      </c>
      <c r="P44" s="26">
        <f>R3</f>
        <v>306.66666666666669</v>
      </c>
      <c r="Q44" s="26">
        <f>Y3</f>
        <v>282.66666666666669</v>
      </c>
      <c r="R44" s="32">
        <f t="shared" ref="R44:R55" si="8">IFERROR(Q44/P44,0)</f>
        <v>0.92173913043478262</v>
      </c>
      <c r="S44" s="33">
        <f>AE3</f>
        <v>7066.666666666667</v>
      </c>
      <c r="T44" s="18"/>
      <c r="AG44" s="15"/>
    </row>
    <row r="45" spans="14:33">
      <c r="N45" s="42" t="s">
        <v>108</v>
      </c>
      <c r="O45" s="23" t="s">
        <v>27</v>
      </c>
      <c r="P45" s="26">
        <v>0</v>
      </c>
      <c r="Q45" s="26">
        <v>0</v>
      </c>
      <c r="R45" s="32">
        <f t="shared" si="8"/>
        <v>0</v>
      </c>
      <c r="S45" s="33">
        <v>0</v>
      </c>
      <c r="T45" s="18"/>
      <c r="AG45" s="15"/>
    </row>
    <row r="46" spans="14:33">
      <c r="N46" s="42" t="s">
        <v>108</v>
      </c>
      <c r="O46" s="23" t="s">
        <v>28</v>
      </c>
      <c r="P46" s="26">
        <v>0</v>
      </c>
      <c r="Q46" s="26">
        <v>0</v>
      </c>
      <c r="R46" s="32">
        <f t="shared" si="8"/>
        <v>0</v>
      </c>
      <c r="S46" s="33">
        <v>0</v>
      </c>
      <c r="T46" s="18"/>
      <c r="AG46" s="15"/>
    </row>
    <row r="47" spans="14:33">
      <c r="N47" s="42" t="s">
        <v>108</v>
      </c>
      <c r="O47" s="23" t="s">
        <v>29</v>
      </c>
      <c r="P47" s="26">
        <v>0</v>
      </c>
      <c r="Q47" s="26">
        <v>0</v>
      </c>
      <c r="R47" s="32">
        <f t="shared" si="8"/>
        <v>0</v>
      </c>
      <c r="S47" s="33">
        <v>0</v>
      </c>
      <c r="T47" s="18"/>
      <c r="AG47" s="15"/>
    </row>
    <row r="48" spans="14:33">
      <c r="N48" s="42" t="s">
        <v>108</v>
      </c>
      <c r="O48" s="23" t="s">
        <v>30</v>
      </c>
      <c r="P48" s="26">
        <v>0</v>
      </c>
      <c r="Q48" s="26">
        <v>0</v>
      </c>
      <c r="R48" s="32">
        <f t="shared" si="8"/>
        <v>0</v>
      </c>
      <c r="S48" s="33">
        <v>0</v>
      </c>
      <c r="T48" s="18"/>
      <c r="AG48" s="15"/>
    </row>
    <row r="49" spans="1:33">
      <c r="N49" s="42" t="s">
        <v>108</v>
      </c>
      <c r="O49" s="23" t="s">
        <v>31</v>
      </c>
      <c r="P49" s="26">
        <v>0</v>
      </c>
      <c r="Q49" s="26">
        <v>0</v>
      </c>
      <c r="R49" s="32">
        <f t="shared" si="8"/>
        <v>0</v>
      </c>
      <c r="S49" s="33">
        <v>0</v>
      </c>
      <c r="T49" s="18"/>
      <c r="AG49" s="15"/>
    </row>
    <row r="50" spans="1:33" ht="15" customHeight="1">
      <c r="N50" s="42" t="s">
        <v>108</v>
      </c>
      <c r="O50" s="23" t="s">
        <v>32</v>
      </c>
      <c r="P50" s="26">
        <v>0</v>
      </c>
      <c r="Q50" s="26">
        <v>0</v>
      </c>
      <c r="R50" s="32">
        <f t="shared" si="8"/>
        <v>0</v>
      </c>
      <c r="S50" s="33">
        <v>0</v>
      </c>
      <c r="T50" s="18"/>
      <c r="AG50" s="15"/>
    </row>
    <row r="51" spans="1:33">
      <c r="A51" s="173"/>
      <c r="B51" s="173"/>
      <c r="C51" s="173"/>
      <c r="D51" s="173"/>
      <c r="E51" s="173"/>
      <c r="F51" s="173"/>
      <c r="G51" s="173"/>
      <c r="N51" s="42" t="s">
        <v>108</v>
      </c>
      <c r="O51" s="23" t="s">
        <v>33</v>
      </c>
      <c r="P51" s="26">
        <v>0</v>
      </c>
      <c r="Q51" s="26">
        <v>0</v>
      </c>
      <c r="R51" s="32">
        <f t="shared" si="8"/>
        <v>0</v>
      </c>
      <c r="S51" s="33">
        <v>0</v>
      </c>
      <c r="T51" s="18"/>
      <c r="AG51" s="15"/>
    </row>
    <row r="52" spans="1:33">
      <c r="A52" s="173"/>
      <c r="B52" s="173"/>
      <c r="C52" s="173"/>
      <c r="D52" s="173"/>
      <c r="E52" s="173"/>
      <c r="F52" s="173"/>
      <c r="G52" s="173"/>
      <c r="N52" s="42" t="s">
        <v>108</v>
      </c>
      <c r="O52" s="23" t="s">
        <v>34</v>
      </c>
      <c r="P52" s="26">
        <v>0</v>
      </c>
      <c r="Q52" s="26">
        <v>0</v>
      </c>
      <c r="R52" s="32">
        <f t="shared" si="8"/>
        <v>0</v>
      </c>
      <c r="S52" s="33">
        <v>0</v>
      </c>
      <c r="T52" s="18"/>
      <c r="AG52" s="15"/>
    </row>
    <row r="53" spans="1:33">
      <c r="A53" s="14"/>
      <c r="B53" s="15"/>
      <c r="C53" s="15"/>
      <c r="D53" s="16"/>
      <c r="E53" s="16"/>
      <c r="F53" s="17"/>
      <c r="G53" s="18"/>
      <c r="N53" s="42" t="s">
        <v>108</v>
      </c>
      <c r="O53" s="23" t="s">
        <v>35</v>
      </c>
      <c r="P53" s="26">
        <v>0</v>
      </c>
      <c r="Q53" s="26">
        <v>0</v>
      </c>
      <c r="R53" s="32">
        <f t="shared" si="8"/>
        <v>0</v>
      </c>
      <c r="S53" s="33">
        <v>0</v>
      </c>
      <c r="T53" s="18"/>
      <c r="AG53" s="15"/>
    </row>
    <row r="54" spans="1:33">
      <c r="A54" s="14"/>
      <c r="B54" s="15"/>
      <c r="C54" s="15"/>
      <c r="D54" s="16"/>
      <c r="E54" s="16"/>
      <c r="F54" s="17"/>
      <c r="G54" s="18"/>
      <c r="N54" s="42" t="s">
        <v>108</v>
      </c>
      <c r="O54" s="23" t="s">
        <v>36</v>
      </c>
      <c r="P54" s="26">
        <v>0</v>
      </c>
      <c r="Q54" s="26">
        <v>0</v>
      </c>
      <c r="R54" s="32">
        <f t="shared" si="8"/>
        <v>0</v>
      </c>
      <c r="S54" s="33">
        <v>0</v>
      </c>
      <c r="T54" s="18"/>
      <c r="AG54" s="15"/>
    </row>
    <row r="55" spans="1:33">
      <c r="A55" s="14"/>
      <c r="B55" s="15"/>
      <c r="C55" s="15"/>
      <c r="D55" s="16"/>
      <c r="E55" s="16"/>
      <c r="F55" s="17"/>
      <c r="G55" s="18"/>
      <c r="N55" s="42" t="s">
        <v>108</v>
      </c>
      <c r="O55" s="23" t="s">
        <v>37</v>
      </c>
      <c r="P55" s="26">
        <v>0</v>
      </c>
      <c r="Q55" s="26">
        <v>0</v>
      </c>
      <c r="R55" s="32">
        <f t="shared" si="8"/>
        <v>0</v>
      </c>
      <c r="S55" s="33">
        <v>0</v>
      </c>
      <c r="T55" s="18"/>
      <c r="AG55" s="15"/>
    </row>
    <row r="56" spans="1:33">
      <c r="A56" s="14"/>
      <c r="B56" s="15"/>
      <c r="C56" s="15"/>
      <c r="D56" s="16"/>
      <c r="E56" s="16"/>
      <c r="F56" s="17"/>
      <c r="G56" s="18"/>
      <c r="N56" s="8" t="s">
        <v>107</v>
      </c>
      <c r="O56" s="9"/>
      <c r="P56" s="27">
        <f>SUM(P44:P55)</f>
        <v>306.66666666666669</v>
      </c>
      <c r="Q56" s="27">
        <f>SUM(Q44:Q55)</f>
        <v>282.66666666666669</v>
      </c>
      <c r="R56" s="34">
        <f t="shared" ref="R56" si="9">IFERROR(Q56/P56,0)</f>
        <v>0.92173913043478262</v>
      </c>
      <c r="S56" s="35">
        <f>SUM(S44:S55)</f>
        <v>7066.666666666667</v>
      </c>
      <c r="T56" s="22"/>
      <c r="AG56" s="13"/>
    </row>
    <row r="57" spans="1:33">
      <c r="A57" s="14"/>
      <c r="B57" s="15"/>
      <c r="C57" s="15"/>
      <c r="D57" s="16"/>
      <c r="E57" s="16"/>
      <c r="F57" s="17"/>
      <c r="G57" s="18"/>
    </row>
    <row r="58" spans="1:33">
      <c r="A58" s="19"/>
      <c r="B58" s="19"/>
      <c r="C58" s="13"/>
      <c r="D58" s="20"/>
      <c r="E58" s="20"/>
      <c r="F58" s="21"/>
      <c r="G58" s="22"/>
    </row>
    <row r="59" spans="1:33">
      <c r="A59" s="10" t="s">
        <v>91</v>
      </c>
      <c r="B59" s="11">
        <v>25</v>
      </c>
      <c r="C59" s="62"/>
      <c r="D59" s="62"/>
      <c r="E59" s="62"/>
      <c r="F59" s="62"/>
      <c r="G59" s="62"/>
    </row>
  </sheetData>
  <sheetProtection formatCells="0" formatColumns="0" formatRows="0"/>
  <mergeCells count="41">
    <mergeCell ref="Y1:Y2"/>
    <mergeCell ref="Z1:Z2"/>
    <mergeCell ref="AF1:AF2"/>
    <mergeCell ref="AG1:AG2"/>
    <mergeCell ref="S42:S43"/>
    <mergeCell ref="T42:T43"/>
    <mergeCell ref="V1:V2"/>
    <mergeCell ref="W1:W2"/>
    <mergeCell ref="X1:X2"/>
    <mergeCell ref="S1:U1"/>
    <mergeCell ref="AA1:AE1"/>
    <mergeCell ref="P1:P2"/>
    <mergeCell ref="P42:P43"/>
    <mergeCell ref="Q1:Q2"/>
    <mergeCell ref="Q42:Q43"/>
    <mergeCell ref="R1:R2"/>
    <mergeCell ref="R42:R43"/>
    <mergeCell ref="M1:M2"/>
    <mergeCell ref="N1:N2"/>
    <mergeCell ref="N42:N43"/>
    <mergeCell ref="O1:O2"/>
    <mergeCell ref="O42:O43"/>
    <mergeCell ref="H1:H2"/>
    <mergeCell ref="I1:I2"/>
    <mergeCell ref="J1:J2"/>
    <mergeCell ref="K1:K2"/>
    <mergeCell ref="L1:L2"/>
    <mergeCell ref="A1:A2"/>
    <mergeCell ref="A51:A52"/>
    <mergeCell ref="B1:B2"/>
    <mergeCell ref="B51:B52"/>
    <mergeCell ref="C1:C2"/>
    <mergeCell ref="C51:C52"/>
    <mergeCell ref="G1:G2"/>
    <mergeCell ref="G51:G52"/>
    <mergeCell ref="D1:D2"/>
    <mergeCell ref="D51:D52"/>
    <mergeCell ref="E1:E2"/>
    <mergeCell ref="E51:E52"/>
    <mergeCell ref="F1:F2"/>
    <mergeCell ref="F51:F52"/>
  </mergeCells>
  <pageMargins left="0.7" right="0.7" top="0.75" bottom="0.75" header="0.3" footer="0.3"/>
  <pageSetup paperSize="9" orientation="portrait"/>
  <headerFooter>
    <oddFooter>&amp;CNBCU Internal</oddFooter>
  </headerFooter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E4D9-E742-461C-B25B-14FBD5CFFF82}">
  <sheetPr>
    <tabColor rgb="FF00B050"/>
  </sheetPr>
  <dimension ref="A1:AH61"/>
  <sheetViews>
    <sheetView tabSelected="1" zoomScale="70" zoomScaleNormal="70" workbookViewId="0">
      <pane xSplit="2" topLeftCell="C1" activePane="topRight" state="frozen"/>
      <selection pane="topRight" activeCell="A5" sqref="A5"/>
    </sheetView>
  </sheetViews>
  <sheetFormatPr defaultColWidth="8.81640625" defaultRowHeight="14.5"/>
  <cols>
    <col min="1" max="1" width="13.08984375" style="3" customWidth="1"/>
    <col min="2" max="2" width="20.26953125" style="3" customWidth="1"/>
    <col min="3" max="3" width="11" style="3" customWidth="1"/>
    <col min="4" max="4" width="17.453125" style="3" customWidth="1"/>
    <col min="5" max="6" width="9" style="3" customWidth="1"/>
    <col min="7" max="7" width="8.81640625" style="3" customWidth="1"/>
    <col min="8" max="8" width="19.453125" style="3" customWidth="1"/>
    <col min="9" max="9" width="19.81640625" style="3" customWidth="1"/>
    <col min="10" max="10" width="11.453125" style="3" customWidth="1"/>
    <col min="11" max="11" width="13.1796875" style="3" customWidth="1"/>
    <col min="12" max="12" width="11.1796875" style="3" customWidth="1"/>
    <col min="13" max="14" width="13.1796875" style="3" customWidth="1"/>
    <col min="15" max="15" width="13.81640625" style="3" customWidth="1"/>
    <col min="16" max="16" width="22.453125" style="3" customWidth="1"/>
    <col min="17" max="18" width="19.453125" style="3" customWidth="1"/>
    <col min="19" max="19" width="12.1796875" style="3" customWidth="1"/>
    <col min="20" max="20" width="17.453125" style="3" customWidth="1"/>
    <col min="21" max="21" width="9.81640625" style="3" customWidth="1"/>
    <col min="22" max="22" width="18" style="3" customWidth="1"/>
    <col min="23" max="23" width="19.1796875" style="3" customWidth="1"/>
    <col min="24" max="24" width="13.453125" style="3" customWidth="1"/>
    <col min="25" max="25" width="10.1796875" style="3" customWidth="1"/>
    <col min="26" max="26" width="18.1796875" style="3" customWidth="1"/>
    <col min="27" max="27" width="15" style="3" customWidth="1"/>
    <col min="28" max="28" width="9.453125" style="3" customWidth="1"/>
    <col min="29" max="29" width="18" style="3" customWidth="1"/>
    <col min="30" max="30" width="12.1796875" style="3" customWidth="1"/>
    <col min="31" max="31" width="17.453125" style="3" customWidth="1"/>
    <col min="32" max="32" width="8.81640625" style="3" customWidth="1"/>
    <col min="33" max="33" width="13.81640625" style="3" customWidth="1"/>
    <col min="34" max="34" width="8.81640625" style="3" customWidth="1"/>
    <col min="35" max="16384" width="8.81640625" style="3"/>
  </cols>
  <sheetData>
    <row r="1" spans="1:34" s="1" customFormat="1" ht="33" customHeight="1">
      <c r="A1" s="172" t="s">
        <v>22</v>
      </c>
      <c r="B1" s="172" t="s">
        <v>47</v>
      </c>
      <c r="C1" s="172" t="s">
        <v>48</v>
      </c>
      <c r="D1" s="172" t="s">
        <v>79</v>
      </c>
      <c r="E1" s="172" t="s">
        <v>80</v>
      </c>
      <c r="F1" s="172" t="s">
        <v>81</v>
      </c>
      <c r="G1" s="172" t="s">
        <v>82</v>
      </c>
      <c r="H1" s="172" t="s">
        <v>50</v>
      </c>
      <c r="I1" s="172" t="s">
        <v>51</v>
      </c>
      <c r="J1" s="172" t="s">
        <v>53</v>
      </c>
      <c r="K1" s="172" t="s">
        <v>54</v>
      </c>
      <c r="L1" s="172" t="s">
        <v>94</v>
      </c>
      <c r="M1" s="172" t="s">
        <v>56</v>
      </c>
      <c r="N1" s="175" t="s">
        <v>57</v>
      </c>
      <c r="O1" s="172" t="s">
        <v>58</v>
      </c>
      <c r="P1" s="172" t="s">
        <v>83</v>
      </c>
      <c r="Q1" s="172" t="s">
        <v>84</v>
      </c>
      <c r="R1" s="172" t="s">
        <v>60</v>
      </c>
      <c r="S1" s="172" t="s">
        <v>61</v>
      </c>
      <c r="T1" s="172"/>
      <c r="U1" s="172"/>
      <c r="V1" s="172" t="s">
        <v>62</v>
      </c>
      <c r="W1" s="172" t="s">
        <v>63</v>
      </c>
      <c r="X1" s="172" t="s">
        <v>64</v>
      </c>
      <c r="Y1" s="172" t="s">
        <v>85</v>
      </c>
      <c r="Z1" s="172" t="s">
        <v>66</v>
      </c>
      <c r="AA1" s="172" t="s">
        <v>67</v>
      </c>
      <c r="AB1" s="172"/>
      <c r="AC1" s="172"/>
      <c r="AD1" s="172"/>
      <c r="AE1" s="172"/>
      <c r="AF1" s="172" t="s">
        <v>3</v>
      </c>
      <c r="AG1" s="172" t="s">
        <v>92</v>
      </c>
    </row>
    <row r="2" spans="1:34" s="1" customFormat="1" ht="55.5" customHeigh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6"/>
      <c r="O2" s="172"/>
      <c r="P2" s="172"/>
      <c r="Q2" s="172"/>
      <c r="R2" s="172"/>
      <c r="S2" s="4" t="s">
        <v>68</v>
      </c>
      <c r="T2" s="4" t="s">
        <v>69</v>
      </c>
      <c r="U2" s="4" t="s">
        <v>70</v>
      </c>
      <c r="V2" s="172"/>
      <c r="W2" s="172"/>
      <c r="X2" s="172"/>
      <c r="Y2" s="172"/>
      <c r="Z2" s="172"/>
      <c r="AA2" s="4" t="s">
        <v>96</v>
      </c>
      <c r="AB2" s="4" t="s">
        <v>97</v>
      </c>
      <c r="AC2" s="4" t="s">
        <v>73</v>
      </c>
      <c r="AD2" s="4" t="s">
        <v>74</v>
      </c>
      <c r="AE2" s="4" t="s">
        <v>75</v>
      </c>
      <c r="AF2" s="172"/>
      <c r="AG2" s="172"/>
    </row>
    <row r="3" spans="1:34" ht="17.25" customHeight="1">
      <c r="A3" s="163" t="s">
        <v>201</v>
      </c>
      <c r="B3" s="23" t="s">
        <v>112</v>
      </c>
      <c r="C3" s="23" t="s">
        <v>193</v>
      </c>
      <c r="D3" s="153">
        <v>2</v>
      </c>
      <c r="E3" s="44">
        <v>44943</v>
      </c>
      <c r="F3" s="44">
        <v>44957</v>
      </c>
      <c r="G3" s="23" t="s">
        <v>26</v>
      </c>
      <c r="H3" s="23">
        <v>378</v>
      </c>
      <c r="I3" s="23">
        <v>378</v>
      </c>
      <c r="J3" s="23">
        <v>378</v>
      </c>
      <c r="K3" s="24">
        <v>378</v>
      </c>
      <c r="L3" s="23">
        <v>0</v>
      </c>
      <c r="M3" s="23">
        <v>18</v>
      </c>
      <c r="N3" s="23">
        <v>110</v>
      </c>
      <c r="O3" s="24">
        <v>378</v>
      </c>
      <c r="P3" s="23">
        <v>752</v>
      </c>
      <c r="Q3" s="28">
        <v>24</v>
      </c>
      <c r="R3" s="157">
        <f t="shared" ref="R3:R5" si="0">($P3/$AG3)*8</f>
        <v>601.6</v>
      </c>
      <c r="S3" s="30">
        <v>52</v>
      </c>
      <c r="T3" s="30">
        <v>16</v>
      </c>
      <c r="U3" s="26">
        <v>40</v>
      </c>
      <c r="V3" s="157">
        <v>0</v>
      </c>
      <c r="W3" s="159">
        <v>0</v>
      </c>
      <c r="X3" s="157">
        <f t="shared" ref="X3:X5" si="1">SUM(T3,V3,W3)</f>
        <v>16</v>
      </c>
      <c r="Y3" s="157">
        <f t="shared" ref="Y3:Y5" si="2">R3-X3</f>
        <v>585.6</v>
      </c>
      <c r="Z3" s="160">
        <v>0</v>
      </c>
      <c r="AA3" s="161">
        <f t="shared" ref="AA3:AA6" si="3">J3/I3</f>
        <v>1</v>
      </c>
      <c r="AB3" s="161">
        <f t="shared" ref="AB3:AB6" si="4">J3/H3</f>
        <v>1</v>
      </c>
      <c r="AC3" s="161">
        <f t="shared" ref="AC3:AC5" si="5">IFERROR(P3/(O3*D3),0)</f>
        <v>0.99470899470899465</v>
      </c>
      <c r="AD3" s="161">
        <f t="shared" ref="AD3:AD5" si="6">IFERROR((Y3/R3),0)</f>
        <v>0.97340425531914898</v>
      </c>
      <c r="AE3" s="162">
        <f>Y3*$B$11</f>
        <v>14640</v>
      </c>
      <c r="AF3" s="153"/>
      <c r="AG3" s="153">
        <v>10</v>
      </c>
    </row>
    <row r="4" spans="1:34" ht="17.25" customHeight="1">
      <c r="A4" s="163" t="s">
        <v>201</v>
      </c>
      <c r="B4" s="23" t="s">
        <v>199</v>
      </c>
      <c r="C4" s="23" t="s">
        <v>200</v>
      </c>
      <c r="D4" s="153">
        <v>1</v>
      </c>
      <c r="E4" s="164">
        <v>44958</v>
      </c>
      <c r="F4" s="164">
        <v>44985</v>
      </c>
      <c r="G4" s="153" t="s">
        <v>27</v>
      </c>
      <c r="H4" s="153">
        <v>440</v>
      </c>
      <c r="I4" s="153">
        <v>440</v>
      </c>
      <c r="J4" s="153">
        <v>440</v>
      </c>
      <c r="K4" s="154">
        <v>440</v>
      </c>
      <c r="L4" s="23">
        <v>0</v>
      </c>
      <c r="M4" s="153">
        <v>62</v>
      </c>
      <c r="N4" s="153">
        <v>10</v>
      </c>
      <c r="O4" s="154">
        <v>440</v>
      </c>
      <c r="P4" s="153">
        <v>440</v>
      </c>
      <c r="Q4" s="156">
        <v>88</v>
      </c>
      <c r="R4" s="157">
        <f t="shared" si="0"/>
        <v>704</v>
      </c>
      <c r="S4" s="158">
        <v>56</v>
      </c>
      <c r="T4" s="158">
        <v>40</v>
      </c>
      <c r="U4" s="155">
        <v>16</v>
      </c>
      <c r="V4" s="157">
        <v>0</v>
      </c>
      <c r="W4" s="159">
        <v>0</v>
      </c>
      <c r="X4" s="157">
        <f t="shared" ref="X4" si="7">SUM(T4,V4,W4)</f>
        <v>40</v>
      </c>
      <c r="Y4" s="157">
        <f t="shared" ref="Y4" si="8">R4-X4</f>
        <v>664</v>
      </c>
      <c r="Z4" s="160">
        <v>0</v>
      </c>
      <c r="AA4" s="161">
        <f t="shared" ref="AA4" si="9">J4/I4</f>
        <v>1</v>
      </c>
      <c r="AB4" s="161">
        <f t="shared" ref="AB4" si="10">J4/H4</f>
        <v>1</v>
      </c>
      <c r="AC4" s="161">
        <f t="shared" ref="AC4" si="11">IFERROR(P4/(O4*D4),0)</f>
        <v>1</v>
      </c>
      <c r="AD4" s="161">
        <f t="shared" ref="AD4" si="12">IFERROR((Y4/R4),0)</f>
        <v>0.94318181818181823</v>
      </c>
      <c r="AE4" s="162">
        <f>Y4*$B$11</f>
        <v>16600</v>
      </c>
      <c r="AF4" s="153"/>
      <c r="AG4" s="153">
        <v>5</v>
      </c>
    </row>
    <row r="5" spans="1:34" ht="17.25" customHeight="1">
      <c r="A5" s="163" t="s">
        <v>201</v>
      </c>
      <c r="B5" s="23" t="s">
        <v>205</v>
      </c>
      <c r="C5" s="23" t="s">
        <v>206</v>
      </c>
      <c r="D5" s="153">
        <v>3</v>
      </c>
      <c r="E5" s="164">
        <v>44986</v>
      </c>
      <c r="F5" s="164">
        <v>45016</v>
      </c>
      <c r="G5" s="153" t="s">
        <v>28</v>
      </c>
      <c r="H5" s="153">
        <v>450</v>
      </c>
      <c r="I5" s="153">
        <v>450</v>
      </c>
      <c r="J5" s="153">
        <v>450</v>
      </c>
      <c r="K5" s="154">
        <v>450</v>
      </c>
      <c r="L5" s="23">
        <v>0</v>
      </c>
      <c r="M5" s="153">
        <v>10</v>
      </c>
      <c r="N5" s="153">
        <v>70</v>
      </c>
      <c r="O5" s="154">
        <v>450</v>
      </c>
      <c r="P5" s="153">
        <f>+O5*D5</f>
        <v>1350</v>
      </c>
      <c r="Q5" s="156">
        <v>80</v>
      </c>
      <c r="R5" s="157">
        <f t="shared" si="0"/>
        <v>2160</v>
      </c>
      <c r="S5" s="158">
        <v>56</v>
      </c>
      <c r="T5" s="158">
        <v>24</v>
      </c>
      <c r="U5" s="155">
        <v>80</v>
      </c>
      <c r="V5" s="157">
        <v>0</v>
      </c>
      <c r="W5" s="159">
        <v>0</v>
      </c>
      <c r="X5" s="157">
        <f t="shared" si="1"/>
        <v>24</v>
      </c>
      <c r="Y5" s="157">
        <f t="shared" si="2"/>
        <v>2136</v>
      </c>
      <c r="Z5" s="160">
        <v>0</v>
      </c>
      <c r="AA5" s="161">
        <f t="shared" si="3"/>
        <v>1</v>
      </c>
      <c r="AB5" s="161">
        <f t="shared" si="4"/>
        <v>1</v>
      </c>
      <c r="AC5" s="161">
        <f t="shared" si="5"/>
        <v>1</v>
      </c>
      <c r="AD5" s="161">
        <f t="shared" si="6"/>
        <v>0.98888888888888893</v>
      </c>
      <c r="AE5" s="162">
        <f>Y5*$B$11</f>
        <v>53400</v>
      </c>
      <c r="AF5" s="153"/>
      <c r="AG5" s="153">
        <v>5</v>
      </c>
    </row>
    <row r="6" spans="1:34" s="2" customFormat="1">
      <c r="A6" s="8" t="s">
        <v>201</v>
      </c>
      <c r="B6" s="8" t="s">
        <v>90</v>
      </c>
      <c r="C6" s="9" t="s">
        <v>90</v>
      </c>
      <c r="D6" s="9">
        <f ca="1">SUM(D2:INDIRECT("D"&amp;ROW()-1))</f>
        <v>6</v>
      </c>
      <c r="E6" s="9"/>
      <c r="F6" s="9"/>
      <c r="G6" s="9"/>
      <c r="H6" s="9">
        <f ca="1">INDIRECT("H"&amp;ROW()-1)</f>
        <v>450</v>
      </c>
      <c r="I6" s="9">
        <f ca="1">INDIRECT("I"&amp;ROW()-1)</f>
        <v>450</v>
      </c>
      <c r="J6" s="9">
        <f ca="1">INDIRECT("J"&amp;ROW()-1)</f>
        <v>450</v>
      </c>
      <c r="K6" s="9">
        <f ca="1">INDIRECT("K"&amp;ROW()-1)</f>
        <v>450</v>
      </c>
      <c r="L6" s="9">
        <f ca="1">INDIRECT("L"&amp;ROW()-1)</f>
        <v>0</v>
      </c>
      <c r="M6" s="9">
        <f ca="1">SUM(M5:INDIRECT("M"&amp;ROW()-1))</f>
        <v>10</v>
      </c>
      <c r="N6" s="9">
        <f ca="1">SUM(N2:INDIRECT("N"&amp;ROW()-1))</f>
        <v>190</v>
      </c>
      <c r="O6" s="9">
        <f ca="1">INDIRECT("O"&amp;ROW()-1)</f>
        <v>450</v>
      </c>
      <c r="P6" s="9">
        <f ca="1">SUM(P2:INDIRECT("P"&amp;ROW()-1))</f>
        <v>2542</v>
      </c>
      <c r="Q6" s="9">
        <f ca="1">SUM(Q2:INDIRECT("Q"&amp;ROW()-1))</f>
        <v>192</v>
      </c>
      <c r="R6" s="27">
        <f ca="1">SUM(R5:INDIRECT("R"&amp;ROW()-1))</f>
        <v>2160</v>
      </c>
      <c r="S6" s="27">
        <f>SUM(S5:S5)</f>
        <v>56</v>
      </c>
      <c r="T6" s="27">
        <f>SUM(T5:T5)</f>
        <v>24</v>
      </c>
      <c r="U6" s="27">
        <f>SUM(U5:U5)</f>
        <v>80</v>
      </c>
      <c r="V6" s="9">
        <f ca="1">SUM(V5:INDIRECT("V"&amp;ROW()-1))</f>
        <v>0</v>
      </c>
      <c r="W6" s="9">
        <f ca="1">SUM(W5:INDIRECT("W"&amp;ROW()-1))</f>
        <v>0</v>
      </c>
      <c r="X6" s="9">
        <f ca="1">SUM(X5:INDIRECT("X"&amp;ROW()-1))</f>
        <v>24</v>
      </c>
      <c r="Y6" s="27">
        <f ca="1">SUM(Y5:INDIRECT("Y"&amp;ROW()-1))</f>
        <v>2136</v>
      </c>
      <c r="Z6" s="9">
        <f ca="1">SUM(Z5:INDIRECT("z"&amp;ROW()-1))</f>
        <v>0</v>
      </c>
      <c r="AA6" s="34">
        <f t="shared" ca="1" si="3"/>
        <v>1</v>
      </c>
      <c r="AB6" s="34">
        <f t="shared" ca="1" si="4"/>
        <v>1</v>
      </c>
      <c r="AC6" s="34">
        <f t="shared" ref="AC6" ca="1" si="13">P6/(O6*D6)</f>
        <v>0.94148148148148147</v>
      </c>
      <c r="AD6" s="39">
        <f t="shared" ref="AD6" ca="1" si="14">Y6/R6</f>
        <v>0.98888888888888893</v>
      </c>
      <c r="AE6" s="35">
        <f ca="1">SUM(AE2:INDIRECT("AF"&amp;ROW()-1))</f>
        <v>84640</v>
      </c>
      <c r="AF6" s="9"/>
      <c r="AG6" s="9"/>
    </row>
    <row r="7" spans="1:34" s="2" customFormat="1">
      <c r="S7" s="2">
        <v>0</v>
      </c>
      <c r="AH7" s="96"/>
    </row>
    <row r="8" spans="1:34" s="2" customFormat="1">
      <c r="A8" s="10"/>
      <c r="B8" s="11"/>
      <c r="E8" s="2">
        <v>11</v>
      </c>
      <c r="K8" s="58"/>
      <c r="L8" s="45"/>
      <c r="Q8" s="13"/>
      <c r="AC8" s="25"/>
      <c r="AH8" s="96"/>
    </row>
    <row r="9" spans="1:34" s="2" customFormat="1">
      <c r="A9" s="10"/>
      <c r="B9" s="11"/>
      <c r="Q9" s="13"/>
      <c r="AC9" s="25"/>
      <c r="AH9" s="96"/>
    </row>
    <row r="10" spans="1:34" s="2" customFormat="1">
      <c r="A10" s="10"/>
      <c r="B10" s="11"/>
      <c r="Q10" s="13"/>
      <c r="AC10" s="25"/>
      <c r="AH10" s="96"/>
    </row>
    <row r="11" spans="1:34" s="2" customFormat="1">
      <c r="A11" s="10" t="s">
        <v>91</v>
      </c>
      <c r="B11" s="11">
        <v>25</v>
      </c>
      <c r="P11" s="25"/>
      <c r="Q11" s="13"/>
      <c r="AC11" s="25"/>
      <c r="AH11" s="96"/>
    </row>
    <row r="12" spans="1:34" ht="21">
      <c r="A12" s="10" t="s">
        <v>92</v>
      </c>
      <c r="B12" s="12">
        <v>8</v>
      </c>
      <c r="C12" s="2"/>
      <c r="D12" s="2"/>
      <c r="E12" s="2"/>
      <c r="F12" s="2"/>
      <c r="G12" s="2"/>
      <c r="H12" s="2"/>
      <c r="I12" s="2"/>
      <c r="J12" s="25"/>
      <c r="K12" s="25"/>
      <c r="L12" s="2"/>
      <c r="M12" s="2"/>
      <c r="N12" s="2"/>
      <c r="O12" s="2"/>
      <c r="P12" s="2"/>
      <c r="Q12" s="1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96"/>
    </row>
    <row r="13" spans="1:34">
      <c r="AH13" s="97"/>
    </row>
    <row r="14" spans="1:34">
      <c r="AH14" s="97"/>
    </row>
    <row r="15" spans="1:34">
      <c r="AH15" s="97"/>
    </row>
    <row r="16" spans="1:34">
      <c r="AH16" s="97"/>
    </row>
    <row r="17" spans="34:34">
      <c r="AH17" s="97"/>
    </row>
    <row r="18" spans="34:34">
      <c r="AH18" s="97"/>
    </row>
    <row r="19" spans="34:34">
      <c r="AH19" s="97"/>
    </row>
    <row r="20" spans="34:34">
      <c r="AH20" s="97"/>
    </row>
    <row r="21" spans="34:34">
      <c r="AH21" s="97"/>
    </row>
    <row r="22" spans="34:34">
      <c r="AH22" s="97"/>
    </row>
    <row r="23" spans="34:34">
      <c r="AH23" s="97"/>
    </row>
    <row r="24" spans="34:34">
      <c r="AH24" s="97"/>
    </row>
    <row r="25" spans="34:34">
      <c r="AH25" s="97"/>
    </row>
    <row r="26" spans="34:34">
      <c r="AH26" s="97"/>
    </row>
    <row r="27" spans="34:34">
      <c r="AH27" s="97"/>
    </row>
    <row r="28" spans="34:34">
      <c r="AH28" s="97"/>
    </row>
    <row r="29" spans="34:34">
      <c r="AH29" s="97"/>
    </row>
    <row r="30" spans="34:34">
      <c r="AH30" s="97"/>
    </row>
    <row r="31" spans="34:34">
      <c r="AH31" s="97"/>
    </row>
    <row r="32" spans="34:34">
      <c r="AH32" s="97"/>
    </row>
    <row r="33" spans="14:34">
      <c r="AH33" s="97"/>
    </row>
    <row r="34" spans="14:34">
      <c r="AH34" s="97"/>
    </row>
    <row r="35" spans="14:34">
      <c r="AH35" s="97"/>
    </row>
    <row r="36" spans="14:34">
      <c r="AH36" s="97"/>
    </row>
    <row r="37" spans="14:34">
      <c r="AH37" s="97"/>
    </row>
    <row r="38" spans="14:34">
      <c r="AH38" s="97"/>
    </row>
    <row r="39" spans="14:34">
      <c r="AH39" s="97"/>
    </row>
    <row r="40" spans="14:34">
      <c r="AH40" s="97"/>
    </row>
    <row r="41" spans="14:34">
      <c r="AH41" s="97"/>
    </row>
    <row r="42" spans="14:34">
      <c r="AH42" s="97"/>
    </row>
    <row r="43" spans="14:34">
      <c r="AH43" s="97"/>
    </row>
    <row r="44" spans="14:34">
      <c r="N44" s="172" t="s">
        <v>22</v>
      </c>
      <c r="O44" s="172" t="s">
        <v>82</v>
      </c>
      <c r="P44" s="172" t="s">
        <v>60</v>
      </c>
      <c r="Q44" s="172" t="s">
        <v>85</v>
      </c>
      <c r="R44" s="172" t="s">
        <v>74</v>
      </c>
      <c r="S44" s="172" t="s">
        <v>75</v>
      </c>
      <c r="T44" s="173"/>
      <c r="AG44" s="13"/>
      <c r="AH44" s="98"/>
    </row>
    <row r="45" spans="14:34">
      <c r="N45" s="172"/>
      <c r="O45" s="172"/>
      <c r="P45" s="172"/>
      <c r="Q45" s="172"/>
      <c r="R45" s="172"/>
      <c r="S45" s="172"/>
      <c r="T45" s="173"/>
      <c r="AG45" s="13"/>
      <c r="AH45" s="98"/>
    </row>
    <row r="46" spans="14:34">
      <c r="N46" s="42" t="s">
        <v>201</v>
      </c>
      <c r="O46" s="23" t="s">
        <v>26</v>
      </c>
      <c r="P46" s="26">
        <f>SUMIFS($R$3:$R$5,$G$3:$G$5,O46)</f>
        <v>601.6</v>
      </c>
      <c r="Q46" s="26">
        <f>SUMIFS($Y$3:$Y$5,$G$3:$G$5,O46)</f>
        <v>585.6</v>
      </c>
      <c r="R46" s="32">
        <f>IFERROR(Q46/P46,0)</f>
        <v>0.97340425531914898</v>
      </c>
      <c r="S46" s="33">
        <f>SUMIFS($AE$3:$AE$5,$G$3:$G$5,O46)</f>
        <v>14640</v>
      </c>
      <c r="T46" s="18"/>
      <c r="AG46" s="15"/>
      <c r="AH46" s="99"/>
    </row>
    <row r="47" spans="14:34">
      <c r="N47" s="42" t="s">
        <v>201</v>
      </c>
      <c r="O47" s="23" t="s">
        <v>27</v>
      </c>
      <c r="P47" s="26">
        <f>SUMIFS($R$3:$R$5,$G$3:$G$5,O47)</f>
        <v>704</v>
      </c>
      <c r="Q47" s="26">
        <f>SUMIFS($Y$3:$Y$5,$G$3:$G$5,O47)</f>
        <v>664</v>
      </c>
      <c r="R47" s="32">
        <f>IFERROR(Q47/P47,0)</f>
        <v>0.94318181818181823</v>
      </c>
      <c r="S47" s="33">
        <f>SUMIFS($AE$3:$AE$5,$G$3:$G$5,O47)</f>
        <v>16600</v>
      </c>
      <c r="T47" s="18"/>
      <c r="AG47" s="15"/>
      <c r="AH47" s="99"/>
    </row>
    <row r="48" spans="14:34">
      <c r="N48" s="42" t="s">
        <v>201</v>
      </c>
      <c r="O48" s="23" t="s">
        <v>28</v>
      </c>
      <c r="P48" s="26">
        <f t="shared" ref="P47:P57" si="15">SUMIFS($R$5:$R$5,$G$5:$G$5,O48)</f>
        <v>2160</v>
      </c>
      <c r="Q48" s="26">
        <f t="shared" ref="Q47:Q57" si="16">SUMIFS($Y$5:$Y$5,$G$5:$G$5,O48)</f>
        <v>2136</v>
      </c>
      <c r="R48" s="32">
        <f t="shared" ref="R48:R57" si="17">IFERROR(Q48/P48,0)</f>
        <v>0.98888888888888893</v>
      </c>
      <c r="S48" s="33">
        <f t="shared" ref="S47:S57" si="18">SUMIFS($AE$5:$AE$5,$G$5:$G$5,O48)</f>
        <v>53400</v>
      </c>
      <c r="T48" s="18"/>
      <c r="AG48" s="15"/>
      <c r="AH48" s="99"/>
    </row>
    <row r="49" spans="1:34">
      <c r="N49" s="42" t="s">
        <v>201</v>
      </c>
      <c r="O49" s="23" t="s">
        <v>29</v>
      </c>
      <c r="P49" s="26">
        <f t="shared" si="15"/>
        <v>0</v>
      </c>
      <c r="Q49" s="26">
        <f t="shared" si="16"/>
        <v>0</v>
      </c>
      <c r="R49" s="32">
        <f>IFERROR(Q49/P49,0)</f>
        <v>0</v>
      </c>
      <c r="S49" s="33">
        <f t="shared" si="18"/>
        <v>0</v>
      </c>
      <c r="T49" s="18"/>
      <c r="AG49" s="15"/>
      <c r="AH49" s="99"/>
    </row>
    <row r="50" spans="1:34">
      <c r="N50" s="42" t="s">
        <v>201</v>
      </c>
      <c r="O50" s="23" t="s">
        <v>30</v>
      </c>
      <c r="P50" s="26">
        <f t="shared" si="15"/>
        <v>0</v>
      </c>
      <c r="Q50" s="26">
        <f t="shared" si="16"/>
        <v>0</v>
      </c>
      <c r="R50" s="32">
        <f t="shared" si="17"/>
        <v>0</v>
      </c>
      <c r="S50" s="33">
        <f t="shared" si="18"/>
        <v>0</v>
      </c>
      <c r="T50" s="18"/>
      <c r="AG50" s="15"/>
      <c r="AH50" s="99"/>
    </row>
    <row r="51" spans="1:34">
      <c r="N51" s="42" t="s">
        <v>201</v>
      </c>
      <c r="O51" s="23" t="s">
        <v>31</v>
      </c>
      <c r="P51" s="26">
        <f t="shared" si="15"/>
        <v>0</v>
      </c>
      <c r="Q51" s="26">
        <f t="shared" si="16"/>
        <v>0</v>
      </c>
      <c r="R51" s="32">
        <f t="shared" si="17"/>
        <v>0</v>
      </c>
      <c r="S51" s="33">
        <f t="shared" si="18"/>
        <v>0</v>
      </c>
      <c r="T51" s="18"/>
      <c r="AG51" s="15"/>
      <c r="AH51" s="99"/>
    </row>
    <row r="52" spans="1:34" ht="15" customHeight="1">
      <c r="N52" s="42" t="s">
        <v>201</v>
      </c>
      <c r="O52" s="23" t="s">
        <v>32</v>
      </c>
      <c r="P52" s="26">
        <f t="shared" si="15"/>
        <v>0</v>
      </c>
      <c r="Q52" s="26">
        <f t="shared" si="16"/>
        <v>0</v>
      </c>
      <c r="R52" s="32">
        <f t="shared" si="17"/>
        <v>0</v>
      </c>
      <c r="S52" s="33">
        <f t="shared" si="18"/>
        <v>0</v>
      </c>
      <c r="T52" s="18"/>
      <c r="AG52" s="15"/>
      <c r="AH52" s="99"/>
    </row>
    <row r="53" spans="1:34">
      <c r="A53" s="173"/>
      <c r="B53" s="173"/>
      <c r="C53" s="173"/>
      <c r="D53" s="173"/>
      <c r="E53" s="173"/>
      <c r="F53" s="173"/>
      <c r="G53" s="173"/>
      <c r="N53" s="42" t="s">
        <v>201</v>
      </c>
      <c r="O53" s="23" t="s">
        <v>33</v>
      </c>
      <c r="P53" s="26">
        <f t="shared" si="15"/>
        <v>0</v>
      </c>
      <c r="Q53" s="26">
        <f t="shared" si="16"/>
        <v>0</v>
      </c>
      <c r="R53" s="32">
        <f t="shared" si="17"/>
        <v>0</v>
      </c>
      <c r="S53" s="33">
        <f t="shared" si="18"/>
        <v>0</v>
      </c>
      <c r="T53" s="18"/>
      <c r="AG53" s="15"/>
      <c r="AH53" s="99"/>
    </row>
    <row r="54" spans="1:34">
      <c r="A54" s="173"/>
      <c r="B54" s="173"/>
      <c r="C54" s="173"/>
      <c r="D54" s="173"/>
      <c r="E54" s="173"/>
      <c r="F54" s="173"/>
      <c r="G54" s="173"/>
      <c r="N54" s="42" t="s">
        <v>201</v>
      </c>
      <c r="O54" s="23" t="s">
        <v>34</v>
      </c>
      <c r="P54" s="26">
        <f t="shared" si="15"/>
        <v>0</v>
      </c>
      <c r="Q54" s="26">
        <f t="shared" si="16"/>
        <v>0</v>
      </c>
      <c r="R54" s="32">
        <f t="shared" si="17"/>
        <v>0</v>
      </c>
      <c r="S54" s="33">
        <f t="shared" si="18"/>
        <v>0</v>
      </c>
      <c r="T54" s="18"/>
      <c r="AG54" s="15"/>
      <c r="AH54" s="99"/>
    </row>
    <row r="55" spans="1:34">
      <c r="A55" s="14"/>
      <c r="B55" s="15"/>
      <c r="C55" s="15"/>
      <c r="D55" s="16"/>
      <c r="E55" s="16"/>
      <c r="F55" s="17"/>
      <c r="G55" s="18"/>
      <c r="N55" s="42" t="s">
        <v>201</v>
      </c>
      <c r="O55" s="23" t="s">
        <v>35</v>
      </c>
      <c r="P55" s="26">
        <f t="shared" si="15"/>
        <v>0</v>
      </c>
      <c r="Q55" s="26">
        <f t="shared" si="16"/>
        <v>0</v>
      </c>
      <c r="R55" s="32">
        <f t="shared" si="17"/>
        <v>0</v>
      </c>
      <c r="S55" s="33">
        <f t="shared" si="18"/>
        <v>0</v>
      </c>
      <c r="T55" s="18"/>
      <c r="AG55" s="15"/>
      <c r="AH55" s="99"/>
    </row>
    <row r="56" spans="1:34">
      <c r="A56" s="14"/>
      <c r="B56" s="15"/>
      <c r="C56" s="15"/>
      <c r="D56" s="16"/>
      <c r="E56" s="16"/>
      <c r="F56" s="17"/>
      <c r="G56" s="18"/>
      <c r="N56" s="42" t="s">
        <v>201</v>
      </c>
      <c r="O56" s="23" t="s">
        <v>36</v>
      </c>
      <c r="P56" s="26">
        <f t="shared" si="15"/>
        <v>0</v>
      </c>
      <c r="Q56" s="26">
        <f t="shared" si="16"/>
        <v>0</v>
      </c>
      <c r="R56" s="32">
        <f t="shared" si="17"/>
        <v>0</v>
      </c>
      <c r="S56" s="33">
        <f t="shared" si="18"/>
        <v>0</v>
      </c>
      <c r="T56" s="18"/>
      <c r="AG56" s="15"/>
      <c r="AH56" s="99"/>
    </row>
    <row r="57" spans="1:34">
      <c r="A57" s="14"/>
      <c r="B57" s="15"/>
      <c r="C57" s="15"/>
      <c r="D57" s="16"/>
      <c r="E57" s="16"/>
      <c r="F57" s="17"/>
      <c r="G57" s="18"/>
      <c r="N57" s="42" t="s">
        <v>201</v>
      </c>
      <c r="O57" s="23" t="s">
        <v>37</v>
      </c>
      <c r="P57" s="26">
        <f t="shared" si="15"/>
        <v>0</v>
      </c>
      <c r="Q57" s="26">
        <f t="shared" si="16"/>
        <v>0</v>
      </c>
      <c r="R57" s="32">
        <f t="shared" si="17"/>
        <v>0</v>
      </c>
      <c r="S57" s="33">
        <f t="shared" si="18"/>
        <v>0</v>
      </c>
      <c r="T57" s="18"/>
      <c r="AG57" s="15"/>
      <c r="AH57" s="99"/>
    </row>
    <row r="58" spans="1:34">
      <c r="A58" s="14"/>
      <c r="B58" s="15"/>
      <c r="C58" s="15"/>
      <c r="D58" s="16"/>
      <c r="E58" s="16"/>
      <c r="F58" s="17"/>
      <c r="G58" s="18"/>
      <c r="N58" s="8" t="s">
        <v>201</v>
      </c>
      <c r="O58" s="9"/>
      <c r="P58" s="27">
        <f>SUM(P46:P57)</f>
        <v>3465.6</v>
      </c>
      <c r="Q58" s="27">
        <f>SUM(Q46:Q57)</f>
        <v>3385.6</v>
      </c>
      <c r="R58" s="34">
        <f>Q58/P58</f>
        <v>0.97691597414589104</v>
      </c>
      <c r="S58" s="35">
        <f>SUM(S46:S57)</f>
        <v>84640</v>
      </c>
      <c r="T58" s="22"/>
      <c r="AG58" s="13"/>
      <c r="AH58" s="98"/>
    </row>
    <row r="59" spans="1:34">
      <c r="A59" s="14"/>
      <c r="B59" s="15"/>
      <c r="C59" s="15"/>
      <c r="D59" s="16"/>
      <c r="E59" s="16"/>
      <c r="F59" s="17"/>
      <c r="G59" s="18"/>
      <c r="AH59" s="97"/>
    </row>
    <row r="60" spans="1:34">
      <c r="A60" s="19"/>
      <c r="B60" s="19"/>
      <c r="C60" s="13"/>
      <c r="D60" s="20"/>
      <c r="E60" s="20"/>
      <c r="F60" s="21"/>
      <c r="G60" s="22"/>
      <c r="AH60" s="97"/>
    </row>
    <row r="61" spans="1:34">
      <c r="A61" s="10" t="s">
        <v>91</v>
      </c>
      <c r="B61" s="11">
        <v>25</v>
      </c>
      <c r="C61" s="2"/>
      <c r="D61" s="2"/>
      <c r="E61" s="2"/>
      <c r="F61" s="2"/>
      <c r="G61" s="2"/>
      <c r="AH61" s="97"/>
    </row>
  </sheetData>
  <sheetProtection formatCells="0" formatColumns="0" formatRows="0"/>
  <mergeCells count="41">
    <mergeCell ref="F1:F2"/>
    <mergeCell ref="A1:A2"/>
    <mergeCell ref="B1:B2"/>
    <mergeCell ref="C1:C2"/>
    <mergeCell ref="D1:D2"/>
    <mergeCell ref="E1:E2"/>
    <mergeCell ref="R1:R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AA1:AE1"/>
    <mergeCell ref="AF1:AF2"/>
    <mergeCell ref="AG1:AG2"/>
    <mergeCell ref="N44:N45"/>
    <mergeCell ref="O44:O45"/>
    <mergeCell ref="P44:P45"/>
    <mergeCell ref="Q44:Q45"/>
    <mergeCell ref="R44:R45"/>
    <mergeCell ref="S44:S45"/>
    <mergeCell ref="T44:T45"/>
    <mergeCell ref="S1:U1"/>
    <mergeCell ref="V1:V2"/>
    <mergeCell ref="W1:W2"/>
    <mergeCell ref="X1:X2"/>
    <mergeCell ref="Y1:Y2"/>
    <mergeCell ref="Z1:Z2"/>
    <mergeCell ref="G53:G54"/>
    <mergeCell ref="A53:A54"/>
    <mergeCell ref="B53:B54"/>
    <mergeCell ref="C53:C54"/>
    <mergeCell ref="D53:D54"/>
    <mergeCell ref="E53:E54"/>
    <mergeCell ref="F53:F54"/>
  </mergeCells>
  <pageMargins left="0.7" right="0.7" top="0.75" bottom="0.75" header="0.3" footer="0.3"/>
  <pageSetup paperSize="9" orientation="portrait" r:id="rId1"/>
  <headerFooter>
    <oddFooter>&amp;CNBCU Internal</oddFooter>
  </headerFooter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AG59"/>
  <sheetViews>
    <sheetView zoomScaleNormal="100" workbookViewId="0">
      <pane xSplit="2" topLeftCell="C1" activePane="topRight" state="frozen"/>
      <selection pane="topRight" activeCell="E3" sqref="E3"/>
    </sheetView>
  </sheetViews>
  <sheetFormatPr defaultColWidth="8.81640625" defaultRowHeight="14.5"/>
  <cols>
    <col min="1" max="1" width="9.81640625" style="3" customWidth="1"/>
    <col min="2" max="2" width="13" style="3" customWidth="1"/>
    <col min="3" max="3" width="9.7265625" style="3" bestFit="1" customWidth="1"/>
    <col min="4" max="4" width="5.453125" style="3" customWidth="1"/>
    <col min="5" max="6" width="9" style="3" customWidth="1"/>
    <col min="7" max="7" width="8.81640625" style="3" customWidth="1"/>
    <col min="8" max="8" width="19.453125" style="3" customWidth="1"/>
    <col min="9" max="9" width="19.81640625" style="3" customWidth="1"/>
    <col min="10" max="10" width="11.453125" style="3" customWidth="1"/>
    <col min="11" max="11" width="13.1796875" style="3" customWidth="1"/>
    <col min="12" max="12" width="11.1796875" style="3" customWidth="1"/>
    <col min="13" max="14" width="13.1796875" style="3" customWidth="1"/>
    <col min="15" max="15" width="13.81640625" style="3" customWidth="1"/>
    <col min="16" max="16" width="16.453125" style="3" customWidth="1"/>
    <col min="17" max="17" width="16" style="3" customWidth="1"/>
    <col min="18" max="18" width="19.453125" style="3" customWidth="1"/>
    <col min="19" max="19" width="12.1796875" style="3" customWidth="1"/>
    <col min="20" max="20" width="17.453125" style="3" customWidth="1"/>
    <col min="21" max="21" width="9.81640625" style="3" customWidth="1"/>
    <col min="22" max="22" width="18" style="3" customWidth="1"/>
    <col min="23" max="23" width="19.1796875" style="3" customWidth="1"/>
    <col min="24" max="24" width="13.453125" style="3" customWidth="1"/>
    <col min="25" max="25" width="10.1796875" style="3" customWidth="1"/>
    <col min="26" max="26" width="18.1796875" style="3" customWidth="1"/>
    <col min="27" max="27" width="17.7265625" style="3" customWidth="1"/>
    <col min="28" max="28" width="14.453125" style="3" customWidth="1"/>
    <col min="29" max="29" width="18" style="3" customWidth="1"/>
    <col min="30" max="30" width="12.1796875" style="3" customWidth="1"/>
    <col min="31" max="31" width="11.453125" style="3" customWidth="1"/>
    <col min="32" max="32" width="6.453125" style="3" customWidth="1"/>
    <col min="33" max="33" width="13.81640625" style="3" hidden="1" customWidth="1"/>
    <col min="34" max="16384" width="8.81640625" style="3"/>
  </cols>
  <sheetData>
    <row r="1" spans="1:33" s="1" customFormat="1" ht="33" customHeight="1">
      <c r="A1" s="172" t="s">
        <v>22</v>
      </c>
      <c r="B1" s="172" t="s">
        <v>47</v>
      </c>
      <c r="C1" s="172" t="s">
        <v>48</v>
      </c>
      <c r="D1" s="172" t="s">
        <v>79</v>
      </c>
      <c r="E1" s="172" t="s">
        <v>80</v>
      </c>
      <c r="F1" s="172" t="s">
        <v>81</v>
      </c>
      <c r="G1" s="172" t="s">
        <v>82</v>
      </c>
      <c r="H1" s="172" t="s">
        <v>50</v>
      </c>
      <c r="I1" s="172" t="s">
        <v>51</v>
      </c>
      <c r="J1" s="172" t="s">
        <v>53</v>
      </c>
      <c r="K1" s="172" t="s">
        <v>54</v>
      </c>
      <c r="L1" s="172" t="s">
        <v>94</v>
      </c>
      <c r="M1" s="172" t="s">
        <v>56</v>
      </c>
      <c r="N1" s="175" t="s">
        <v>57</v>
      </c>
      <c r="O1" s="172" t="s">
        <v>58</v>
      </c>
      <c r="P1" s="172" t="s">
        <v>83</v>
      </c>
      <c r="Q1" s="172" t="s">
        <v>111</v>
      </c>
      <c r="R1" s="172" t="s">
        <v>60</v>
      </c>
      <c r="S1" s="172" t="s">
        <v>61</v>
      </c>
      <c r="T1" s="172"/>
      <c r="U1" s="172"/>
      <c r="V1" s="172" t="s">
        <v>62</v>
      </c>
      <c r="W1" s="172" t="s">
        <v>63</v>
      </c>
      <c r="X1" s="172" t="s">
        <v>64</v>
      </c>
      <c r="Y1" s="172" t="s">
        <v>85</v>
      </c>
      <c r="Z1" s="172" t="s">
        <v>66</v>
      </c>
      <c r="AA1" s="172" t="s">
        <v>67</v>
      </c>
      <c r="AB1" s="172"/>
      <c r="AC1" s="172"/>
      <c r="AD1" s="172"/>
      <c r="AE1" s="172"/>
      <c r="AF1" s="172" t="s">
        <v>3</v>
      </c>
      <c r="AG1" s="172" t="s">
        <v>86</v>
      </c>
    </row>
    <row r="2" spans="1:33" s="1" customFormat="1" ht="55.5" customHeigh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6"/>
      <c r="O2" s="172"/>
      <c r="P2" s="172"/>
      <c r="Q2" s="172"/>
      <c r="R2" s="172"/>
      <c r="S2" s="4" t="s">
        <v>68</v>
      </c>
      <c r="T2" s="4" t="s">
        <v>69</v>
      </c>
      <c r="U2" s="4" t="s">
        <v>70</v>
      </c>
      <c r="V2" s="172"/>
      <c r="W2" s="172"/>
      <c r="X2" s="172"/>
      <c r="Y2" s="172"/>
      <c r="Z2" s="172"/>
      <c r="AA2" s="4" t="s">
        <v>96</v>
      </c>
      <c r="AB2" s="4" t="s">
        <v>97</v>
      </c>
      <c r="AC2" s="4" t="s">
        <v>73</v>
      </c>
      <c r="AD2" s="4" t="s">
        <v>74</v>
      </c>
      <c r="AE2" s="4" t="s">
        <v>75</v>
      </c>
      <c r="AF2" s="172"/>
      <c r="AG2" s="172"/>
    </row>
    <row r="3" spans="1:33" ht="21.75" customHeight="1">
      <c r="A3" s="163" t="s">
        <v>113</v>
      </c>
      <c r="B3" s="153" t="s">
        <v>112</v>
      </c>
      <c r="C3" s="163" t="s">
        <v>192</v>
      </c>
      <c r="D3" s="153">
        <v>1</v>
      </c>
      <c r="E3" s="44">
        <v>44927</v>
      </c>
      <c r="F3" s="44">
        <v>44942</v>
      </c>
      <c r="G3" s="153" t="s">
        <v>26</v>
      </c>
      <c r="H3" s="153">
        <v>404</v>
      </c>
      <c r="I3" s="153">
        <v>404</v>
      </c>
      <c r="J3" s="153">
        <v>404</v>
      </c>
      <c r="K3" s="154">
        <v>404</v>
      </c>
      <c r="L3" s="153">
        <v>0</v>
      </c>
      <c r="M3" s="153">
        <v>126</v>
      </c>
      <c r="N3" s="153">
        <v>10</v>
      </c>
      <c r="O3" s="154">
        <v>404</v>
      </c>
      <c r="P3" s="153">
        <v>404</v>
      </c>
      <c r="Q3" s="156">
        <v>64</v>
      </c>
      <c r="R3" s="157">
        <v>444.8</v>
      </c>
      <c r="S3" s="158">
        <v>40</v>
      </c>
      <c r="T3" s="158">
        <v>16</v>
      </c>
      <c r="U3" s="158">
        <v>8</v>
      </c>
      <c r="V3" s="157">
        <v>0</v>
      </c>
      <c r="W3" s="159">
        <v>0</v>
      </c>
      <c r="X3" s="157">
        <v>8</v>
      </c>
      <c r="Y3" s="157">
        <v>436.8</v>
      </c>
      <c r="Z3" s="160">
        <v>0</v>
      </c>
      <c r="AA3" s="161">
        <v>1</v>
      </c>
      <c r="AB3" s="161">
        <v>1</v>
      </c>
      <c r="AC3" s="37">
        <f>IFERROR(P3/(O3*D3),0)</f>
        <v>1</v>
      </c>
      <c r="AD3" s="161">
        <v>0.98201438848920863</v>
      </c>
      <c r="AE3" s="162">
        <v>10920</v>
      </c>
      <c r="AF3" s="153"/>
      <c r="AG3" s="153">
        <v>10</v>
      </c>
    </row>
    <row r="4" spans="1:33" s="2" customFormat="1" ht="20.25" customHeight="1">
      <c r="A4" s="8"/>
      <c r="B4" s="8" t="s">
        <v>90</v>
      </c>
      <c r="C4" s="9" t="s">
        <v>90</v>
      </c>
      <c r="D4" s="9">
        <f ca="1">SUM(D3:D3:INDIRECT("D"&amp;ROW()-1))</f>
        <v>1</v>
      </c>
      <c r="E4" s="9"/>
      <c r="F4" s="9"/>
      <c r="G4" s="9"/>
      <c r="H4" s="9">
        <f ca="1">INDIRECT("H"&amp;ROW()-1)</f>
        <v>404</v>
      </c>
      <c r="I4" s="9">
        <f ca="1">INDIRECT("I"&amp;ROW()-1)</f>
        <v>404</v>
      </c>
      <c r="J4" s="9">
        <f ca="1">INDIRECT("J"&amp;ROW()-1)</f>
        <v>404</v>
      </c>
      <c r="K4" s="9">
        <f ca="1">INDIRECT("K"&amp;ROW()-1)</f>
        <v>404</v>
      </c>
      <c r="L4" s="9">
        <f ca="1">INDIRECT("L"&amp;ROW()-1)</f>
        <v>0</v>
      </c>
      <c r="M4" s="9">
        <f>SUM(M3:M3)</f>
        <v>126</v>
      </c>
      <c r="N4" s="9">
        <f>SUM(N3:N3)</f>
        <v>10</v>
      </c>
      <c r="O4" s="9">
        <f ca="1">INDIRECT("O"&amp;ROW()-1)</f>
        <v>404</v>
      </c>
      <c r="P4" s="9">
        <f t="shared" ref="P4:U4" si="0">SUM(P3:P3)</f>
        <v>404</v>
      </c>
      <c r="Q4" s="9">
        <f t="shared" si="0"/>
        <v>64</v>
      </c>
      <c r="R4" s="27">
        <f t="shared" si="0"/>
        <v>444.8</v>
      </c>
      <c r="S4" s="27">
        <f t="shared" si="0"/>
        <v>40</v>
      </c>
      <c r="T4" s="27">
        <f t="shared" si="0"/>
        <v>16</v>
      </c>
      <c r="U4" s="27">
        <f t="shared" si="0"/>
        <v>8</v>
      </c>
      <c r="V4" s="9">
        <f ca="1">SUM(V3:V3:INDIRECT("V"&amp;ROW()-1))</f>
        <v>0</v>
      </c>
      <c r="W4" s="9">
        <f ca="1">SUM(W3:W3:INDIRECT("W"&amp;ROW()-1))</f>
        <v>0</v>
      </c>
      <c r="X4" s="27">
        <f>SUM(X3:X3)</f>
        <v>8</v>
      </c>
      <c r="Y4" s="27">
        <f>SUM(Y3:Y3)</f>
        <v>436.8</v>
      </c>
      <c r="Z4" s="9">
        <f ca="1">SUM(Z3:Z3:INDIRECT("z"&amp;ROW()-1))</f>
        <v>0</v>
      </c>
      <c r="AA4" s="34">
        <f t="shared" ref="AA4" ca="1" si="1">J4/I4</f>
        <v>1</v>
      </c>
      <c r="AB4" s="34">
        <f t="shared" ref="AB4" ca="1" si="2">J4/H4</f>
        <v>1</v>
      </c>
      <c r="AC4" s="34">
        <f t="shared" ref="AC4" ca="1" si="3">IFERROR(P4/(O4*D4),0)</f>
        <v>1</v>
      </c>
      <c r="AD4" s="39">
        <f t="shared" ref="AD4" si="4">IFERROR(Y4/R4,0)</f>
        <v>0.98201438848920863</v>
      </c>
      <c r="AE4" s="61">
        <f>SUM(AE3:AE3)</f>
        <v>10920</v>
      </c>
      <c r="AF4" s="9"/>
      <c r="AG4" s="9"/>
    </row>
    <row r="5" spans="1:33" s="2" customFormat="1"/>
    <row r="6" spans="1:33" s="2" customFormat="1">
      <c r="A6" s="10"/>
      <c r="B6" s="11"/>
      <c r="E6" s="2">
        <v>11</v>
      </c>
      <c r="P6" s="2">
        <f>247*6</f>
        <v>1482</v>
      </c>
      <c r="Q6" s="13"/>
      <c r="AC6" s="25"/>
    </row>
    <row r="7" spans="1:33" s="2" customFormat="1">
      <c r="A7" s="10"/>
      <c r="B7" s="11"/>
      <c r="Q7" s="13"/>
      <c r="AC7" s="25"/>
    </row>
    <row r="8" spans="1:33" s="2" customFormat="1">
      <c r="A8" s="10"/>
      <c r="B8" s="11"/>
      <c r="Q8" s="13"/>
      <c r="AC8" s="25"/>
    </row>
    <row r="9" spans="1:33" s="2" customFormat="1">
      <c r="A9" s="10" t="s">
        <v>91</v>
      </c>
      <c r="B9" s="11">
        <v>25</v>
      </c>
      <c r="P9" s="25"/>
      <c r="Q9" s="13"/>
      <c r="AC9" s="25"/>
    </row>
    <row r="10" spans="1:33" ht="21">
      <c r="A10" s="10" t="s">
        <v>92</v>
      </c>
      <c r="B10" s="12">
        <v>8</v>
      </c>
      <c r="C10" s="2"/>
      <c r="D10" s="2"/>
      <c r="E10" s="2"/>
      <c r="F10" s="2"/>
      <c r="G10" s="2"/>
      <c r="H10" s="2"/>
      <c r="I10" s="2"/>
      <c r="J10" s="25"/>
      <c r="K10" s="25"/>
      <c r="L10" s="2"/>
      <c r="M10" s="2"/>
      <c r="N10" s="2"/>
      <c r="O10" s="2"/>
      <c r="P10" s="2"/>
      <c r="Q10" s="1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42" spans="14:33" ht="15" customHeight="1">
      <c r="N42" s="172" t="s">
        <v>22</v>
      </c>
      <c r="O42" s="172" t="s">
        <v>82</v>
      </c>
      <c r="P42" s="172" t="s">
        <v>60</v>
      </c>
      <c r="Q42" s="172" t="s">
        <v>85</v>
      </c>
      <c r="R42" s="172" t="s">
        <v>74</v>
      </c>
      <c r="S42" s="172" t="s">
        <v>75</v>
      </c>
      <c r="T42" s="173"/>
      <c r="AG42" s="13"/>
    </row>
    <row r="43" spans="14:33">
      <c r="N43" s="172"/>
      <c r="O43" s="172"/>
      <c r="P43" s="172"/>
      <c r="Q43" s="172"/>
      <c r="R43" s="172"/>
      <c r="S43" s="172"/>
      <c r="T43" s="173"/>
      <c r="AG43" s="13"/>
    </row>
    <row r="44" spans="14:33" ht="21">
      <c r="N44" s="8" t="s">
        <v>113</v>
      </c>
      <c r="O44" s="23" t="s">
        <v>26</v>
      </c>
      <c r="P44" s="26">
        <f t="shared" ref="P44:P49" si="5">SUMIFS($R$3,$G$3,O44)</f>
        <v>444.8</v>
      </c>
      <c r="Q44" s="26">
        <f t="shared" ref="Q44:Q49" si="6">SUMIFS($Y$3,$G$3,O44)</f>
        <v>436.8</v>
      </c>
      <c r="R44" s="32">
        <f t="shared" ref="R44:R50" si="7">IFERROR(Q44/P44,0)</f>
        <v>0.98201438848920863</v>
      </c>
      <c r="S44" s="33">
        <f>SUMIFS($AE$3:$AE$3,$G$3:$G$3,O44)</f>
        <v>10920</v>
      </c>
      <c r="T44" s="18"/>
      <c r="AG44" s="15"/>
    </row>
    <row r="45" spans="14:33" ht="21">
      <c r="N45" s="8" t="s">
        <v>113</v>
      </c>
      <c r="O45" s="23" t="s">
        <v>27</v>
      </c>
      <c r="P45" s="26">
        <f>SUMIFS($R$3:$R$3,$G$3:$G$3,O45)</f>
        <v>0</v>
      </c>
      <c r="Q45" s="26">
        <f>SUMIFS($Y$3:$Y$3,$G$3:$G$3,O45)</f>
        <v>0</v>
      </c>
      <c r="R45" s="32">
        <f t="shared" si="7"/>
        <v>0</v>
      </c>
      <c r="S45" s="33">
        <f>SUMIFS($AE$3:$AE$3,$G$3:$G$3,O45)</f>
        <v>0</v>
      </c>
      <c r="T45" s="18"/>
      <c r="AG45" s="15"/>
    </row>
    <row r="46" spans="14:33" ht="21">
      <c r="N46" s="8" t="s">
        <v>113</v>
      </c>
      <c r="O46" s="23" t="s">
        <v>28</v>
      </c>
      <c r="P46" s="26">
        <f>SUMIFS($R$3:$R$3,$G$3:$G$3,O46)</f>
        <v>0</v>
      </c>
      <c r="Q46" s="26">
        <f>SUMIFS($Y$3:$Y$3,$G$3:$G$3,O46)</f>
        <v>0</v>
      </c>
      <c r="R46" s="32">
        <f t="shared" ref="R46" si="8">IFERROR(Q46/P46,0)</f>
        <v>0</v>
      </c>
      <c r="S46" s="33">
        <f>SUMIFS($AE$3:$AE$3,$G$3:$G$3,O46)</f>
        <v>0</v>
      </c>
      <c r="T46" s="18"/>
      <c r="AG46" s="15"/>
    </row>
    <row r="47" spans="14:33" ht="21">
      <c r="N47" s="8" t="s">
        <v>113</v>
      </c>
      <c r="O47" s="23" t="s">
        <v>29</v>
      </c>
      <c r="P47" s="26">
        <f t="shared" si="5"/>
        <v>0</v>
      </c>
      <c r="Q47" s="26">
        <f t="shared" si="6"/>
        <v>0</v>
      </c>
      <c r="R47" s="32">
        <f t="shared" si="7"/>
        <v>0</v>
      </c>
      <c r="S47" s="33">
        <f t="shared" ref="S47:S49" si="9">SUMIFS($AE$3:$AE$3,$G$3:$G$3,O47)</f>
        <v>0</v>
      </c>
      <c r="T47" s="18"/>
      <c r="AG47" s="15"/>
    </row>
    <row r="48" spans="14:33" ht="21">
      <c r="N48" s="8" t="s">
        <v>113</v>
      </c>
      <c r="O48" s="23" t="s">
        <v>30</v>
      </c>
      <c r="P48" s="26">
        <f t="shared" si="5"/>
        <v>0</v>
      </c>
      <c r="Q48" s="26">
        <f t="shared" si="6"/>
        <v>0</v>
      </c>
      <c r="R48" s="32">
        <f t="shared" si="7"/>
        <v>0</v>
      </c>
      <c r="S48" s="33">
        <f t="shared" si="9"/>
        <v>0</v>
      </c>
      <c r="T48" s="18"/>
      <c r="AG48" s="15"/>
    </row>
    <row r="49" spans="1:33" ht="21">
      <c r="N49" s="8" t="s">
        <v>113</v>
      </c>
      <c r="O49" s="23" t="s">
        <v>31</v>
      </c>
      <c r="P49" s="26">
        <f t="shared" si="5"/>
        <v>0</v>
      </c>
      <c r="Q49" s="26">
        <f t="shared" si="6"/>
        <v>0</v>
      </c>
      <c r="R49" s="32">
        <f t="shared" si="7"/>
        <v>0</v>
      </c>
      <c r="S49" s="33">
        <f t="shared" si="9"/>
        <v>0</v>
      </c>
      <c r="T49" s="18"/>
      <c r="AG49" s="15"/>
    </row>
    <row r="50" spans="1:33" ht="20.25" customHeight="1">
      <c r="N50" s="8" t="s">
        <v>113</v>
      </c>
      <c r="O50" s="23" t="s">
        <v>32</v>
      </c>
      <c r="P50" s="26">
        <f t="shared" ref="P50:P55" si="10">SUMIFS($R$3:$R$3,$G$3:$G$3,O50)</f>
        <v>0</v>
      </c>
      <c r="Q50" s="26">
        <f t="shared" ref="Q50:Q55" si="11">SUMIFS($Y$3:$Y$3,$G$3:$G$3,O50)</f>
        <v>0</v>
      </c>
      <c r="R50" s="32">
        <f t="shared" si="7"/>
        <v>0</v>
      </c>
      <c r="S50" s="33">
        <f t="shared" ref="S50:S55" si="12">SUMIFS($AE$3:$AE$3,$G$3:$G$3,O50)</f>
        <v>0</v>
      </c>
      <c r="T50" s="18"/>
      <c r="AG50" s="15"/>
    </row>
    <row r="51" spans="1:33" ht="21">
      <c r="A51" s="173"/>
      <c r="B51" s="173"/>
      <c r="C51" s="173"/>
      <c r="D51" s="173"/>
      <c r="E51" s="173"/>
      <c r="F51" s="173"/>
      <c r="G51" s="173"/>
      <c r="N51" s="8" t="s">
        <v>113</v>
      </c>
      <c r="O51" s="23" t="s">
        <v>33</v>
      </c>
      <c r="P51" s="26">
        <f t="shared" si="10"/>
        <v>0</v>
      </c>
      <c r="Q51" s="26">
        <f t="shared" si="11"/>
        <v>0</v>
      </c>
      <c r="R51" s="32">
        <f t="shared" ref="R51:R52" si="13">IFERROR(Q51/P51,0)</f>
        <v>0</v>
      </c>
      <c r="S51" s="33">
        <f t="shared" si="12"/>
        <v>0</v>
      </c>
      <c r="T51" s="18"/>
      <c r="AG51" s="15"/>
    </row>
    <row r="52" spans="1:33" ht="21">
      <c r="A52" s="173"/>
      <c r="B52" s="173"/>
      <c r="C52" s="173"/>
      <c r="D52" s="173"/>
      <c r="E52" s="173"/>
      <c r="F52" s="173"/>
      <c r="G52" s="173"/>
      <c r="N52" s="8" t="s">
        <v>113</v>
      </c>
      <c r="O52" s="23" t="s">
        <v>34</v>
      </c>
      <c r="P52" s="26">
        <f t="shared" si="10"/>
        <v>0</v>
      </c>
      <c r="Q52" s="26">
        <f t="shared" si="11"/>
        <v>0</v>
      </c>
      <c r="R52" s="32">
        <f t="shared" si="13"/>
        <v>0</v>
      </c>
      <c r="S52" s="33">
        <f t="shared" si="12"/>
        <v>0</v>
      </c>
      <c r="T52" s="18"/>
      <c r="AG52" s="15"/>
    </row>
    <row r="53" spans="1:33" ht="21">
      <c r="A53" s="14"/>
      <c r="B53" s="15"/>
      <c r="C53" s="15"/>
      <c r="D53" s="16"/>
      <c r="E53" s="16"/>
      <c r="F53" s="17"/>
      <c r="G53" s="18"/>
      <c r="N53" s="8" t="s">
        <v>113</v>
      </c>
      <c r="O53" s="23" t="s">
        <v>35</v>
      </c>
      <c r="P53" s="26">
        <f t="shared" si="10"/>
        <v>0</v>
      </c>
      <c r="Q53" s="26">
        <f t="shared" si="11"/>
        <v>0</v>
      </c>
      <c r="R53" s="32">
        <f t="shared" ref="R53" si="14">IFERROR(Q53/P53,0)</f>
        <v>0</v>
      </c>
      <c r="S53" s="33">
        <f t="shared" si="12"/>
        <v>0</v>
      </c>
      <c r="T53" s="18"/>
      <c r="AG53" s="15"/>
    </row>
    <row r="54" spans="1:33" ht="21">
      <c r="A54" s="14"/>
      <c r="B54" s="15"/>
      <c r="C54" s="15"/>
      <c r="D54" s="16"/>
      <c r="E54" s="16"/>
      <c r="F54" s="17"/>
      <c r="G54" s="18"/>
      <c r="N54" s="8" t="s">
        <v>113</v>
      </c>
      <c r="O54" s="23" t="s">
        <v>36</v>
      </c>
      <c r="P54" s="26">
        <f t="shared" si="10"/>
        <v>0</v>
      </c>
      <c r="Q54" s="26">
        <f t="shared" si="11"/>
        <v>0</v>
      </c>
      <c r="R54" s="32">
        <f t="shared" ref="R54:R55" si="15">IFERROR(Q54/P54,0)</f>
        <v>0</v>
      </c>
      <c r="S54" s="33">
        <f t="shared" si="12"/>
        <v>0</v>
      </c>
      <c r="T54" s="18"/>
      <c r="AG54" s="15"/>
    </row>
    <row r="55" spans="1:33" ht="21">
      <c r="A55" s="14"/>
      <c r="B55" s="15"/>
      <c r="C55" s="15"/>
      <c r="D55" s="16"/>
      <c r="E55" s="16"/>
      <c r="F55" s="17"/>
      <c r="G55" s="18"/>
      <c r="N55" s="8" t="s">
        <v>113</v>
      </c>
      <c r="O55" s="23" t="s">
        <v>37</v>
      </c>
      <c r="P55" s="26">
        <f t="shared" si="10"/>
        <v>0</v>
      </c>
      <c r="Q55" s="26">
        <f t="shared" si="11"/>
        <v>0</v>
      </c>
      <c r="R55" s="32">
        <f t="shared" si="15"/>
        <v>0</v>
      </c>
      <c r="S55" s="33">
        <f t="shared" si="12"/>
        <v>0</v>
      </c>
      <c r="T55" s="18"/>
      <c r="AG55" s="15"/>
    </row>
    <row r="56" spans="1:33">
      <c r="A56" s="14"/>
      <c r="B56" s="15"/>
      <c r="C56" s="15"/>
      <c r="D56" s="16"/>
      <c r="E56" s="16"/>
      <c r="F56" s="17"/>
      <c r="G56" s="18"/>
      <c r="N56" s="8" t="s">
        <v>93</v>
      </c>
      <c r="O56" s="9"/>
      <c r="P56" s="27">
        <f>SUM(P44:P55)</f>
        <v>444.8</v>
      </c>
      <c r="Q56" s="27">
        <f>SUM(Q44:Q55)</f>
        <v>436.8</v>
      </c>
      <c r="R56" s="34">
        <f t="shared" ref="R56" si="16">IFERROR(Q56/P56,0)</f>
        <v>0.98201438848920863</v>
      </c>
      <c r="S56" s="35">
        <f>SUM(S44:S55)</f>
        <v>10920</v>
      </c>
      <c r="T56" s="22"/>
      <c r="AG56" s="13"/>
    </row>
    <row r="57" spans="1:33">
      <c r="A57" s="14"/>
      <c r="B57" s="15"/>
      <c r="C57" s="15"/>
      <c r="D57" s="16"/>
      <c r="E57" s="16"/>
      <c r="F57" s="17"/>
      <c r="G57" s="18"/>
    </row>
    <row r="58" spans="1:33">
      <c r="A58" s="19"/>
      <c r="B58" s="19"/>
      <c r="C58" s="13"/>
      <c r="D58" s="20"/>
      <c r="E58" s="20"/>
      <c r="F58" s="21"/>
      <c r="G58" s="22"/>
    </row>
    <row r="59" spans="1:33">
      <c r="A59" s="10" t="s">
        <v>91</v>
      </c>
      <c r="B59" s="11">
        <v>25</v>
      </c>
      <c r="C59" s="2"/>
      <c r="D59" s="2"/>
      <c r="E59" s="2"/>
      <c r="F59" s="2"/>
      <c r="G59" s="2"/>
    </row>
  </sheetData>
  <sheetProtection formatCells="0" formatColumns="0" formatRows="0"/>
  <mergeCells count="41">
    <mergeCell ref="Y1:Y2"/>
    <mergeCell ref="Z1:Z2"/>
    <mergeCell ref="AF1:AF2"/>
    <mergeCell ref="AG1:AG2"/>
    <mergeCell ref="S42:S43"/>
    <mergeCell ref="T42:T43"/>
    <mergeCell ref="V1:V2"/>
    <mergeCell ref="W1:W2"/>
    <mergeCell ref="X1:X2"/>
    <mergeCell ref="S1:U1"/>
    <mergeCell ref="AA1:AE1"/>
    <mergeCell ref="P1:P2"/>
    <mergeCell ref="P42:P43"/>
    <mergeCell ref="Q1:Q2"/>
    <mergeCell ref="Q42:Q43"/>
    <mergeCell ref="R1:R2"/>
    <mergeCell ref="R42:R43"/>
    <mergeCell ref="M1:M2"/>
    <mergeCell ref="N1:N2"/>
    <mergeCell ref="N42:N43"/>
    <mergeCell ref="O1:O2"/>
    <mergeCell ref="O42:O43"/>
    <mergeCell ref="H1:H2"/>
    <mergeCell ref="I1:I2"/>
    <mergeCell ref="J1:J2"/>
    <mergeCell ref="K1:K2"/>
    <mergeCell ref="L1:L2"/>
    <mergeCell ref="A1:A2"/>
    <mergeCell ref="A51:A52"/>
    <mergeCell ref="B1:B2"/>
    <mergeCell ref="B51:B52"/>
    <mergeCell ref="C1:C2"/>
    <mergeCell ref="C51:C52"/>
    <mergeCell ref="G1:G2"/>
    <mergeCell ref="G51:G52"/>
    <mergeCell ref="D1:D2"/>
    <mergeCell ref="D51:D52"/>
    <mergeCell ref="E1:E2"/>
    <mergeCell ref="E51:E52"/>
    <mergeCell ref="F1:F2"/>
    <mergeCell ref="F51:F52"/>
  </mergeCells>
  <pageMargins left="0.7" right="0.7" top="0.75" bottom="0.75" header="0.3" footer="0.3"/>
  <pageSetup paperSize="9" orientation="portrait"/>
  <headerFooter>
    <oddFooter>&amp;CNBCU Internal</oddFooter>
  </headerFooter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AG59"/>
  <sheetViews>
    <sheetView workbookViewId="0">
      <pane xSplit="2" topLeftCell="C1" activePane="topRight" state="frozen"/>
      <selection pane="topRight" activeCell="F3" sqref="F3"/>
    </sheetView>
  </sheetViews>
  <sheetFormatPr defaultColWidth="8.81640625" defaultRowHeight="14.5"/>
  <cols>
    <col min="1" max="2" width="13.453125" style="3" customWidth="1"/>
    <col min="3" max="3" width="14.1796875" style="3" customWidth="1"/>
    <col min="4" max="4" width="5.453125" style="3" customWidth="1"/>
    <col min="5" max="6" width="9" style="3" customWidth="1"/>
    <col min="7" max="7" width="8.81640625" style="3" customWidth="1"/>
    <col min="8" max="8" width="19.453125" style="3" customWidth="1"/>
    <col min="9" max="9" width="19.81640625" style="3" customWidth="1"/>
    <col min="10" max="10" width="11.453125" style="3" customWidth="1"/>
    <col min="11" max="11" width="13.1796875" style="3" customWidth="1"/>
    <col min="12" max="12" width="11.1796875" style="3" customWidth="1"/>
    <col min="13" max="14" width="13.1796875" style="3" customWidth="1"/>
    <col min="15" max="15" width="13.81640625" style="3" customWidth="1"/>
    <col min="16" max="16" width="22.453125" style="3" customWidth="1"/>
    <col min="17" max="18" width="19.453125" style="3" customWidth="1"/>
    <col min="19" max="19" width="12.1796875" style="3" customWidth="1"/>
    <col min="20" max="20" width="17.453125" style="3" customWidth="1"/>
    <col min="21" max="21" width="9.81640625" style="3" customWidth="1"/>
    <col min="22" max="22" width="18" style="3" customWidth="1"/>
    <col min="23" max="23" width="19.1796875" style="3" customWidth="1"/>
    <col min="24" max="24" width="13.453125" style="3" customWidth="1"/>
    <col min="25" max="25" width="10.1796875" style="3" customWidth="1"/>
    <col min="26" max="26" width="18.1796875" style="3" customWidth="1"/>
    <col min="27" max="27" width="19.26953125" style="3" customWidth="1"/>
    <col min="28" max="28" width="15.453125" style="3" customWidth="1"/>
    <col min="29" max="29" width="18" style="3" customWidth="1"/>
    <col min="30" max="30" width="12.1796875" style="3" customWidth="1"/>
    <col min="31" max="31" width="11.453125" style="3" customWidth="1"/>
    <col min="32" max="32" width="37" style="3" customWidth="1"/>
    <col min="33" max="33" width="9.1796875" style="3" hidden="1" customWidth="1"/>
    <col min="34" max="16384" width="8.81640625" style="3"/>
  </cols>
  <sheetData>
    <row r="1" spans="1:33" s="1" customFormat="1" ht="33" customHeight="1">
      <c r="A1" s="172" t="s">
        <v>22</v>
      </c>
      <c r="B1" s="172" t="s">
        <v>47</v>
      </c>
      <c r="C1" s="172" t="s">
        <v>48</v>
      </c>
      <c r="D1" s="172" t="s">
        <v>79</v>
      </c>
      <c r="E1" s="172" t="s">
        <v>80</v>
      </c>
      <c r="F1" s="172" t="s">
        <v>81</v>
      </c>
      <c r="G1" s="172" t="s">
        <v>82</v>
      </c>
      <c r="H1" s="172" t="s">
        <v>50</v>
      </c>
      <c r="I1" s="172" t="s">
        <v>51</v>
      </c>
      <c r="J1" s="172" t="s">
        <v>53</v>
      </c>
      <c r="K1" s="172" t="s">
        <v>54</v>
      </c>
      <c r="L1" s="172" t="s">
        <v>94</v>
      </c>
      <c r="M1" s="172" t="s">
        <v>56</v>
      </c>
      <c r="N1" s="175" t="s">
        <v>57</v>
      </c>
      <c r="O1" s="172" t="s">
        <v>58</v>
      </c>
      <c r="P1" s="172" t="s">
        <v>83</v>
      </c>
      <c r="Q1" s="172" t="s">
        <v>95</v>
      </c>
      <c r="R1" s="172" t="s">
        <v>60</v>
      </c>
      <c r="S1" s="172" t="s">
        <v>61</v>
      </c>
      <c r="T1" s="172"/>
      <c r="U1" s="172"/>
      <c r="V1" s="172" t="s">
        <v>62</v>
      </c>
      <c r="W1" s="172" t="s">
        <v>63</v>
      </c>
      <c r="X1" s="172" t="s">
        <v>64</v>
      </c>
      <c r="Y1" s="172" t="s">
        <v>85</v>
      </c>
      <c r="Z1" s="172" t="s">
        <v>66</v>
      </c>
      <c r="AA1" s="172" t="s">
        <v>67</v>
      </c>
      <c r="AB1" s="172"/>
      <c r="AC1" s="172"/>
      <c r="AD1" s="172"/>
      <c r="AE1" s="172"/>
      <c r="AF1" s="172" t="s">
        <v>3</v>
      </c>
      <c r="AG1" s="172" t="s">
        <v>86</v>
      </c>
    </row>
    <row r="2" spans="1:33" s="1" customFormat="1" ht="55.5" customHeigh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6"/>
      <c r="O2" s="172"/>
      <c r="P2" s="172"/>
      <c r="Q2" s="172"/>
      <c r="R2" s="172"/>
      <c r="S2" s="4" t="s">
        <v>68</v>
      </c>
      <c r="T2" s="4" t="s">
        <v>69</v>
      </c>
      <c r="U2" s="4" t="s">
        <v>70</v>
      </c>
      <c r="V2" s="172"/>
      <c r="W2" s="172"/>
      <c r="X2" s="172"/>
      <c r="Y2" s="172"/>
      <c r="Z2" s="172"/>
      <c r="AA2" s="4" t="s">
        <v>96</v>
      </c>
      <c r="AB2" s="4" t="s">
        <v>97</v>
      </c>
      <c r="AC2" s="4" t="s">
        <v>73</v>
      </c>
      <c r="AD2" s="4" t="s">
        <v>74</v>
      </c>
      <c r="AE2" s="4" t="s">
        <v>75</v>
      </c>
      <c r="AF2" s="172"/>
      <c r="AG2" s="172"/>
    </row>
    <row r="3" spans="1:33" ht="28.5" customHeight="1">
      <c r="A3" s="42" t="s">
        <v>114</v>
      </c>
      <c r="B3" s="42" t="s">
        <v>115</v>
      </c>
      <c r="C3" s="42" t="s">
        <v>116</v>
      </c>
      <c r="D3" s="23">
        <v>1</v>
      </c>
      <c r="E3" s="44">
        <v>44348</v>
      </c>
      <c r="F3" s="44">
        <v>44377</v>
      </c>
      <c r="G3" s="23" t="s">
        <v>31</v>
      </c>
      <c r="H3" s="23">
        <v>3</v>
      </c>
      <c r="I3" s="23">
        <v>3</v>
      </c>
      <c r="J3" s="23">
        <v>3</v>
      </c>
      <c r="K3" s="24">
        <v>3</v>
      </c>
      <c r="L3" s="23">
        <v>0</v>
      </c>
      <c r="M3" s="23">
        <v>3</v>
      </c>
      <c r="N3" s="23">
        <v>0</v>
      </c>
      <c r="O3" s="24">
        <v>3</v>
      </c>
      <c r="P3" s="23">
        <v>3</v>
      </c>
      <c r="Q3" s="28">
        <v>24</v>
      </c>
      <c r="R3" s="29">
        <v>1.6</v>
      </c>
      <c r="S3" s="30">
        <v>0</v>
      </c>
      <c r="T3" s="30">
        <v>0</v>
      </c>
      <c r="U3" s="26">
        <v>0</v>
      </c>
      <c r="V3" s="29">
        <v>0</v>
      </c>
      <c r="W3" s="31">
        <v>0</v>
      </c>
      <c r="X3" s="29">
        <v>0</v>
      </c>
      <c r="Y3" s="29">
        <v>1.6</v>
      </c>
      <c r="Z3" s="36">
        <v>0</v>
      </c>
      <c r="AA3" s="37">
        <v>1</v>
      </c>
      <c r="AB3" s="37">
        <v>1</v>
      </c>
      <c r="AC3" s="37">
        <v>1</v>
      </c>
      <c r="AD3" s="37">
        <v>1</v>
      </c>
      <c r="AE3" s="38">
        <v>40</v>
      </c>
      <c r="AF3" s="23"/>
      <c r="AG3" s="23">
        <v>10</v>
      </c>
    </row>
    <row r="4" spans="1:33" s="2" customFormat="1" ht="21">
      <c r="A4" s="8" t="s">
        <v>114</v>
      </c>
      <c r="B4" s="8" t="s">
        <v>90</v>
      </c>
      <c r="C4" s="9" t="s">
        <v>90</v>
      </c>
      <c r="D4" s="9">
        <f ca="1">SUM(D3:INDIRECT("D"&amp;ROW()-1))</f>
        <v>1</v>
      </c>
      <c r="E4" s="9"/>
      <c r="F4" s="9"/>
      <c r="G4" s="9"/>
      <c r="H4" s="9">
        <f ca="1">INDIRECT("H"&amp;ROW()-1)</f>
        <v>3</v>
      </c>
      <c r="I4" s="9">
        <f ca="1">INDIRECT("I"&amp;ROW()-1)</f>
        <v>3</v>
      </c>
      <c r="J4" s="9">
        <f ca="1">INDIRECT("J"&amp;ROW()-1)</f>
        <v>3</v>
      </c>
      <c r="K4" s="9">
        <f ca="1">INDIRECT("K"&amp;ROW()-1)</f>
        <v>3</v>
      </c>
      <c r="L4" s="9">
        <f ca="1">SUM(L3:INDIRECT("L"&amp;ROW()-1))</f>
        <v>0</v>
      </c>
      <c r="M4" s="9">
        <f ca="1">SUM(M3:INDIRECT("M"&amp;ROW()-1))</f>
        <v>3</v>
      </c>
      <c r="N4" s="9">
        <f>SUM(N3:N3)</f>
        <v>0</v>
      </c>
      <c r="O4" s="9">
        <f ca="1">INDIRECT("O"&amp;ROW()-1)</f>
        <v>3</v>
      </c>
      <c r="P4" s="9">
        <f>SUM(P3:P3)</f>
        <v>3</v>
      </c>
      <c r="Q4" s="9">
        <f ca="1">SUM(Q3:INDIRECT("Q"&amp;ROW()-1))</f>
        <v>24</v>
      </c>
      <c r="R4" s="27">
        <f ca="1">SUM(R3:INDIRECT("R"&amp;ROW()-1))</f>
        <v>1.6</v>
      </c>
      <c r="S4" s="27">
        <f>SUM(S3:S3)</f>
        <v>0</v>
      </c>
      <c r="T4" s="27">
        <f>SUM(T3:T3)</f>
        <v>0</v>
      </c>
      <c r="U4" s="27">
        <f>SUM(U3:U3)</f>
        <v>0</v>
      </c>
      <c r="V4" s="9">
        <f ca="1">SUM(V3:INDIRECT("V"&amp;ROW()-1))</f>
        <v>0</v>
      </c>
      <c r="W4" s="9">
        <f ca="1">SUM(W3:INDIRECT("W"&amp;ROW()-1))</f>
        <v>0</v>
      </c>
      <c r="X4" s="9">
        <f ca="1">SUM(X3:INDIRECT("X"&amp;ROW()-1))</f>
        <v>0</v>
      </c>
      <c r="Y4" s="27">
        <f ca="1">SUM(Y3:INDIRECT("Y"&amp;ROW()-1))</f>
        <v>1.6</v>
      </c>
      <c r="Z4" s="9">
        <f ca="1">SUM(Z3:INDIRECT("z"&amp;ROW()-1))</f>
        <v>0</v>
      </c>
      <c r="AA4" s="34">
        <f t="shared" ref="AA4" ca="1" si="0">J4/I4</f>
        <v>1</v>
      </c>
      <c r="AB4" s="34">
        <f t="shared" ref="AB4" ca="1" si="1">J4/H4</f>
        <v>1</v>
      </c>
      <c r="AC4" s="34">
        <f t="shared" ref="AC4" ca="1" si="2">P4/(O4*D4)</f>
        <v>1</v>
      </c>
      <c r="AD4" s="39">
        <f t="shared" ref="AD4" ca="1" si="3">Y4/R4</f>
        <v>1</v>
      </c>
      <c r="AE4" s="35">
        <f ca="1">SUM(AE3:INDIRECT("AF"&amp;ROW()-1))</f>
        <v>40</v>
      </c>
      <c r="AF4" s="9"/>
      <c r="AG4" s="9"/>
    </row>
    <row r="5" spans="1:33" s="2" customFormat="1"/>
    <row r="6" spans="1:33" s="2" customFormat="1">
      <c r="A6" s="10"/>
      <c r="B6" s="11"/>
      <c r="E6" s="2">
        <v>11</v>
      </c>
      <c r="Q6" s="13"/>
      <c r="AC6" s="25"/>
    </row>
    <row r="7" spans="1:33" s="2" customFormat="1">
      <c r="A7" s="10"/>
      <c r="B7" s="11"/>
      <c r="Q7" s="13"/>
      <c r="AC7" s="25"/>
    </row>
    <row r="8" spans="1:33" s="2" customFormat="1">
      <c r="A8" s="10"/>
      <c r="B8" s="11"/>
      <c r="Q8" s="13"/>
      <c r="AC8" s="25"/>
    </row>
    <row r="9" spans="1:33" s="2" customFormat="1">
      <c r="A9" s="10" t="s">
        <v>91</v>
      </c>
      <c r="B9" s="11">
        <v>25</v>
      </c>
      <c r="P9" s="25"/>
      <c r="Q9" s="13"/>
      <c r="AC9" s="25"/>
    </row>
    <row r="10" spans="1:33">
      <c r="A10" s="10" t="s">
        <v>92</v>
      </c>
      <c r="B10" s="12">
        <v>8</v>
      </c>
      <c r="C10" s="2"/>
      <c r="D10" s="2"/>
      <c r="E10" s="2"/>
      <c r="F10" s="2"/>
      <c r="G10" s="2"/>
      <c r="H10" s="2"/>
      <c r="I10" s="2"/>
      <c r="J10" s="25"/>
      <c r="K10" s="25"/>
      <c r="L10" s="2"/>
      <c r="M10" s="2"/>
      <c r="N10" s="2"/>
      <c r="O10" s="2"/>
      <c r="P10" s="2"/>
      <c r="Q10" s="1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42" spans="14:33">
      <c r="N42" s="172" t="s">
        <v>22</v>
      </c>
      <c r="O42" s="172" t="s">
        <v>82</v>
      </c>
      <c r="P42" s="172" t="s">
        <v>60</v>
      </c>
      <c r="Q42" s="172" t="s">
        <v>85</v>
      </c>
      <c r="R42" s="172" t="s">
        <v>74</v>
      </c>
      <c r="S42" s="172" t="s">
        <v>75</v>
      </c>
      <c r="T42" s="173"/>
      <c r="AG42" s="13"/>
    </row>
    <row r="43" spans="14:33">
      <c r="N43" s="172"/>
      <c r="O43" s="172"/>
      <c r="P43" s="172"/>
      <c r="Q43" s="172"/>
      <c r="R43" s="172"/>
      <c r="S43" s="172"/>
      <c r="T43" s="173"/>
      <c r="AG43" s="13"/>
    </row>
    <row r="44" spans="14:33">
      <c r="N44" s="23" t="s">
        <v>116</v>
      </c>
      <c r="O44" s="23" t="s">
        <v>26</v>
      </c>
      <c r="P44" s="26">
        <f t="shared" ref="P44:P55" si="4">SUMIFS($R$3:$R$3,$G$3:$G$3,O44)</f>
        <v>0</v>
      </c>
      <c r="Q44" s="26">
        <f t="shared" ref="Q44:Q55" si="5">SUMIFS($Y$3:$Y$3,$G$3:$G$3,O44)</f>
        <v>0</v>
      </c>
      <c r="R44" s="32">
        <f>IFERROR(Q44/P44,0)</f>
        <v>0</v>
      </c>
      <c r="S44" s="33">
        <f t="shared" ref="S44:S55" si="6">SUMIFS($AE$3:$AE$3,$G$3:$G$3,O44)</f>
        <v>0</v>
      </c>
      <c r="T44" s="18"/>
      <c r="AG44" s="15"/>
    </row>
    <row r="45" spans="14:33">
      <c r="N45" s="23" t="s">
        <v>116</v>
      </c>
      <c r="O45" s="23" t="s">
        <v>27</v>
      </c>
      <c r="P45" s="26">
        <f t="shared" si="4"/>
        <v>0</v>
      </c>
      <c r="Q45" s="26">
        <f t="shared" si="5"/>
        <v>0</v>
      </c>
      <c r="R45" s="32">
        <f t="shared" ref="R45:R56" si="7">IFERROR(Q45/P45,0)</f>
        <v>0</v>
      </c>
      <c r="S45" s="33">
        <f t="shared" si="6"/>
        <v>0</v>
      </c>
      <c r="T45" s="18"/>
      <c r="AG45" s="15"/>
    </row>
    <row r="46" spans="14:33">
      <c r="N46" s="23" t="s">
        <v>116</v>
      </c>
      <c r="O46" s="23" t="s">
        <v>28</v>
      </c>
      <c r="P46" s="26">
        <f t="shared" si="4"/>
        <v>0</v>
      </c>
      <c r="Q46" s="26">
        <f t="shared" si="5"/>
        <v>0</v>
      </c>
      <c r="R46" s="32">
        <f t="shared" si="7"/>
        <v>0</v>
      </c>
      <c r="S46" s="33">
        <f t="shared" si="6"/>
        <v>0</v>
      </c>
      <c r="T46" s="18"/>
      <c r="AG46" s="15"/>
    </row>
    <row r="47" spans="14:33">
      <c r="N47" s="23" t="s">
        <v>116</v>
      </c>
      <c r="O47" s="23" t="s">
        <v>29</v>
      </c>
      <c r="P47" s="26">
        <f t="shared" si="4"/>
        <v>0</v>
      </c>
      <c r="Q47" s="26">
        <f t="shared" si="5"/>
        <v>0</v>
      </c>
      <c r="R47" s="32">
        <f t="shared" si="7"/>
        <v>0</v>
      </c>
      <c r="S47" s="33">
        <f t="shared" si="6"/>
        <v>0</v>
      </c>
      <c r="T47" s="18"/>
      <c r="AG47" s="15"/>
    </row>
    <row r="48" spans="14:33">
      <c r="N48" s="23" t="s">
        <v>116</v>
      </c>
      <c r="O48" s="23" t="s">
        <v>30</v>
      </c>
      <c r="P48" s="26">
        <f t="shared" si="4"/>
        <v>0</v>
      </c>
      <c r="Q48" s="26">
        <f t="shared" si="5"/>
        <v>0</v>
      </c>
      <c r="R48" s="32">
        <f t="shared" si="7"/>
        <v>0</v>
      </c>
      <c r="S48" s="33">
        <f t="shared" si="6"/>
        <v>0</v>
      </c>
      <c r="T48" s="18"/>
      <c r="AG48" s="15"/>
    </row>
    <row r="49" spans="1:33">
      <c r="N49" s="23" t="s">
        <v>116</v>
      </c>
      <c r="O49" s="23" t="s">
        <v>31</v>
      </c>
      <c r="P49" s="26">
        <f t="shared" si="4"/>
        <v>1.6</v>
      </c>
      <c r="Q49" s="26">
        <f t="shared" si="5"/>
        <v>1.6</v>
      </c>
      <c r="R49" s="32">
        <f t="shared" si="7"/>
        <v>1</v>
      </c>
      <c r="S49" s="33">
        <f t="shared" si="6"/>
        <v>40</v>
      </c>
      <c r="T49" s="18"/>
      <c r="AG49" s="15"/>
    </row>
    <row r="50" spans="1:33" ht="15" customHeight="1">
      <c r="N50" s="23" t="s">
        <v>116</v>
      </c>
      <c r="O50" s="23" t="s">
        <v>32</v>
      </c>
      <c r="P50" s="26">
        <f t="shared" si="4"/>
        <v>0</v>
      </c>
      <c r="Q50" s="26">
        <f t="shared" si="5"/>
        <v>0</v>
      </c>
      <c r="R50" s="32">
        <f t="shared" si="7"/>
        <v>0</v>
      </c>
      <c r="S50" s="33">
        <f t="shared" si="6"/>
        <v>0</v>
      </c>
      <c r="T50" s="18"/>
      <c r="AG50" s="15"/>
    </row>
    <row r="51" spans="1:33">
      <c r="A51" s="173"/>
      <c r="B51" s="173"/>
      <c r="C51" s="173"/>
      <c r="D51" s="173"/>
      <c r="E51" s="173"/>
      <c r="F51" s="173"/>
      <c r="G51" s="173"/>
      <c r="N51" s="23" t="s">
        <v>116</v>
      </c>
      <c r="O51" s="23" t="s">
        <v>33</v>
      </c>
      <c r="P51" s="26">
        <f t="shared" si="4"/>
        <v>0</v>
      </c>
      <c r="Q51" s="26">
        <f t="shared" si="5"/>
        <v>0</v>
      </c>
      <c r="R51" s="32">
        <f t="shared" si="7"/>
        <v>0</v>
      </c>
      <c r="S51" s="33">
        <f t="shared" si="6"/>
        <v>0</v>
      </c>
      <c r="T51" s="18"/>
      <c r="AG51" s="15"/>
    </row>
    <row r="52" spans="1:33">
      <c r="A52" s="173"/>
      <c r="B52" s="173"/>
      <c r="C52" s="173"/>
      <c r="D52" s="173"/>
      <c r="E52" s="173"/>
      <c r="F52" s="173"/>
      <c r="G52" s="173"/>
      <c r="N52" s="23" t="s">
        <v>116</v>
      </c>
      <c r="O52" s="23" t="s">
        <v>34</v>
      </c>
      <c r="P52" s="26">
        <f t="shared" si="4"/>
        <v>0</v>
      </c>
      <c r="Q52" s="26">
        <f t="shared" si="5"/>
        <v>0</v>
      </c>
      <c r="R52" s="32">
        <f t="shared" si="7"/>
        <v>0</v>
      </c>
      <c r="S52" s="33">
        <f t="shared" si="6"/>
        <v>0</v>
      </c>
      <c r="T52" s="18"/>
      <c r="AG52" s="15"/>
    </row>
    <row r="53" spans="1:33">
      <c r="A53" s="14"/>
      <c r="B53" s="15"/>
      <c r="C53" s="15"/>
      <c r="D53" s="16"/>
      <c r="E53" s="16"/>
      <c r="F53" s="17"/>
      <c r="G53" s="18"/>
      <c r="N53" s="23" t="s">
        <v>116</v>
      </c>
      <c r="O53" s="23" t="s">
        <v>35</v>
      </c>
      <c r="P53" s="26">
        <f t="shared" si="4"/>
        <v>0</v>
      </c>
      <c r="Q53" s="26">
        <f t="shared" si="5"/>
        <v>0</v>
      </c>
      <c r="R53" s="32">
        <f t="shared" si="7"/>
        <v>0</v>
      </c>
      <c r="S53" s="33">
        <f t="shared" si="6"/>
        <v>0</v>
      </c>
      <c r="T53" s="18"/>
      <c r="AG53" s="15"/>
    </row>
    <row r="54" spans="1:33">
      <c r="A54" s="14"/>
      <c r="B54" s="15"/>
      <c r="C54" s="15"/>
      <c r="D54" s="16"/>
      <c r="E54" s="16"/>
      <c r="F54" s="17"/>
      <c r="G54" s="18"/>
      <c r="N54" s="23" t="s">
        <v>116</v>
      </c>
      <c r="O54" s="23" t="s">
        <v>36</v>
      </c>
      <c r="P54" s="26">
        <f t="shared" si="4"/>
        <v>0</v>
      </c>
      <c r="Q54" s="26">
        <f t="shared" si="5"/>
        <v>0</v>
      </c>
      <c r="R54" s="32">
        <f t="shared" si="7"/>
        <v>0</v>
      </c>
      <c r="S54" s="33">
        <f t="shared" si="6"/>
        <v>0</v>
      </c>
      <c r="T54" s="18"/>
      <c r="AG54" s="15"/>
    </row>
    <row r="55" spans="1:33">
      <c r="A55" s="14"/>
      <c r="B55" s="15"/>
      <c r="C55" s="15"/>
      <c r="D55" s="16"/>
      <c r="E55" s="16"/>
      <c r="F55" s="17"/>
      <c r="G55" s="18"/>
      <c r="N55" s="23" t="s">
        <v>116</v>
      </c>
      <c r="O55" s="23" t="s">
        <v>37</v>
      </c>
      <c r="P55" s="26">
        <f t="shared" si="4"/>
        <v>0</v>
      </c>
      <c r="Q55" s="26">
        <f t="shared" si="5"/>
        <v>0</v>
      </c>
      <c r="R55" s="32">
        <f t="shared" si="7"/>
        <v>0</v>
      </c>
      <c r="S55" s="33">
        <f t="shared" si="6"/>
        <v>0</v>
      </c>
      <c r="T55" s="18"/>
      <c r="AG55" s="15"/>
    </row>
    <row r="56" spans="1:33">
      <c r="A56" s="14"/>
      <c r="B56" s="15"/>
      <c r="C56" s="15"/>
      <c r="D56" s="16"/>
      <c r="E56" s="16"/>
      <c r="F56" s="17"/>
      <c r="G56" s="18"/>
      <c r="N56" s="23" t="s">
        <v>116</v>
      </c>
      <c r="O56" s="9"/>
      <c r="P56" s="27">
        <f>SUM(P44:P55)</f>
        <v>1.6</v>
      </c>
      <c r="Q56" s="27">
        <f>SUM(Q44:Q55)</f>
        <v>1.6</v>
      </c>
      <c r="R56" s="34">
        <f t="shared" si="7"/>
        <v>1</v>
      </c>
      <c r="S56" s="35">
        <f>SUM(S44:S55)</f>
        <v>40</v>
      </c>
      <c r="T56" s="22"/>
      <c r="AG56" s="13"/>
    </row>
    <row r="57" spans="1:33">
      <c r="A57" s="14"/>
      <c r="B57" s="15"/>
      <c r="C57" s="15"/>
      <c r="D57" s="16"/>
      <c r="E57" s="16"/>
      <c r="F57" s="17"/>
      <c r="G57" s="18"/>
    </row>
    <row r="58" spans="1:33">
      <c r="A58" s="19"/>
      <c r="B58" s="19"/>
      <c r="C58" s="13"/>
      <c r="D58" s="20"/>
      <c r="E58" s="20"/>
      <c r="F58" s="21"/>
      <c r="G58" s="22"/>
    </row>
    <row r="59" spans="1:33">
      <c r="A59" s="10" t="s">
        <v>91</v>
      </c>
      <c r="B59" s="11">
        <v>25</v>
      </c>
      <c r="C59" s="2"/>
      <c r="D59" s="2"/>
      <c r="E59" s="2"/>
      <c r="F59" s="2"/>
      <c r="G59" s="2"/>
    </row>
  </sheetData>
  <sheetProtection formatCells="0" formatColumns="0" formatRows="0"/>
  <mergeCells count="41">
    <mergeCell ref="Y1:Y2"/>
    <mergeCell ref="Z1:Z2"/>
    <mergeCell ref="AF1:AF2"/>
    <mergeCell ref="AG1:AG2"/>
    <mergeCell ref="S42:S43"/>
    <mergeCell ref="T42:T43"/>
    <mergeCell ref="V1:V2"/>
    <mergeCell ref="W1:W2"/>
    <mergeCell ref="X1:X2"/>
    <mergeCell ref="S1:U1"/>
    <mergeCell ref="AA1:AE1"/>
    <mergeCell ref="P1:P2"/>
    <mergeCell ref="P42:P43"/>
    <mergeCell ref="Q1:Q2"/>
    <mergeCell ref="Q42:Q43"/>
    <mergeCell ref="R1:R2"/>
    <mergeCell ref="R42:R43"/>
    <mergeCell ref="M1:M2"/>
    <mergeCell ref="N1:N2"/>
    <mergeCell ref="N42:N43"/>
    <mergeCell ref="O1:O2"/>
    <mergeCell ref="O42:O43"/>
    <mergeCell ref="H1:H2"/>
    <mergeCell ref="I1:I2"/>
    <mergeCell ref="J1:J2"/>
    <mergeCell ref="K1:K2"/>
    <mergeCell ref="L1:L2"/>
    <mergeCell ref="A1:A2"/>
    <mergeCell ref="A51:A52"/>
    <mergeCell ref="B1:B2"/>
    <mergeCell ref="B51:B52"/>
    <mergeCell ref="C1:C2"/>
    <mergeCell ref="C51:C52"/>
    <mergeCell ref="G1:G2"/>
    <mergeCell ref="G51:G52"/>
    <mergeCell ref="D1:D2"/>
    <mergeCell ref="D51:D52"/>
    <mergeCell ref="E1:E2"/>
    <mergeCell ref="E51:E52"/>
    <mergeCell ref="F1:F2"/>
    <mergeCell ref="F51:F52"/>
  </mergeCells>
  <pageMargins left="0.7" right="0.7" top="0.75" bottom="0.75" header="0.3" footer="0.3"/>
  <pageSetup paperSize="9" orientation="portrait"/>
  <headerFooter>
    <oddFooter>&amp;CNBCU Internal</oddFooter>
  </headerFooter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AG59"/>
  <sheetViews>
    <sheetView workbookViewId="0">
      <pane xSplit="2" topLeftCell="C1" activePane="topRight" state="frozen"/>
      <selection pane="topRight" activeCell="H7" sqref="H7"/>
    </sheetView>
  </sheetViews>
  <sheetFormatPr defaultColWidth="8.81640625" defaultRowHeight="14.5"/>
  <cols>
    <col min="1" max="1" width="12.1796875" style="3" customWidth="1"/>
    <col min="2" max="2" width="10.453125" style="3" customWidth="1"/>
    <col min="3" max="3" width="14.1796875" style="3" customWidth="1"/>
    <col min="4" max="4" width="5.453125" style="3" customWidth="1"/>
    <col min="5" max="6" width="9" style="3" customWidth="1"/>
    <col min="7" max="7" width="8.81640625" style="3" customWidth="1"/>
    <col min="8" max="8" width="19.453125" style="3" customWidth="1"/>
    <col min="9" max="9" width="19.81640625" style="3" customWidth="1"/>
    <col min="10" max="10" width="11.453125" style="3" customWidth="1"/>
    <col min="11" max="11" width="13.1796875" style="3" customWidth="1"/>
    <col min="12" max="12" width="11.1796875" style="3" customWidth="1"/>
    <col min="13" max="14" width="13.1796875" style="3" customWidth="1"/>
    <col min="15" max="15" width="13.81640625" style="3" customWidth="1"/>
    <col min="16" max="16" width="22.453125" style="3" customWidth="1"/>
    <col min="17" max="18" width="19.453125" style="3" customWidth="1"/>
    <col min="19" max="19" width="12.1796875" style="3" customWidth="1"/>
    <col min="20" max="20" width="17.453125" style="3" customWidth="1"/>
    <col min="21" max="21" width="9.81640625" style="3" customWidth="1"/>
    <col min="22" max="22" width="18" style="3" customWidth="1"/>
    <col min="23" max="23" width="19.1796875" style="3" customWidth="1"/>
    <col min="24" max="24" width="13.453125" style="3" customWidth="1"/>
    <col min="25" max="25" width="10.1796875" style="3" customWidth="1"/>
    <col min="26" max="26" width="18.1796875" style="3" customWidth="1"/>
    <col min="27" max="27" width="15" style="3" customWidth="1"/>
    <col min="28" max="28" width="9.453125" style="3" customWidth="1"/>
    <col min="29" max="29" width="18" style="3" customWidth="1"/>
    <col min="30" max="30" width="12.1796875" style="3" customWidth="1"/>
    <col min="31" max="31" width="11.453125" style="3" customWidth="1"/>
    <col min="32" max="32" width="15.453125" style="3" customWidth="1"/>
    <col min="33" max="33" width="13.81640625" style="3" hidden="1" customWidth="1"/>
    <col min="34" max="16384" width="8.81640625" style="3"/>
  </cols>
  <sheetData>
    <row r="1" spans="1:33" s="1" customFormat="1" ht="33" customHeight="1">
      <c r="A1" s="172" t="s">
        <v>22</v>
      </c>
      <c r="B1" s="172" t="s">
        <v>47</v>
      </c>
      <c r="C1" s="172" t="s">
        <v>48</v>
      </c>
      <c r="D1" s="172" t="s">
        <v>79</v>
      </c>
      <c r="E1" s="172" t="s">
        <v>80</v>
      </c>
      <c r="F1" s="172" t="s">
        <v>81</v>
      </c>
      <c r="G1" s="172" t="s">
        <v>82</v>
      </c>
      <c r="H1" s="172" t="s">
        <v>50</v>
      </c>
      <c r="I1" s="172" t="s">
        <v>51</v>
      </c>
      <c r="J1" s="172" t="s">
        <v>53</v>
      </c>
      <c r="K1" s="172" t="s">
        <v>54</v>
      </c>
      <c r="L1" s="172" t="s">
        <v>55</v>
      </c>
      <c r="M1" s="172" t="s">
        <v>56</v>
      </c>
      <c r="N1" s="175" t="s">
        <v>57</v>
      </c>
      <c r="O1" s="172" t="s">
        <v>58</v>
      </c>
      <c r="P1" s="172" t="s">
        <v>83</v>
      </c>
      <c r="Q1" s="172" t="s">
        <v>95</v>
      </c>
      <c r="R1" s="172" t="s">
        <v>60</v>
      </c>
      <c r="S1" s="172" t="s">
        <v>61</v>
      </c>
      <c r="T1" s="172"/>
      <c r="U1" s="172"/>
      <c r="V1" s="172" t="s">
        <v>62</v>
      </c>
      <c r="W1" s="172" t="s">
        <v>63</v>
      </c>
      <c r="X1" s="172" t="s">
        <v>64</v>
      </c>
      <c r="Y1" s="172" t="s">
        <v>85</v>
      </c>
      <c r="Z1" s="172" t="s">
        <v>66</v>
      </c>
      <c r="AA1" s="172" t="s">
        <v>67</v>
      </c>
      <c r="AB1" s="172"/>
      <c r="AC1" s="172"/>
      <c r="AD1" s="172"/>
      <c r="AE1" s="172"/>
      <c r="AF1" s="172" t="s">
        <v>3</v>
      </c>
      <c r="AG1" s="172" t="s">
        <v>86</v>
      </c>
    </row>
    <row r="2" spans="1:33" s="1" customFormat="1" ht="55.5" customHeigh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6"/>
      <c r="O2" s="172"/>
      <c r="P2" s="172"/>
      <c r="Q2" s="172"/>
      <c r="R2" s="172"/>
      <c r="S2" s="4" t="s">
        <v>68</v>
      </c>
      <c r="T2" s="4" t="s">
        <v>69</v>
      </c>
      <c r="U2" s="4" t="s">
        <v>70</v>
      </c>
      <c r="V2" s="172"/>
      <c r="W2" s="172"/>
      <c r="X2" s="172"/>
      <c r="Y2" s="172"/>
      <c r="Z2" s="172"/>
      <c r="AA2" s="4" t="s">
        <v>96</v>
      </c>
      <c r="AB2" s="4" t="s">
        <v>97</v>
      </c>
      <c r="AC2" s="4" t="s">
        <v>73</v>
      </c>
      <c r="AD2" s="4" t="s">
        <v>74</v>
      </c>
      <c r="AE2" s="4" t="s">
        <v>75</v>
      </c>
      <c r="AF2" s="172"/>
      <c r="AG2" s="172"/>
    </row>
    <row r="3" spans="1:33" ht="42">
      <c r="A3" s="5" t="s">
        <v>107</v>
      </c>
      <c r="B3" s="23" t="s">
        <v>117</v>
      </c>
      <c r="C3" s="23" t="s">
        <v>36</v>
      </c>
      <c r="D3" s="23">
        <v>0</v>
      </c>
      <c r="E3" s="44">
        <v>44136</v>
      </c>
      <c r="F3" s="44">
        <v>44141</v>
      </c>
      <c r="G3" s="23" t="s">
        <v>36</v>
      </c>
      <c r="H3" s="23">
        <v>178</v>
      </c>
      <c r="I3" s="23">
        <v>178</v>
      </c>
      <c r="J3" s="23">
        <v>178</v>
      </c>
      <c r="K3" s="24">
        <v>178</v>
      </c>
      <c r="L3" s="23">
        <v>26</v>
      </c>
      <c r="M3" s="23">
        <v>0</v>
      </c>
      <c r="N3" s="23">
        <v>4</v>
      </c>
      <c r="O3" s="24">
        <f>(K3-L3)</f>
        <v>152</v>
      </c>
      <c r="P3" s="23">
        <v>4</v>
      </c>
      <c r="Q3" s="28">
        <v>0</v>
      </c>
      <c r="R3" s="29">
        <f t="shared" ref="R3" si="0">($P3/$AG3)*8</f>
        <v>5.333333333333333</v>
      </c>
      <c r="S3" s="30">
        <v>0</v>
      </c>
      <c r="T3" s="30">
        <v>0</v>
      </c>
      <c r="U3" s="26">
        <v>8</v>
      </c>
      <c r="V3" s="29">
        <f>(($H3-$J3)/$B$10)*8</f>
        <v>0</v>
      </c>
      <c r="W3" s="31">
        <v>0</v>
      </c>
      <c r="X3" s="29">
        <f>SUM(T3,V3,W3)</f>
        <v>0</v>
      </c>
      <c r="Y3" s="29">
        <f t="shared" ref="Y3" si="1">R3-X3</f>
        <v>5.333333333333333</v>
      </c>
      <c r="Z3" s="36">
        <v>1</v>
      </c>
      <c r="AA3" s="37">
        <f t="shared" ref="AA3" si="2">IFERROR(J3/I3,0)</f>
        <v>1</v>
      </c>
      <c r="AB3" s="37">
        <f t="shared" ref="AB3" si="3">IFERROR(J3/H3,0)</f>
        <v>1</v>
      </c>
      <c r="AC3" s="37">
        <f t="shared" ref="AC3" si="4">IFERROR(P3/(O3*D3),0)</f>
        <v>0</v>
      </c>
      <c r="AD3" s="37">
        <f t="shared" ref="AD3" si="5">IFERROR(Y3/R3,0)</f>
        <v>1</v>
      </c>
      <c r="AE3" s="38">
        <f>Y3*$B$9</f>
        <v>133.33333333333331</v>
      </c>
      <c r="AF3" s="42"/>
      <c r="AG3" s="23">
        <v>6</v>
      </c>
    </row>
    <row r="4" spans="1:33" s="2" customFormat="1">
      <c r="A4" s="8" t="s">
        <v>107</v>
      </c>
      <c r="B4" s="8" t="s">
        <v>90</v>
      </c>
      <c r="C4" s="9" t="s">
        <v>90</v>
      </c>
      <c r="D4" s="9">
        <v>1</v>
      </c>
      <c r="E4" s="9"/>
      <c r="F4" s="9"/>
      <c r="G4" s="9"/>
      <c r="H4" s="9">
        <f ca="1">INDIRECT("H"&amp;ROW()-1)</f>
        <v>178</v>
      </c>
      <c r="I4" s="9">
        <f ca="1">INDIRECT("I"&amp;ROW()-1)</f>
        <v>178</v>
      </c>
      <c r="J4" s="9">
        <f ca="1">INDIRECT("J"&amp;ROW()-1)</f>
        <v>178</v>
      </c>
      <c r="K4" s="24">
        <f ca="1">INDIRECT("K"&amp;ROW()-1)</f>
        <v>178</v>
      </c>
      <c r="L4" s="9">
        <f ca="1">SUM(L3:INDIRECT("L"&amp;ROW()-1))</f>
        <v>26</v>
      </c>
      <c r="M4" s="9">
        <f ca="1">SUM(M3:INDIRECT("M"&amp;ROW()-1))</f>
        <v>0</v>
      </c>
      <c r="N4" s="9">
        <f ca="1">SUM(N3:INDIRECT("N"&amp;ROW()-1))</f>
        <v>4</v>
      </c>
      <c r="O4" s="9">
        <f ca="1">INDIRECT("O"&amp;ROW()-1)</f>
        <v>152</v>
      </c>
      <c r="P4" s="9">
        <f ca="1">SUM(P3:INDIRECT("P"&amp;ROW()-1))</f>
        <v>4</v>
      </c>
      <c r="Q4" s="9">
        <f ca="1">SUM(Q3:INDIRECT("Q"&amp;ROW()-1))</f>
        <v>0</v>
      </c>
      <c r="R4" s="27">
        <f ca="1">SUM(R3:INDIRECT("R"&amp;ROW()-1))</f>
        <v>5.333333333333333</v>
      </c>
      <c r="S4" s="9">
        <f ca="1">SUM(S3:INDIRECT("S"&amp;ROW()-1))</f>
        <v>0</v>
      </c>
      <c r="T4" s="9">
        <f ca="1">SUM(T3:INDIRECT("T"&amp;ROW()-1))</f>
        <v>0</v>
      </c>
      <c r="U4" s="9">
        <f ca="1">SUM(U3:INDIRECT("U"&amp;ROW()-1))</f>
        <v>8</v>
      </c>
      <c r="V4" s="9">
        <f ca="1">SUM(V3:INDIRECT("V"&amp;ROW()-1))</f>
        <v>0</v>
      </c>
      <c r="W4" s="9">
        <f ca="1">SUM(W3:INDIRECT("W"&amp;ROW()-1))</f>
        <v>0</v>
      </c>
      <c r="X4" s="9">
        <f ca="1">SUM(X3:INDIRECT("X"&amp;ROW()-1))</f>
        <v>0</v>
      </c>
      <c r="Y4" s="27">
        <f ca="1">SUM(Y3:INDIRECT("Y"&amp;ROW()-1))</f>
        <v>5.333333333333333</v>
      </c>
      <c r="Z4" s="9">
        <f ca="1">SUM(Z3:INDIRECT("z"&amp;ROW()-1))</f>
        <v>1</v>
      </c>
      <c r="AA4" s="34">
        <f ca="1">J4/I4</f>
        <v>1</v>
      </c>
      <c r="AB4" s="34">
        <f ca="1">J4/H4</f>
        <v>1</v>
      </c>
      <c r="AC4" s="34">
        <f ca="1">P4/(O4*D4)</f>
        <v>2.6315789473684209E-2</v>
      </c>
      <c r="AD4" s="39">
        <f t="shared" ref="AD4" ca="1" si="6">IFERROR(Y4/R4,0)</f>
        <v>1</v>
      </c>
      <c r="AE4" s="35">
        <f ca="1">SUM(AE3:INDIRECT("AF"&amp;ROW()-1))</f>
        <v>133.33333333333331</v>
      </c>
      <c r="AF4" s="9"/>
      <c r="AG4" s="9"/>
    </row>
    <row r="5" spans="1:33" s="2" customFormat="1"/>
    <row r="6" spans="1:33" s="2" customFormat="1">
      <c r="A6" s="10"/>
      <c r="B6" s="11"/>
      <c r="E6" s="2">
        <v>11</v>
      </c>
      <c r="Q6" s="13"/>
      <c r="AC6" s="25"/>
    </row>
    <row r="7" spans="1:33" s="2" customFormat="1">
      <c r="A7" s="10"/>
      <c r="B7" s="11"/>
      <c r="Q7" s="13"/>
      <c r="AC7" s="25"/>
    </row>
    <row r="8" spans="1:33" s="2" customFormat="1">
      <c r="A8" s="10"/>
      <c r="B8" s="11"/>
      <c r="Q8" s="13"/>
      <c r="AC8" s="25"/>
    </row>
    <row r="9" spans="1:33" s="2" customFormat="1">
      <c r="A9" s="10" t="s">
        <v>91</v>
      </c>
      <c r="B9" s="11">
        <v>25</v>
      </c>
      <c r="P9" s="25"/>
      <c r="Q9" s="13"/>
      <c r="AC9" s="25"/>
    </row>
    <row r="10" spans="1:33" ht="21">
      <c r="A10" s="10" t="s">
        <v>92</v>
      </c>
      <c r="B10" s="12">
        <v>18</v>
      </c>
      <c r="C10" s="2"/>
      <c r="D10" s="2"/>
      <c r="E10" s="2"/>
      <c r="F10" s="2"/>
      <c r="G10" s="2"/>
      <c r="H10" s="2"/>
      <c r="I10" s="2"/>
      <c r="J10" s="25"/>
      <c r="K10" s="25"/>
      <c r="L10" s="2"/>
      <c r="M10" s="2"/>
      <c r="N10" s="2"/>
      <c r="O10" s="2"/>
      <c r="P10" s="2"/>
      <c r="Q10" s="1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42" spans="14:33">
      <c r="N42" s="172" t="s">
        <v>22</v>
      </c>
      <c r="O42" s="172" t="s">
        <v>82</v>
      </c>
      <c r="P42" s="172" t="s">
        <v>60</v>
      </c>
      <c r="Q42" s="172" t="s">
        <v>85</v>
      </c>
      <c r="R42" s="172" t="s">
        <v>74</v>
      </c>
      <c r="S42" s="172" t="s">
        <v>75</v>
      </c>
      <c r="T42" s="173"/>
      <c r="AG42" s="13"/>
    </row>
    <row r="43" spans="14:33">
      <c r="N43" s="172"/>
      <c r="O43" s="172"/>
      <c r="P43" s="172"/>
      <c r="Q43" s="172"/>
      <c r="R43" s="172"/>
      <c r="S43" s="172"/>
      <c r="T43" s="173"/>
      <c r="AG43" s="13"/>
    </row>
    <row r="44" spans="14:33">
      <c r="N44" s="42" t="s">
        <v>107</v>
      </c>
      <c r="O44" s="23" t="s">
        <v>26</v>
      </c>
      <c r="P44" s="26">
        <f>SUMIFS($R$3:$R$3,$G$3:$G$3,O44)</f>
        <v>0</v>
      </c>
      <c r="Q44" s="26">
        <f>SUMIFS($Y$3:$Y$3,$G$3:$G$3,O44)</f>
        <v>0</v>
      </c>
      <c r="R44" s="32">
        <f>IFERROR(Q44/P44,0)</f>
        <v>0</v>
      </c>
      <c r="S44" s="33">
        <f t="shared" ref="S44:S55" si="7">SUMIFS($AE$3:$AE$3,$G$3:$G$3,O44)</f>
        <v>0</v>
      </c>
      <c r="T44" s="18"/>
      <c r="AG44" s="15"/>
    </row>
    <row r="45" spans="14:33">
      <c r="N45" s="42" t="s">
        <v>107</v>
      </c>
      <c r="O45" s="23" t="s">
        <v>27</v>
      </c>
      <c r="P45" s="26">
        <f t="shared" ref="P45:P55" si="8">SUMIFS($R$3:$R$3,$G$3:$G$3,O45)</f>
        <v>0</v>
      </c>
      <c r="Q45" s="26">
        <f t="shared" ref="Q45:Q55" si="9">SUMIFS($Y$3:$Y$3,$G$3:$G$3,O45)</f>
        <v>0</v>
      </c>
      <c r="R45" s="32">
        <f t="shared" ref="R45:R55" si="10">IFERROR(Q45/P45,0)</f>
        <v>0</v>
      </c>
      <c r="S45" s="33">
        <f t="shared" si="7"/>
        <v>0</v>
      </c>
      <c r="T45" s="18"/>
      <c r="AG45" s="15"/>
    </row>
    <row r="46" spans="14:33">
      <c r="N46" s="42" t="s">
        <v>107</v>
      </c>
      <c r="O46" s="23" t="s">
        <v>28</v>
      </c>
      <c r="P46" s="26">
        <f t="shared" si="8"/>
        <v>0</v>
      </c>
      <c r="Q46" s="26">
        <f t="shared" si="9"/>
        <v>0</v>
      </c>
      <c r="R46" s="32">
        <f t="shared" si="10"/>
        <v>0</v>
      </c>
      <c r="S46" s="33">
        <f t="shared" si="7"/>
        <v>0</v>
      </c>
      <c r="T46" s="18"/>
      <c r="AG46" s="15"/>
    </row>
    <row r="47" spans="14:33">
      <c r="N47" s="42" t="s">
        <v>107</v>
      </c>
      <c r="O47" s="23" t="s">
        <v>29</v>
      </c>
      <c r="P47" s="26">
        <f t="shared" si="8"/>
        <v>0</v>
      </c>
      <c r="Q47" s="26">
        <f t="shared" si="9"/>
        <v>0</v>
      </c>
      <c r="R47" s="32">
        <f t="shared" si="10"/>
        <v>0</v>
      </c>
      <c r="S47" s="33">
        <f t="shared" si="7"/>
        <v>0</v>
      </c>
      <c r="T47" s="18"/>
      <c r="AG47" s="15"/>
    </row>
    <row r="48" spans="14:33">
      <c r="N48" s="42" t="s">
        <v>107</v>
      </c>
      <c r="O48" s="23" t="s">
        <v>30</v>
      </c>
      <c r="P48" s="26">
        <f t="shared" si="8"/>
        <v>0</v>
      </c>
      <c r="Q48" s="26">
        <f t="shared" si="9"/>
        <v>0</v>
      </c>
      <c r="R48" s="32">
        <f t="shared" si="10"/>
        <v>0</v>
      </c>
      <c r="S48" s="33">
        <f t="shared" si="7"/>
        <v>0</v>
      </c>
      <c r="T48" s="18"/>
      <c r="AG48" s="15"/>
    </row>
    <row r="49" spans="1:33">
      <c r="N49" s="42" t="s">
        <v>107</v>
      </c>
      <c r="O49" s="23" t="s">
        <v>31</v>
      </c>
      <c r="P49" s="26">
        <f t="shared" si="8"/>
        <v>0</v>
      </c>
      <c r="Q49" s="26">
        <f t="shared" si="9"/>
        <v>0</v>
      </c>
      <c r="R49" s="32">
        <f t="shared" si="10"/>
        <v>0</v>
      </c>
      <c r="S49" s="33">
        <f t="shared" si="7"/>
        <v>0</v>
      </c>
      <c r="T49" s="18"/>
      <c r="AG49" s="15"/>
    </row>
    <row r="50" spans="1:33" ht="15" customHeight="1">
      <c r="N50" s="42" t="s">
        <v>107</v>
      </c>
      <c r="O50" s="23" t="s">
        <v>32</v>
      </c>
      <c r="P50" s="26">
        <f t="shared" si="8"/>
        <v>0</v>
      </c>
      <c r="Q50" s="26">
        <f t="shared" si="9"/>
        <v>0</v>
      </c>
      <c r="R50" s="32">
        <f t="shared" si="10"/>
        <v>0</v>
      </c>
      <c r="S50" s="33">
        <f t="shared" si="7"/>
        <v>0</v>
      </c>
      <c r="T50" s="18"/>
      <c r="AG50" s="15"/>
    </row>
    <row r="51" spans="1:33">
      <c r="A51" s="173"/>
      <c r="B51" s="173"/>
      <c r="C51" s="173"/>
      <c r="D51" s="173"/>
      <c r="E51" s="173"/>
      <c r="F51" s="173"/>
      <c r="G51" s="173"/>
      <c r="N51" s="42" t="s">
        <v>107</v>
      </c>
      <c r="O51" s="23" t="s">
        <v>33</v>
      </c>
      <c r="P51" s="26">
        <f t="shared" si="8"/>
        <v>0</v>
      </c>
      <c r="Q51" s="26">
        <f t="shared" si="9"/>
        <v>0</v>
      </c>
      <c r="R51" s="32">
        <f t="shared" si="10"/>
        <v>0</v>
      </c>
      <c r="S51" s="33">
        <f t="shared" si="7"/>
        <v>0</v>
      </c>
      <c r="T51" s="18"/>
      <c r="AG51" s="15"/>
    </row>
    <row r="52" spans="1:33">
      <c r="A52" s="173"/>
      <c r="B52" s="173"/>
      <c r="C52" s="173"/>
      <c r="D52" s="173"/>
      <c r="E52" s="173"/>
      <c r="F52" s="173"/>
      <c r="G52" s="173"/>
      <c r="N52" s="42" t="s">
        <v>107</v>
      </c>
      <c r="O52" s="23" t="s">
        <v>34</v>
      </c>
      <c r="P52" s="26">
        <f t="shared" si="8"/>
        <v>0</v>
      </c>
      <c r="Q52" s="26">
        <f t="shared" si="9"/>
        <v>0</v>
      </c>
      <c r="R52" s="32">
        <f t="shared" si="10"/>
        <v>0</v>
      </c>
      <c r="S52" s="33">
        <f t="shared" si="7"/>
        <v>0</v>
      </c>
      <c r="T52" s="18"/>
      <c r="AG52" s="15"/>
    </row>
    <row r="53" spans="1:33">
      <c r="A53" s="14"/>
      <c r="B53" s="15"/>
      <c r="C53" s="15"/>
      <c r="D53" s="16"/>
      <c r="E53" s="16"/>
      <c r="F53" s="17"/>
      <c r="G53" s="18"/>
      <c r="N53" s="42" t="s">
        <v>107</v>
      </c>
      <c r="O53" s="23" t="s">
        <v>35</v>
      </c>
      <c r="P53" s="26">
        <f t="shared" si="8"/>
        <v>0</v>
      </c>
      <c r="Q53" s="26">
        <f t="shared" si="9"/>
        <v>0</v>
      </c>
      <c r="R53" s="32">
        <f t="shared" si="10"/>
        <v>0</v>
      </c>
      <c r="S53" s="33">
        <f t="shared" si="7"/>
        <v>0</v>
      </c>
      <c r="T53" s="18"/>
      <c r="AG53" s="15"/>
    </row>
    <row r="54" spans="1:33">
      <c r="A54" s="14"/>
      <c r="B54" s="15"/>
      <c r="C54" s="15"/>
      <c r="D54" s="16"/>
      <c r="E54" s="16"/>
      <c r="F54" s="17"/>
      <c r="G54" s="18"/>
      <c r="N54" s="42" t="s">
        <v>107</v>
      </c>
      <c r="O54" s="23" t="s">
        <v>36</v>
      </c>
      <c r="P54" s="26">
        <f t="shared" si="8"/>
        <v>5.333333333333333</v>
      </c>
      <c r="Q54" s="26">
        <f t="shared" si="9"/>
        <v>5.333333333333333</v>
      </c>
      <c r="R54" s="32">
        <f t="shared" si="10"/>
        <v>1</v>
      </c>
      <c r="S54" s="33">
        <f t="shared" si="7"/>
        <v>133.33333333333331</v>
      </c>
      <c r="T54" s="18"/>
      <c r="AG54" s="15"/>
    </row>
    <row r="55" spans="1:33">
      <c r="A55" s="14"/>
      <c r="B55" s="15"/>
      <c r="C55" s="15"/>
      <c r="D55" s="16"/>
      <c r="E55" s="16"/>
      <c r="F55" s="17"/>
      <c r="G55" s="18"/>
      <c r="N55" s="42" t="s">
        <v>107</v>
      </c>
      <c r="O55" s="23" t="s">
        <v>37</v>
      </c>
      <c r="P55" s="26">
        <f t="shared" si="8"/>
        <v>0</v>
      </c>
      <c r="Q55" s="26">
        <f t="shared" si="9"/>
        <v>0</v>
      </c>
      <c r="R55" s="32">
        <f t="shared" si="10"/>
        <v>0</v>
      </c>
      <c r="S55" s="33">
        <f t="shared" si="7"/>
        <v>0</v>
      </c>
      <c r="T55" s="18"/>
      <c r="AG55" s="15"/>
    </row>
    <row r="56" spans="1:33">
      <c r="A56" s="14"/>
      <c r="B56" s="15"/>
      <c r="C56" s="15"/>
      <c r="D56" s="16"/>
      <c r="E56" s="16"/>
      <c r="F56" s="17"/>
      <c r="G56" s="18"/>
      <c r="N56" s="8" t="s">
        <v>107</v>
      </c>
      <c r="O56" s="9"/>
      <c r="P56" s="27">
        <f>SUM(P44:P55)</f>
        <v>5.333333333333333</v>
      </c>
      <c r="Q56" s="27">
        <f>SUM(Q44:Q55)</f>
        <v>5.333333333333333</v>
      </c>
      <c r="R56" s="34">
        <f t="shared" ref="R56" si="11">IFERROR(Q56/P56,0)</f>
        <v>1</v>
      </c>
      <c r="S56" s="35">
        <f>SUM(S44:S55)</f>
        <v>133.33333333333331</v>
      </c>
      <c r="T56" s="22"/>
      <c r="AG56" s="13"/>
    </row>
    <row r="57" spans="1:33">
      <c r="A57" s="14"/>
      <c r="B57" s="15"/>
      <c r="C57" s="15"/>
      <c r="D57" s="16"/>
      <c r="E57" s="16"/>
      <c r="F57" s="17"/>
      <c r="G57" s="18"/>
    </row>
    <row r="58" spans="1:33">
      <c r="A58" s="19"/>
      <c r="B58" s="19"/>
      <c r="C58" s="13"/>
      <c r="D58" s="20"/>
      <c r="E58" s="20"/>
      <c r="F58" s="21"/>
      <c r="G58" s="22"/>
    </row>
    <row r="59" spans="1:33">
      <c r="A59" s="10" t="s">
        <v>91</v>
      </c>
      <c r="B59" s="11">
        <v>25</v>
      </c>
      <c r="C59" s="2"/>
      <c r="D59" s="2"/>
      <c r="E59" s="2"/>
      <c r="F59" s="2"/>
      <c r="G59" s="2"/>
    </row>
  </sheetData>
  <sheetProtection formatCells="0" formatColumns="0" formatRows="0"/>
  <mergeCells count="41">
    <mergeCell ref="Y1:Y2"/>
    <mergeCell ref="Z1:Z2"/>
    <mergeCell ref="AF1:AF2"/>
    <mergeCell ref="AG1:AG2"/>
    <mergeCell ref="S42:S43"/>
    <mergeCell ref="T42:T43"/>
    <mergeCell ref="V1:V2"/>
    <mergeCell ref="W1:W2"/>
    <mergeCell ref="X1:X2"/>
    <mergeCell ref="S1:U1"/>
    <mergeCell ref="AA1:AE1"/>
    <mergeCell ref="P1:P2"/>
    <mergeCell ref="P42:P43"/>
    <mergeCell ref="Q1:Q2"/>
    <mergeCell ref="Q42:Q43"/>
    <mergeCell ref="R1:R2"/>
    <mergeCell ref="R42:R43"/>
    <mergeCell ref="M1:M2"/>
    <mergeCell ref="N1:N2"/>
    <mergeCell ref="N42:N43"/>
    <mergeCell ref="O1:O2"/>
    <mergeCell ref="O42:O43"/>
    <mergeCell ref="H1:H2"/>
    <mergeCell ref="I1:I2"/>
    <mergeCell ref="J1:J2"/>
    <mergeCell ref="K1:K2"/>
    <mergeCell ref="L1:L2"/>
    <mergeCell ref="A1:A2"/>
    <mergeCell ref="A51:A52"/>
    <mergeCell ref="B1:B2"/>
    <mergeCell ref="B51:B52"/>
    <mergeCell ref="C1:C2"/>
    <mergeCell ref="C51:C52"/>
    <mergeCell ref="G1:G2"/>
    <mergeCell ref="G51:G52"/>
    <mergeCell ref="D1:D2"/>
    <mergeCell ref="D51:D52"/>
    <mergeCell ref="E1:E2"/>
    <mergeCell ref="E51:E52"/>
    <mergeCell ref="F1:F2"/>
    <mergeCell ref="F51:F52"/>
  </mergeCells>
  <pageMargins left="0.7" right="0.7" top="0.75" bottom="0.75" header="0.3" footer="0.3"/>
  <pageSetup paperSize="9" orientation="portrait"/>
  <headerFooter>
    <oddFooter>&amp;CNBCU Internal</oddFooter>
  </headerFooter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AG59"/>
  <sheetViews>
    <sheetView topLeftCell="A31" workbookViewId="0">
      <pane xSplit="2" topLeftCell="M1" activePane="topRight" state="frozen"/>
      <selection pane="topRight" activeCell="P48" sqref="P48"/>
    </sheetView>
  </sheetViews>
  <sheetFormatPr defaultColWidth="8.81640625" defaultRowHeight="14.5"/>
  <cols>
    <col min="1" max="1" width="9.81640625" style="3" customWidth="1"/>
    <col min="2" max="2" width="24.81640625" style="3" customWidth="1"/>
    <col min="3" max="3" width="14.1796875" style="3" customWidth="1"/>
    <col min="4" max="4" width="5.453125" style="3" customWidth="1"/>
    <col min="5" max="6" width="9" style="3" customWidth="1"/>
    <col min="7" max="7" width="8.81640625" style="3" customWidth="1"/>
    <col min="8" max="8" width="19.453125" style="3" customWidth="1"/>
    <col min="9" max="9" width="19.81640625" style="3" customWidth="1"/>
    <col min="10" max="10" width="11.453125" style="3" customWidth="1"/>
    <col min="11" max="11" width="13.1796875" style="3" customWidth="1"/>
    <col min="12" max="12" width="11.1796875" style="3" customWidth="1"/>
    <col min="13" max="14" width="13.1796875" style="3" customWidth="1"/>
    <col min="15" max="15" width="13.81640625" style="3" customWidth="1"/>
    <col min="16" max="16" width="22.453125" style="3" customWidth="1"/>
    <col min="17" max="18" width="19.453125" style="3" customWidth="1"/>
    <col min="19" max="19" width="12.1796875" style="3" customWidth="1"/>
    <col min="20" max="20" width="17.453125" style="3" customWidth="1"/>
    <col min="21" max="21" width="9.81640625" style="3" customWidth="1"/>
    <col min="22" max="22" width="18" style="3" customWidth="1"/>
    <col min="23" max="23" width="19.1796875" style="3" customWidth="1"/>
    <col min="24" max="24" width="13.453125" style="3" customWidth="1"/>
    <col min="25" max="25" width="10.1796875" style="3" customWidth="1"/>
    <col min="26" max="26" width="18.1796875" style="3" customWidth="1"/>
    <col min="27" max="27" width="15" style="3" customWidth="1"/>
    <col min="28" max="28" width="9.453125" style="3" customWidth="1"/>
    <col min="29" max="29" width="18" style="3" customWidth="1"/>
    <col min="30" max="30" width="12.1796875" style="3" customWidth="1"/>
    <col min="31" max="31" width="11.453125" style="3" customWidth="1"/>
    <col min="32" max="32" width="30.453125" style="59" customWidth="1"/>
    <col min="33" max="33" width="13.81640625" style="3" hidden="1" customWidth="1"/>
    <col min="34" max="16384" width="8.81640625" style="3"/>
  </cols>
  <sheetData>
    <row r="1" spans="1:33" s="1" customFormat="1" ht="33" customHeight="1">
      <c r="A1" s="172" t="s">
        <v>22</v>
      </c>
      <c r="B1" s="172" t="s">
        <v>47</v>
      </c>
      <c r="C1" s="172" t="s">
        <v>48</v>
      </c>
      <c r="D1" s="172" t="s">
        <v>79</v>
      </c>
      <c r="E1" s="172" t="s">
        <v>80</v>
      </c>
      <c r="F1" s="172" t="s">
        <v>81</v>
      </c>
      <c r="G1" s="172" t="s">
        <v>82</v>
      </c>
      <c r="H1" s="172" t="s">
        <v>50</v>
      </c>
      <c r="I1" s="172" t="s">
        <v>51</v>
      </c>
      <c r="J1" s="172" t="s">
        <v>53</v>
      </c>
      <c r="K1" s="172" t="s">
        <v>54</v>
      </c>
      <c r="L1" s="172" t="s">
        <v>55</v>
      </c>
      <c r="M1" s="172" t="s">
        <v>56</v>
      </c>
      <c r="N1" s="175" t="s">
        <v>57</v>
      </c>
      <c r="O1" s="172" t="s">
        <v>58</v>
      </c>
      <c r="P1" s="172" t="s">
        <v>83</v>
      </c>
      <c r="Q1" s="172" t="s">
        <v>95</v>
      </c>
      <c r="R1" s="172" t="s">
        <v>60</v>
      </c>
      <c r="S1" s="172" t="s">
        <v>61</v>
      </c>
      <c r="T1" s="172"/>
      <c r="U1" s="172"/>
      <c r="V1" s="172" t="s">
        <v>62</v>
      </c>
      <c r="W1" s="172" t="s">
        <v>63</v>
      </c>
      <c r="X1" s="172" t="s">
        <v>64</v>
      </c>
      <c r="Y1" s="172" t="s">
        <v>85</v>
      </c>
      <c r="Z1" s="172" t="s">
        <v>66</v>
      </c>
      <c r="AA1" s="172" t="s">
        <v>67</v>
      </c>
      <c r="AB1" s="172"/>
      <c r="AC1" s="172"/>
      <c r="AD1" s="172"/>
      <c r="AE1" s="172"/>
      <c r="AF1" s="172" t="s">
        <v>3</v>
      </c>
      <c r="AG1" s="172" t="s">
        <v>86</v>
      </c>
    </row>
    <row r="2" spans="1:33" s="1" customFormat="1" ht="55.5" customHeigh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6"/>
      <c r="O2" s="172"/>
      <c r="P2" s="172"/>
      <c r="Q2" s="172"/>
      <c r="R2" s="172"/>
      <c r="S2" s="4" t="s">
        <v>68</v>
      </c>
      <c r="T2" s="4" t="s">
        <v>69</v>
      </c>
      <c r="U2" s="4" t="s">
        <v>70</v>
      </c>
      <c r="V2" s="172"/>
      <c r="W2" s="172"/>
      <c r="X2" s="172"/>
      <c r="Y2" s="172"/>
      <c r="Z2" s="172"/>
      <c r="AA2" s="4" t="s">
        <v>96</v>
      </c>
      <c r="AB2" s="4" t="s">
        <v>97</v>
      </c>
      <c r="AC2" s="4" t="s">
        <v>73</v>
      </c>
      <c r="AD2" s="4" t="s">
        <v>74</v>
      </c>
      <c r="AE2" s="4" t="s">
        <v>75</v>
      </c>
      <c r="AF2" s="172"/>
      <c r="AG2" s="172"/>
    </row>
    <row r="3" spans="1:33" ht="18.75" customHeight="1">
      <c r="A3" s="5" t="s">
        <v>118</v>
      </c>
      <c r="B3" s="42" t="s">
        <v>119</v>
      </c>
      <c r="C3" s="23" t="s">
        <v>30</v>
      </c>
      <c r="D3" s="23">
        <v>1</v>
      </c>
      <c r="E3" s="44">
        <v>44317</v>
      </c>
      <c r="F3" s="44">
        <v>44323</v>
      </c>
      <c r="G3" s="23" t="s">
        <v>30</v>
      </c>
      <c r="H3" s="23">
        <v>131</v>
      </c>
      <c r="I3" s="23">
        <v>131</v>
      </c>
      <c r="J3" s="23">
        <v>131</v>
      </c>
      <c r="K3" s="24">
        <v>131</v>
      </c>
      <c r="L3" s="23">
        <v>0</v>
      </c>
      <c r="M3" s="23">
        <v>0</v>
      </c>
      <c r="N3" s="23">
        <v>0</v>
      </c>
      <c r="O3" s="24">
        <v>131</v>
      </c>
      <c r="P3" s="23">
        <v>50</v>
      </c>
      <c r="Q3" s="28">
        <v>0</v>
      </c>
      <c r="R3" s="29">
        <f t="shared" ref="R3" si="0">($P3/$AG3)*8</f>
        <v>20</v>
      </c>
      <c r="S3" s="30">
        <v>4</v>
      </c>
      <c r="T3" s="30">
        <v>1</v>
      </c>
      <c r="U3" s="26">
        <v>0</v>
      </c>
      <c r="V3" s="29">
        <v>0</v>
      </c>
      <c r="W3" s="31">
        <v>0</v>
      </c>
      <c r="X3" s="29">
        <f>SUM(T3,V3,W3)</f>
        <v>1</v>
      </c>
      <c r="Y3" s="29">
        <f t="shared" ref="Y3" si="1">R3-X3</f>
        <v>19</v>
      </c>
      <c r="Z3" s="36">
        <v>1</v>
      </c>
      <c r="AA3" s="37">
        <f t="shared" ref="AA3" si="2">J3/I3</f>
        <v>1</v>
      </c>
      <c r="AB3" s="37">
        <f t="shared" ref="AB3" si="3">J3/H3</f>
        <v>1</v>
      </c>
      <c r="AC3" s="37">
        <f t="shared" ref="AC3" si="4">P3/(O3*D3)</f>
        <v>0.38167938931297712</v>
      </c>
      <c r="AD3" s="37">
        <f t="shared" ref="AD3" si="5">Y3/R3</f>
        <v>0.95</v>
      </c>
      <c r="AE3" s="38">
        <f>Y3*$B$9</f>
        <v>475</v>
      </c>
      <c r="AF3" s="42" t="s">
        <v>120</v>
      </c>
      <c r="AG3" s="23">
        <v>20</v>
      </c>
    </row>
    <row r="4" spans="1:33" s="2" customFormat="1">
      <c r="A4" s="8" t="s">
        <v>118</v>
      </c>
      <c r="B4" s="8" t="s">
        <v>90</v>
      </c>
      <c r="C4" s="9" t="s">
        <v>90</v>
      </c>
      <c r="D4" s="9">
        <f ca="1">SUM(D3:INDIRECT("D"&amp;ROW()-1))</f>
        <v>1</v>
      </c>
      <c r="E4" s="9"/>
      <c r="F4" s="9"/>
      <c r="G4" s="9"/>
      <c r="H4" s="9">
        <f ca="1">INDIRECT("H"&amp;ROW()-1)</f>
        <v>131</v>
      </c>
      <c r="I4" s="9">
        <f ca="1">INDIRECT("I"&amp;ROW()-1)</f>
        <v>131</v>
      </c>
      <c r="J4" s="9">
        <f ca="1">INDIRECT("J"&amp;ROW()-1)</f>
        <v>131</v>
      </c>
      <c r="K4" s="9">
        <f ca="1">INDIRECT("K"&amp;ROW()-1)</f>
        <v>131</v>
      </c>
      <c r="L4" s="9">
        <f ca="1">SUM(L3:INDIRECT("L"&amp;ROW()-1))</f>
        <v>0</v>
      </c>
      <c r="M4" s="9">
        <f ca="1">SUM(M3:INDIRECT("M"&amp;ROW()-1))</f>
        <v>0</v>
      </c>
      <c r="N4" s="9">
        <f ca="1">SUM(N3:INDIRECT("N"&amp;ROW()-1))</f>
        <v>0</v>
      </c>
      <c r="O4" s="9">
        <f ca="1">INDIRECT("O"&amp;ROW()-1)</f>
        <v>131</v>
      </c>
      <c r="P4" s="9">
        <f ca="1">SUM(P3:INDIRECT("P"&amp;ROW()-1))</f>
        <v>50</v>
      </c>
      <c r="Q4" s="9">
        <f ca="1">SUM(Q3:INDIRECT("Q"&amp;ROW()-1))</f>
        <v>0</v>
      </c>
      <c r="R4" s="27">
        <f ca="1">SUM(R3:INDIRECT("R"&amp;ROW()-1))</f>
        <v>20</v>
      </c>
      <c r="S4" s="9">
        <f ca="1">SUM(S3:INDIRECT("S"&amp;ROW()-1))</f>
        <v>4</v>
      </c>
      <c r="T4" s="9">
        <f ca="1">SUM(T3:INDIRECT("T"&amp;ROW()-1))</f>
        <v>1</v>
      </c>
      <c r="U4" s="9">
        <f ca="1">SUM(U3:INDIRECT("U"&amp;ROW()-1))</f>
        <v>0</v>
      </c>
      <c r="V4" s="9">
        <f ca="1">SUM(V3:INDIRECT("V"&amp;ROW()-1))</f>
        <v>0</v>
      </c>
      <c r="W4" s="9">
        <f ca="1">SUM(W3:INDIRECT("W"&amp;ROW()-1))</f>
        <v>0</v>
      </c>
      <c r="X4" s="9">
        <f ca="1">SUM(X3:INDIRECT("X"&amp;ROW()-1))</f>
        <v>1</v>
      </c>
      <c r="Y4" s="27">
        <f ca="1">SUM(Y3:INDIRECT("Y"&amp;ROW()-1))</f>
        <v>19</v>
      </c>
      <c r="Z4" s="9">
        <f ca="1">SUM(Z3:INDIRECT("z"&amp;ROW()-1))</f>
        <v>1</v>
      </c>
      <c r="AA4" s="34">
        <f t="shared" ref="AA4" ca="1" si="6">J4/I4</f>
        <v>1</v>
      </c>
      <c r="AB4" s="34">
        <f t="shared" ref="AB4" ca="1" si="7">J4/H4</f>
        <v>1</v>
      </c>
      <c r="AC4" s="34">
        <f t="shared" ref="AC4" ca="1" si="8">P4/(O4*D4)</f>
        <v>0.38167938931297712</v>
      </c>
      <c r="AD4" s="39">
        <f t="shared" ref="AD4" ca="1" si="9">Y4/R4</f>
        <v>0.95</v>
      </c>
      <c r="AE4" s="35">
        <f ca="1">SUM(AE3:INDIRECT("AF"&amp;ROW()-1))</f>
        <v>475</v>
      </c>
      <c r="AF4" s="9"/>
      <c r="AG4" s="9"/>
    </row>
    <row r="5" spans="1:33" s="2" customFormat="1">
      <c r="AF5" s="60"/>
    </row>
    <row r="6" spans="1:33" s="2" customFormat="1">
      <c r="A6" s="10"/>
      <c r="B6" s="11"/>
      <c r="E6" s="2">
        <v>11</v>
      </c>
      <c r="Q6" s="13"/>
      <c r="AC6" s="25"/>
      <c r="AF6" s="60"/>
    </row>
    <row r="7" spans="1:33" s="2" customFormat="1">
      <c r="A7" s="10"/>
      <c r="B7" s="11"/>
      <c r="Q7" s="13"/>
      <c r="AC7" s="25"/>
      <c r="AF7" s="60"/>
    </row>
    <row r="8" spans="1:33" s="2" customFormat="1">
      <c r="A8" s="10"/>
      <c r="B8" s="11"/>
      <c r="Q8" s="13"/>
      <c r="AC8" s="25"/>
      <c r="AF8" s="60"/>
    </row>
    <row r="9" spans="1:33" s="2" customFormat="1">
      <c r="A9" s="10" t="s">
        <v>91</v>
      </c>
      <c r="B9" s="11">
        <v>25</v>
      </c>
      <c r="P9" s="25"/>
      <c r="Q9" s="13"/>
      <c r="AC9" s="25"/>
      <c r="AF9" s="60"/>
    </row>
    <row r="10" spans="1:33" ht="21">
      <c r="A10" s="10" t="s">
        <v>92</v>
      </c>
      <c r="B10" s="12">
        <v>15</v>
      </c>
      <c r="C10" s="2"/>
      <c r="D10" s="2"/>
      <c r="E10" s="2"/>
      <c r="F10" s="2"/>
      <c r="G10" s="2"/>
      <c r="H10" s="2"/>
      <c r="I10" s="2"/>
      <c r="J10" s="25"/>
      <c r="K10" s="25"/>
      <c r="L10" s="2"/>
      <c r="M10" s="2"/>
      <c r="N10" s="2"/>
      <c r="O10" s="2"/>
      <c r="P10" s="2"/>
      <c r="Q10" s="1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60"/>
      <c r="AG10" s="2"/>
    </row>
    <row r="42" spans="14:33">
      <c r="N42" s="172" t="s">
        <v>22</v>
      </c>
      <c r="O42" s="172" t="s">
        <v>82</v>
      </c>
      <c r="P42" s="172" t="s">
        <v>60</v>
      </c>
      <c r="Q42" s="172" t="s">
        <v>85</v>
      </c>
      <c r="R42" s="172" t="s">
        <v>74</v>
      </c>
      <c r="S42" s="172" t="s">
        <v>75</v>
      </c>
      <c r="T42" s="173"/>
      <c r="AG42" s="13"/>
    </row>
    <row r="43" spans="14:33">
      <c r="N43" s="172"/>
      <c r="O43" s="172"/>
      <c r="P43" s="172"/>
      <c r="Q43" s="172"/>
      <c r="R43" s="172"/>
      <c r="S43" s="172"/>
      <c r="T43" s="173"/>
      <c r="AG43" s="13"/>
    </row>
    <row r="44" spans="14:33">
      <c r="N44" s="42" t="s">
        <v>121</v>
      </c>
      <c r="O44" s="23" t="s">
        <v>26</v>
      </c>
      <c r="P44" s="26">
        <f>SUMIFS($R3:$R3,$G3:$G3,O44)</f>
        <v>0</v>
      </c>
      <c r="Q44" s="26">
        <f>SUMIFS($Y3:$Y3,$G3:$G3,O44)</f>
        <v>0</v>
      </c>
      <c r="R44" s="32">
        <f t="shared" ref="R44:R55" si="10">IFERROR(Q44/P44,0)</f>
        <v>0</v>
      </c>
      <c r="S44" s="33">
        <f>SUMIFS($AE3:$AE3,$G3:$G3,O44)</f>
        <v>0</v>
      </c>
      <c r="T44" s="18"/>
      <c r="AG44" s="15"/>
    </row>
    <row r="45" spans="14:33">
      <c r="N45" s="42" t="s">
        <v>121</v>
      </c>
      <c r="O45" s="23" t="s">
        <v>27</v>
      </c>
      <c r="P45" s="26">
        <f t="shared" ref="P45:P47" si="11">SUMIFS($R4:$R4,$G4:$G4,O45)</f>
        <v>0</v>
      </c>
      <c r="Q45" s="26">
        <f t="shared" ref="Q45:Q51" si="12">SUMIFS($Y4:$Y4,$G4:$G4,O45)</f>
        <v>0</v>
      </c>
      <c r="R45" s="32">
        <f t="shared" si="10"/>
        <v>0</v>
      </c>
      <c r="S45" s="33">
        <f t="shared" ref="S45:S49" si="13">SUMIFS($AE4:$AE4,$G4:$G4,O45)</f>
        <v>0</v>
      </c>
      <c r="T45" s="18"/>
      <c r="AG45" s="15"/>
    </row>
    <row r="46" spans="14:33">
      <c r="N46" s="42" t="s">
        <v>121</v>
      </c>
      <c r="O46" s="23" t="s">
        <v>28</v>
      </c>
      <c r="P46" s="26">
        <f t="shared" si="11"/>
        <v>0</v>
      </c>
      <c r="Q46" s="26">
        <f t="shared" si="12"/>
        <v>0</v>
      </c>
      <c r="R46" s="32">
        <f t="shared" si="10"/>
        <v>0</v>
      </c>
      <c r="S46" s="33">
        <f t="shared" si="13"/>
        <v>0</v>
      </c>
      <c r="T46" s="18"/>
      <c r="AG46" s="15"/>
    </row>
    <row r="47" spans="14:33">
      <c r="N47" s="42" t="s">
        <v>121</v>
      </c>
      <c r="O47" s="23" t="s">
        <v>29</v>
      </c>
      <c r="P47" s="26">
        <f t="shared" si="11"/>
        <v>0</v>
      </c>
      <c r="Q47" s="26">
        <f t="shared" si="12"/>
        <v>0</v>
      </c>
      <c r="R47" s="32">
        <f t="shared" si="10"/>
        <v>0</v>
      </c>
      <c r="S47" s="33">
        <f t="shared" si="13"/>
        <v>0</v>
      </c>
      <c r="T47" s="18"/>
      <c r="AG47" s="15"/>
    </row>
    <row r="48" spans="14:33">
      <c r="N48" s="42" t="s">
        <v>121</v>
      </c>
      <c r="O48" s="23" t="s">
        <v>30</v>
      </c>
      <c r="P48" s="26">
        <f>R3</f>
        <v>20</v>
      </c>
      <c r="Q48" s="26">
        <f>Y3</f>
        <v>19</v>
      </c>
      <c r="R48" s="32">
        <f t="shared" si="10"/>
        <v>0.95</v>
      </c>
      <c r="S48" s="26">
        <f>AE3</f>
        <v>475</v>
      </c>
      <c r="T48" s="18"/>
      <c r="AG48" s="15"/>
    </row>
    <row r="49" spans="1:33">
      <c r="N49" s="42" t="s">
        <v>121</v>
      </c>
      <c r="O49" s="23" t="s">
        <v>31</v>
      </c>
      <c r="P49" s="26">
        <f t="shared" ref="P49:P55" si="14">SUMIFS($R8:$R8,$G8:$G8,O49)</f>
        <v>0</v>
      </c>
      <c r="Q49" s="26">
        <f t="shared" si="12"/>
        <v>0</v>
      </c>
      <c r="R49" s="32">
        <f t="shared" si="10"/>
        <v>0</v>
      </c>
      <c r="S49" s="33">
        <f t="shared" si="13"/>
        <v>0</v>
      </c>
      <c r="T49" s="18"/>
      <c r="AG49" s="15"/>
    </row>
    <row r="50" spans="1:33" ht="15" customHeight="1">
      <c r="N50" s="42" t="s">
        <v>121</v>
      </c>
      <c r="O50" s="23" t="s">
        <v>32</v>
      </c>
      <c r="P50" s="26">
        <f t="shared" si="14"/>
        <v>0</v>
      </c>
      <c r="Q50" s="26">
        <f t="shared" si="12"/>
        <v>0</v>
      </c>
      <c r="R50" s="32">
        <f t="shared" si="10"/>
        <v>0</v>
      </c>
      <c r="S50" s="33">
        <f t="shared" ref="S50:S55" si="15">SUMIFS($AE9:$AE9,$G9:$G9,O50)</f>
        <v>0</v>
      </c>
      <c r="T50" s="18"/>
      <c r="AG50" s="15"/>
    </row>
    <row r="51" spans="1:33">
      <c r="A51" s="173"/>
      <c r="B51" s="173"/>
      <c r="C51" s="173"/>
      <c r="D51" s="173"/>
      <c r="E51" s="173"/>
      <c r="F51" s="173"/>
      <c r="G51" s="173"/>
      <c r="N51" s="42" t="s">
        <v>121</v>
      </c>
      <c r="O51" s="23" t="s">
        <v>33</v>
      </c>
      <c r="P51" s="26">
        <f t="shared" si="14"/>
        <v>0</v>
      </c>
      <c r="Q51" s="26">
        <f t="shared" si="12"/>
        <v>0</v>
      </c>
      <c r="R51" s="32">
        <f t="shared" si="10"/>
        <v>0</v>
      </c>
      <c r="S51" s="33">
        <f t="shared" si="15"/>
        <v>0</v>
      </c>
      <c r="T51" s="18"/>
      <c r="AG51" s="15"/>
    </row>
    <row r="52" spans="1:33">
      <c r="A52" s="173"/>
      <c r="B52" s="173"/>
      <c r="C52" s="173"/>
      <c r="D52" s="173"/>
      <c r="E52" s="173"/>
      <c r="F52" s="173"/>
      <c r="G52" s="173"/>
      <c r="N52" s="42" t="s">
        <v>121</v>
      </c>
      <c r="O52" s="23" t="s">
        <v>34</v>
      </c>
      <c r="P52" s="26">
        <f t="shared" si="14"/>
        <v>0</v>
      </c>
      <c r="Q52" s="26">
        <f t="shared" ref="Q52:Q55" si="16">SUMIFS($Y11:$Y11,$G11:$G11,O52)</f>
        <v>0</v>
      </c>
      <c r="R52" s="32">
        <f t="shared" si="10"/>
        <v>0</v>
      </c>
      <c r="S52" s="33">
        <f t="shared" si="15"/>
        <v>0</v>
      </c>
      <c r="T52" s="18"/>
      <c r="AG52" s="15"/>
    </row>
    <row r="53" spans="1:33">
      <c r="A53" s="14"/>
      <c r="B53" s="15"/>
      <c r="C53" s="15"/>
      <c r="D53" s="16"/>
      <c r="E53" s="16"/>
      <c r="F53" s="17"/>
      <c r="G53" s="18"/>
      <c r="N53" s="42" t="s">
        <v>121</v>
      </c>
      <c r="O53" s="23" t="s">
        <v>35</v>
      </c>
      <c r="P53" s="26">
        <f t="shared" si="14"/>
        <v>0</v>
      </c>
      <c r="Q53" s="26">
        <f t="shared" si="16"/>
        <v>0</v>
      </c>
      <c r="R53" s="32">
        <f t="shared" si="10"/>
        <v>0</v>
      </c>
      <c r="S53" s="33">
        <f t="shared" si="15"/>
        <v>0</v>
      </c>
      <c r="T53" s="18"/>
      <c r="AG53" s="15"/>
    </row>
    <row r="54" spans="1:33">
      <c r="A54" s="14"/>
      <c r="B54" s="15"/>
      <c r="C54" s="15"/>
      <c r="D54" s="16"/>
      <c r="E54" s="16"/>
      <c r="F54" s="17"/>
      <c r="G54" s="18"/>
      <c r="N54" s="42" t="s">
        <v>121</v>
      </c>
      <c r="O54" s="23" t="s">
        <v>36</v>
      </c>
      <c r="P54" s="26">
        <f t="shared" si="14"/>
        <v>0</v>
      </c>
      <c r="Q54" s="26">
        <f t="shared" si="16"/>
        <v>0</v>
      </c>
      <c r="R54" s="32">
        <f t="shared" si="10"/>
        <v>0</v>
      </c>
      <c r="S54" s="33">
        <f t="shared" si="15"/>
        <v>0</v>
      </c>
      <c r="T54" s="18"/>
      <c r="AG54" s="15"/>
    </row>
    <row r="55" spans="1:33">
      <c r="A55" s="14"/>
      <c r="B55" s="15"/>
      <c r="C55" s="15"/>
      <c r="D55" s="16"/>
      <c r="E55" s="16"/>
      <c r="F55" s="17"/>
      <c r="G55" s="18"/>
      <c r="N55" s="42" t="s">
        <v>121</v>
      </c>
      <c r="O55" s="23" t="s">
        <v>37</v>
      </c>
      <c r="P55" s="26">
        <f t="shared" si="14"/>
        <v>0</v>
      </c>
      <c r="Q55" s="26">
        <f t="shared" si="16"/>
        <v>0</v>
      </c>
      <c r="R55" s="32">
        <f t="shared" si="10"/>
        <v>0</v>
      </c>
      <c r="S55" s="33">
        <f t="shared" si="15"/>
        <v>0</v>
      </c>
      <c r="T55" s="18"/>
      <c r="AG55" s="15"/>
    </row>
    <row r="56" spans="1:33">
      <c r="A56" s="14"/>
      <c r="B56" s="15"/>
      <c r="C56" s="15"/>
      <c r="D56" s="16"/>
      <c r="E56" s="16"/>
      <c r="F56" s="17"/>
      <c r="G56" s="18"/>
      <c r="N56" s="8" t="s">
        <v>121</v>
      </c>
      <c r="O56" s="9"/>
      <c r="P56" s="27">
        <f>SUM(P44:P55)</f>
        <v>20</v>
      </c>
      <c r="Q56" s="27">
        <f>SUM(Q44:Q55)</f>
        <v>19</v>
      </c>
      <c r="R56" s="34">
        <f>Q56/P56</f>
        <v>0.95</v>
      </c>
      <c r="S56" s="35">
        <f>SUM(S44:S55)</f>
        <v>475</v>
      </c>
      <c r="T56" s="22"/>
      <c r="AG56" s="13"/>
    </row>
    <row r="57" spans="1:33">
      <c r="A57" s="14"/>
      <c r="B57" s="15"/>
      <c r="C57" s="15"/>
      <c r="D57" s="16"/>
      <c r="E57" s="16"/>
      <c r="F57" s="17"/>
      <c r="G57" s="18"/>
    </row>
    <row r="58" spans="1:33">
      <c r="A58" s="19"/>
      <c r="B58" s="19"/>
      <c r="C58" s="13"/>
      <c r="D58" s="20"/>
      <c r="E58" s="20"/>
      <c r="F58" s="21"/>
      <c r="G58" s="22"/>
    </row>
    <row r="59" spans="1:33">
      <c r="A59" s="10" t="s">
        <v>91</v>
      </c>
      <c r="B59" s="11">
        <v>25</v>
      </c>
      <c r="C59" s="2"/>
      <c r="D59" s="2"/>
      <c r="E59" s="2"/>
      <c r="F59" s="2"/>
      <c r="G59" s="2"/>
    </row>
  </sheetData>
  <sheetProtection formatCells="0" formatColumns="0" formatRows="0"/>
  <mergeCells count="41">
    <mergeCell ref="Y1:Y2"/>
    <mergeCell ref="Z1:Z2"/>
    <mergeCell ref="AF1:AF2"/>
    <mergeCell ref="AG1:AG2"/>
    <mergeCell ref="S42:S43"/>
    <mergeCell ref="T42:T43"/>
    <mergeCell ref="V1:V2"/>
    <mergeCell ref="W1:W2"/>
    <mergeCell ref="X1:X2"/>
    <mergeCell ref="S1:U1"/>
    <mergeCell ref="AA1:AE1"/>
    <mergeCell ref="P1:P2"/>
    <mergeCell ref="P42:P43"/>
    <mergeCell ref="Q1:Q2"/>
    <mergeCell ref="Q42:Q43"/>
    <mergeCell ref="R1:R2"/>
    <mergeCell ref="R42:R43"/>
    <mergeCell ref="M1:M2"/>
    <mergeCell ref="N1:N2"/>
    <mergeCell ref="N42:N43"/>
    <mergeCell ref="O1:O2"/>
    <mergeCell ref="O42:O43"/>
    <mergeCell ref="H1:H2"/>
    <mergeCell ref="I1:I2"/>
    <mergeCell ref="J1:J2"/>
    <mergeCell ref="K1:K2"/>
    <mergeCell ref="L1:L2"/>
    <mergeCell ref="A1:A2"/>
    <mergeCell ref="A51:A52"/>
    <mergeCell ref="B1:B2"/>
    <mergeCell ref="B51:B52"/>
    <mergeCell ref="C1:C2"/>
    <mergeCell ref="C51:C52"/>
    <mergeCell ref="G1:G2"/>
    <mergeCell ref="G51:G52"/>
    <mergeCell ref="D1:D2"/>
    <mergeCell ref="D51:D52"/>
    <mergeCell ref="E1:E2"/>
    <mergeCell ref="E51:E52"/>
    <mergeCell ref="F1:F2"/>
    <mergeCell ref="F51:F52"/>
  </mergeCells>
  <pageMargins left="0.7" right="0.7" top="0.75" bottom="0.75" header="0.3" footer="0.3"/>
  <pageSetup paperSize="9" orientation="portrait"/>
  <headerFooter>
    <oddFooter>&amp;CNBCU Internal</oddFooter>
  </headerFooter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AG61"/>
  <sheetViews>
    <sheetView zoomScale="130" zoomScaleNormal="130" workbookViewId="0">
      <pane xSplit="2" topLeftCell="C1" activePane="topRight" state="frozen"/>
      <selection pane="topRight" activeCell="K5" sqref="K5"/>
    </sheetView>
  </sheetViews>
  <sheetFormatPr defaultColWidth="8.81640625" defaultRowHeight="14.5"/>
  <cols>
    <col min="1" max="2" width="13.453125" style="3" customWidth="1"/>
    <col min="3" max="3" width="14.1796875" style="3" customWidth="1"/>
    <col min="4" max="4" width="5.453125" style="3" customWidth="1"/>
    <col min="5" max="6" width="9" style="3" customWidth="1"/>
    <col min="7" max="7" width="8.81640625" style="3" customWidth="1"/>
    <col min="8" max="8" width="19.453125" style="3" customWidth="1"/>
    <col min="9" max="9" width="19.81640625" style="3" customWidth="1"/>
    <col min="10" max="10" width="11.453125" style="3" customWidth="1"/>
    <col min="11" max="11" width="13.1796875" style="3" customWidth="1"/>
    <col min="12" max="12" width="11.1796875" style="3" customWidth="1"/>
    <col min="13" max="14" width="13.1796875" style="3" customWidth="1"/>
    <col min="15" max="15" width="13.81640625" style="3" customWidth="1"/>
    <col min="16" max="16" width="22.453125" style="3" customWidth="1"/>
    <col min="17" max="18" width="19.453125" style="3" customWidth="1"/>
    <col min="19" max="19" width="12.1796875" style="3" customWidth="1"/>
    <col min="20" max="20" width="17.453125" style="3" customWidth="1"/>
    <col min="21" max="21" width="9.81640625" style="3" customWidth="1"/>
    <col min="22" max="22" width="18" style="3" customWidth="1"/>
    <col min="23" max="23" width="19.1796875" style="3" customWidth="1"/>
    <col min="24" max="24" width="13.453125" style="3" customWidth="1"/>
    <col min="25" max="25" width="10.1796875" style="3" customWidth="1"/>
    <col min="26" max="26" width="18.1796875" style="3" customWidth="1"/>
    <col min="27" max="27" width="15" style="3" customWidth="1"/>
    <col min="28" max="28" width="9.453125" style="3" customWidth="1"/>
    <col min="29" max="29" width="18" style="3" customWidth="1"/>
    <col min="30" max="30" width="12.1796875" style="3" customWidth="1"/>
    <col min="31" max="31" width="11.453125" style="3" customWidth="1"/>
    <col min="32" max="32" width="6" style="3" hidden="1" customWidth="1"/>
    <col min="33" max="33" width="9.1796875" style="3" customWidth="1"/>
    <col min="34" max="16384" width="8.81640625" style="3"/>
  </cols>
  <sheetData>
    <row r="1" spans="1:33" s="1" customFormat="1" ht="33" customHeight="1">
      <c r="A1" s="172" t="s">
        <v>22</v>
      </c>
      <c r="B1" s="172" t="s">
        <v>47</v>
      </c>
      <c r="C1" s="172" t="s">
        <v>48</v>
      </c>
      <c r="D1" s="172" t="s">
        <v>79</v>
      </c>
      <c r="E1" s="172" t="s">
        <v>80</v>
      </c>
      <c r="F1" s="172" t="s">
        <v>81</v>
      </c>
      <c r="G1" s="172" t="s">
        <v>82</v>
      </c>
      <c r="H1" s="172" t="s">
        <v>50</v>
      </c>
      <c r="I1" s="172" t="s">
        <v>51</v>
      </c>
      <c r="J1" s="172" t="s">
        <v>53</v>
      </c>
      <c r="K1" s="172" t="s">
        <v>54</v>
      </c>
      <c r="L1" s="172" t="s">
        <v>94</v>
      </c>
      <c r="M1" s="172" t="s">
        <v>56</v>
      </c>
      <c r="N1" s="175" t="s">
        <v>57</v>
      </c>
      <c r="O1" s="172" t="s">
        <v>58</v>
      </c>
      <c r="P1" s="172" t="s">
        <v>83</v>
      </c>
      <c r="Q1" s="172" t="s">
        <v>95</v>
      </c>
      <c r="R1" s="172" t="s">
        <v>60</v>
      </c>
      <c r="S1" s="172" t="s">
        <v>61</v>
      </c>
      <c r="T1" s="172"/>
      <c r="U1" s="172"/>
      <c r="V1" s="172" t="s">
        <v>62</v>
      </c>
      <c r="W1" s="172" t="s">
        <v>63</v>
      </c>
      <c r="X1" s="172" t="s">
        <v>64</v>
      </c>
      <c r="Y1" s="172" t="s">
        <v>85</v>
      </c>
      <c r="Z1" s="172" t="s">
        <v>66</v>
      </c>
      <c r="AA1" s="172" t="s">
        <v>67</v>
      </c>
      <c r="AB1" s="172"/>
      <c r="AC1" s="172"/>
      <c r="AD1" s="172"/>
      <c r="AE1" s="172"/>
      <c r="AF1" s="172" t="s">
        <v>3</v>
      </c>
      <c r="AG1" s="172" t="s">
        <v>86</v>
      </c>
    </row>
    <row r="2" spans="1:33" s="1" customFormat="1" ht="55.5" customHeigh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6"/>
      <c r="O2" s="172"/>
      <c r="P2" s="172"/>
      <c r="Q2" s="172"/>
      <c r="R2" s="172"/>
      <c r="S2" s="4" t="s">
        <v>68</v>
      </c>
      <c r="T2" s="4" t="s">
        <v>69</v>
      </c>
      <c r="U2" s="4" t="s">
        <v>70</v>
      </c>
      <c r="V2" s="172"/>
      <c r="W2" s="172"/>
      <c r="X2" s="172"/>
      <c r="Y2" s="172"/>
      <c r="Z2" s="172"/>
      <c r="AA2" s="4" t="s">
        <v>96</v>
      </c>
      <c r="AB2" s="4" t="s">
        <v>97</v>
      </c>
      <c r="AC2" s="4" t="s">
        <v>73</v>
      </c>
      <c r="AD2" s="4" t="s">
        <v>74</v>
      </c>
      <c r="AE2" s="4" t="s">
        <v>75</v>
      </c>
      <c r="AF2" s="172"/>
      <c r="AG2" s="172"/>
    </row>
    <row r="3" spans="1:33" ht="24.75" customHeight="1">
      <c r="A3" s="42" t="s">
        <v>122</v>
      </c>
      <c r="B3" s="42" t="s">
        <v>189</v>
      </c>
      <c r="C3" s="42" t="s">
        <v>189</v>
      </c>
      <c r="D3" s="23">
        <v>1</v>
      </c>
      <c r="E3" s="44">
        <v>44617</v>
      </c>
      <c r="F3" s="44">
        <v>44620</v>
      </c>
      <c r="G3" s="23" t="s">
        <v>27</v>
      </c>
      <c r="H3" s="23">
        <v>88</v>
      </c>
      <c r="I3" s="23">
        <v>88</v>
      </c>
      <c r="J3" s="23">
        <v>88</v>
      </c>
      <c r="K3" s="24">
        <v>88</v>
      </c>
      <c r="L3" s="23">
        <v>1</v>
      </c>
      <c r="M3" s="23">
        <v>0</v>
      </c>
      <c r="N3" s="23">
        <v>0</v>
      </c>
      <c r="O3" s="24">
        <v>87</v>
      </c>
      <c r="P3" s="23">
        <v>87</v>
      </c>
      <c r="Q3" s="28">
        <v>0</v>
      </c>
      <c r="R3" s="29">
        <v>88</v>
      </c>
      <c r="S3" s="30">
        <v>8</v>
      </c>
      <c r="T3" s="30">
        <v>6</v>
      </c>
      <c r="U3" s="26">
        <v>0</v>
      </c>
      <c r="V3" s="29">
        <v>0</v>
      </c>
      <c r="W3" s="31">
        <v>0</v>
      </c>
      <c r="X3" s="29">
        <f>SUM(T3,V3,W3)</f>
        <v>6</v>
      </c>
      <c r="Y3" s="29">
        <f t="shared" ref="Y3:Y4" si="0">R3-X3</f>
        <v>82</v>
      </c>
      <c r="Z3" s="36">
        <v>0</v>
      </c>
      <c r="AA3" s="37">
        <f t="shared" ref="AA3:AA4" si="1">J3/I3</f>
        <v>1</v>
      </c>
      <c r="AB3" s="37">
        <f t="shared" ref="AB3:AB4" si="2">J3/I3</f>
        <v>1</v>
      </c>
      <c r="AC3" s="37">
        <f t="shared" ref="AC3:AC4" si="3">P3/(O3*D3)</f>
        <v>1</v>
      </c>
      <c r="AD3" s="37">
        <f t="shared" ref="AD3:AD4" si="4">Y3/R3</f>
        <v>0.93181818181818177</v>
      </c>
      <c r="AE3" s="38">
        <f>Y3*$B$11</f>
        <v>2050</v>
      </c>
      <c r="AF3" s="23" t="s">
        <v>123</v>
      </c>
      <c r="AG3" s="23">
        <v>8</v>
      </c>
    </row>
    <row r="4" spans="1:33" ht="24.75" customHeight="1">
      <c r="A4" s="42" t="s">
        <v>122</v>
      </c>
      <c r="B4" s="42" t="s">
        <v>190</v>
      </c>
      <c r="C4" s="42" t="s">
        <v>190</v>
      </c>
      <c r="D4" s="23">
        <v>1</v>
      </c>
      <c r="E4" s="44">
        <v>44713</v>
      </c>
      <c r="F4" s="44">
        <v>44742</v>
      </c>
      <c r="G4" s="23" t="s">
        <v>31</v>
      </c>
      <c r="H4" s="23">
        <v>88</v>
      </c>
      <c r="I4" s="23">
        <v>88</v>
      </c>
      <c r="J4" s="23">
        <v>88</v>
      </c>
      <c r="K4" s="24">
        <v>88</v>
      </c>
      <c r="L4" s="23">
        <v>1</v>
      </c>
      <c r="M4" s="23">
        <v>0</v>
      </c>
      <c r="N4" s="23">
        <v>10</v>
      </c>
      <c r="O4" s="24">
        <v>87</v>
      </c>
      <c r="P4" s="23">
        <v>87</v>
      </c>
      <c r="Q4" s="28">
        <v>0</v>
      </c>
      <c r="R4" s="29">
        <v>88</v>
      </c>
      <c r="S4" s="30">
        <v>8</v>
      </c>
      <c r="T4" s="30">
        <v>0</v>
      </c>
      <c r="U4" s="26">
        <v>42</v>
      </c>
      <c r="V4" s="29">
        <v>0</v>
      </c>
      <c r="W4" s="31">
        <v>0</v>
      </c>
      <c r="X4" s="29">
        <f>SUM(T4,V4,W4)</f>
        <v>0</v>
      </c>
      <c r="Y4" s="29">
        <f t="shared" si="0"/>
        <v>88</v>
      </c>
      <c r="Z4" s="36">
        <v>0</v>
      </c>
      <c r="AA4" s="37">
        <f t="shared" si="1"/>
        <v>1</v>
      </c>
      <c r="AB4" s="37">
        <f t="shared" si="2"/>
        <v>1</v>
      </c>
      <c r="AC4" s="37">
        <f t="shared" si="3"/>
        <v>1</v>
      </c>
      <c r="AD4" s="37">
        <f t="shared" si="4"/>
        <v>1</v>
      </c>
      <c r="AE4" s="38">
        <f>Y4*$B$11</f>
        <v>2200</v>
      </c>
      <c r="AF4" s="23" t="s">
        <v>123</v>
      </c>
      <c r="AG4" s="23">
        <v>8</v>
      </c>
    </row>
    <row r="5" spans="1:33" ht="24.75" customHeight="1">
      <c r="A5" s="42" t="s">
        <v>122</v>
      </c>
      <c r="B5" s="42" t="s">
        <v>190</v>
      </c>
      <c r="C5" s="42" t="s">
        <v>190</v>
      </c>
      <c r="D5" s="23">
        <v>1</v>
      </c>
      <c r="E5" s="44">
        <v>44743</v>
      </c>
      <c r="F5" s="44">
        <v>44771</v>
      </c>
      <c r="G5" s="23" t="s">
        <v>32</v>
      </c>
      <c r="H5" s="23">
        <v>88</v>
      </c>
      <c r="I5" s="23">
        <v>88</v>
      </c>
      <c r="J5" s="23">
        <v>88</v>
      </c>
      <c r="K5" s="24">
        <v>88</v>
      </c>
      <c r="L5" s="23">
        <v>1</v>
      </c>
      <c r="M5" s="23">
        <v>0</v>
      </c>
      <c r="N5" s="23">
        <v>9</v>
      </c>
      <c r="O5" s="24">
        <v>87</v>
      </c>
      <c r="P5" s="23">
        <v>87</v>
      </c>
      <c r="Q5" s="28">
        <v>0</v>
      </c>
      <c r="R5" s="29">
        <v>88</v>
      </c>
      <c r="S5" s="30">
        <v>8</v>
      </c>
      <c r="T5" s="30">
        <v>0</v>
      </c>
      <c r="U5" s="26">
        <v>42</v>
      </c>
      <c r="V5" s="29">
        <v>0</v>
      </c>
      <c r="W5" s="31">
        <v>0</v>
      </c>
      <c r="X5" s="29">
        <f>SUM(T5,V5,W5)</f>
        <v>0</v>
      </c>
      <c r="Y5" s="29">
        <f t="shared" ref="Y5" si="5">R5-X5</f>
        <v>88</v>
      </c>
      <c r="Z5" s="36">
        <v>0</v>
      </c>
      <c r="AA5" s="37">
        <f t="shared" ref="AA5" si="6">J5/I5</f>
        <v>1</v>
      </c>
      <c r="AB5" s="37">
        <f t="shared" ref="AB5" si="7">J5/I5</f>
        <v>1</v>
      </c>
      <c r="AC5" s="37">
        <f t="shared" ref="AC5" si="8">P5/(O5*D5)</f>
        <v>1</v>
      </c>
      <c r="AD5" s="37">
        <f t="shared" ref="AD5" si="9">Y5/R5</f>
        <v>1</v>
      </c>
      <c r="AE5" s="38">
        <f>Y5*$B$11</f>
        <v>2200</v>
      </c>
      <c r="AF5" s="23" t="s">
        <v>123</v>
      </c>
      <c r="AG5" s="23">
        <v>8</v>
      </c>
    </row>
    <row r="6" spans="1:33" s="2" customFormat="1">
      <c r="A6" s="8" t="s">
        <v>122</v>
      </c>
      <c r="B6" s="8" t="s">
        <v>90</v>
      </c>
      <c r="C6" s="9" t="s">
        <v>90</v>
      </c>
      <c r="D6" s="9">
        <f ca="1">SUM(D5:INDIRECT("D"&amp;ROW()-1))</f>
        <v>1</v>
      </c>
      <c r="E6" s="9"/>
      <c r="F6" s="9"/>
      <c r="G6" s="9"/>
      <c r="H6" s="9">
        <f ca="1">INDIRECT("H"&amp;ROW()-1)</f>
        <v>88</v>
      </c>
      <c r="I6" s="9">
        <f ca="1">INDIRECT("I"&amp;ROW()-1)</f>
        <v>88</v>
      </c>
      <c r="J6" s="9">
        <f ca="1">INDIRECT("J"&amp;ROW()-1)</f>
        <v>88</v>
      </c>
      <c r="K6" s="9">
        <f ca="1">INDIRECT("K"&amp;ROW()-1)</f>
        <v>88</v>
      </c>
      <c r="L6" s="24">
        <f ca="1">INDIRECT("L"&amp;ROW()-1)</f>
        <v>1</v>
      </c>
      <c r="M6" s="9">
        <f ca="1">SUM(M5:INDIRECT("M"&amp;ROW()-1))</f>
        <v>0</v>
      </c>
      <c r="N6" s="9">
        <f ca="1">SUM(N2:INDIRECT("N"&amp;ROW()-1))</f>
        <v>19</v>
      </c>
      <c r="O6" s="9">
        <f ca="1">INDIRECT("O"&amp;ROW()-1)</f>
        <v>87</v>
      </c>
      <c r="P6" s="9">
        <f ca="1">SUM(P5:INDIRECT("P"&amp;ROW()-1))</f>
        <v>87</v>
      </c>
      <c r="Q6" s="9">
        <f ca="1">SUM(Q5:INDIRECT("Q"&amp;ROW()-1))</f>
        <v>0</v>
      </c>
      <c r="R6" s="27">
        <f ca="1">SUM(R5:INDIRECT("R"&amp;ROW()-1))</f>
        <v>88</v>
      </c>
      <c r="S6" s="9">
        <f ca="1">SUM(S2:INDIRECT("S"&amp;ROW()-1))</f>
        <v>24</v>
      </c>
      <c r="T6" s="9">
        <f ca="1">SUM(T2:INDIRECT("T"&amp;ROW()-1))</f>
        <v>6</v>
      </c>
      <c r="U6" s="9">
        <f ca="1">SUM(U2:INDIRECT("U"&amp;ROW()-1))</f>
        <v>84</v>
      </c>
      <c r="V6" s="9">
        <f ca="1">SUM(V5:INDIRECT("V"&amp;ROW()-1))</f>
        <v>0</v>
      </c>
      <c r="W6" s="9">
        <f ca="1">SUM(W5:INDIRECT("W"&amp;ROW()-1))</f>
        <v>0</v>
      </c>
      <c r="X6" s="9">
        <f ca="1">SUM(X2:INDIRECT("X"&amp;ROW()-1))</f>
        <v>6</v>
      </c>
      <c r="Y6" s="27">
        <f ca="1">SUM(Y2:INDIRECT("Y"&amp;ROW()-1))</f>
        <v>258</v>
      </c>
      <c r="Z6" s="9">
        <f ca="1">SUM(Z5:INDIRECT("z"&amp;ROW()-1))</f>
        <v>0</v>
      </c>
      <c r="AA6" s="34">
        <f t="shared" ref="AA6" ca="1" si="10">J6/I6</f>
        <v>1</v>
      </c>
      <c r="AB6" s="34">
        <f t="shared" ref="AB6" ca="1" si="11">J6/H6</f>
        <v>1</v>
      </c>
      <c r="AC6" s="34">
        <f t="shared" ref="AC6" ca="1" si="12">IFERROR(P6/(O6*D6),0)</f>
        <v>1</v>
      </c>
      <c r="AD6" s="39">
        <f t="shared" ref="AD6" ca="1" si="13">IFERROR(Y6/R6,0)</f>
        <v>2.9318181818181817</v>
      </c>
      <c r="AE6" s="35">
        <f ca="1">SUM(AE2:INDIRECT("AF"&amp;ROW()-1))</f>
        <v>6450</v>
      </c>
      <c r="AF6" s="9"/>
      <c r="AG6" s="9"/>
    </row>
    <row r="7" spans="1:33" s="2" customFormat="1">
      <c r="P7" s="2">
        <v>240</v>
      </c>
    </row>
    <row r="8" spans="1:33" s="2" customFormat="1">
      <c r="A8" s="10"/>
      <c r="B8" s="11"/>
      <c r="E8" s="2">
        <v>11</v>
      </c>
      <c r="Q8" s="13"/>
      <c r="AC8" s="25"/>
    </row>
    <row r="9" spans="1:33" s="2" customFormat="1">
      <c r="A9" s="10"/>
      <c r="B9" s="11"/>
      <c r="Q9" s="13"/>
      <c r="AC9" s="25"/>
    </row>
    <row r="10" spans="1:33" s="2" customFormat="1">
      <c r="A10" s="10"/>
      <c r="B10" s="11"/>
      <c r="Q10" s="13"/>
      <c r="AC10" s="25"/>
    </row>
    <row r="11" spans="1:33" s="2" customFormat="1">
      <c r="A11" s="10" t="s">
        <v>91</v>
      </c>
      <c r="B11" s="11">
        <v>25</v>
      </c>
      <c r="P11" s="25"/>
      <c r="Q11" s="13"/>
      <c r="AC11" s="25"/>
    </row>
    <row r="12" spans="1:33">
      <c r="A12" s="10" t="s">
        <v>92</v>
      </c>
      <c r="B12" s="12">
        <v>8</v>
      </c>
      <c r="C12" s="2"/>
      <c r="D12" s="2"/>
      <c r="E12" s="2"/>
      <c r="F12" s="2"/>
      <c r="G12" s="2"/>
      <c r="H12" s="2"/>
      <c r="I12" s="2"/>
      <c r="J12" s="25"/>
      <c r="K12" s="25"/>
      <c r="L12" s="2"/>
      <c r="M12" s="2"/>
      <c r="N12" s="2"/>
      <c r="O12" s="2"/>
      <c r="P12" s="2"/>
      <c r="Q12" s="1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44" spans="14:33">
      <c r="N44" s="172" t="s">
        <v>22</v>
      </c>
      <c r="O44" s="172" t="s">
        <v>82</v>
      </c>
      <c r="P44" s="172" t="s">
        <v>60</v>
      </c>
      <c r="Q44" s="172" t="s">
        <v>85</v>
      </c>
      <c r="R44" s="172" t="s">
        <v>74</v>
      </c>
      <c r="S44" s="172" t="s">
        <v>75</v>
      </c>
      <c r="T44" s="173"/>
      <c r="AG44" s="13"/>
    </row>
    <row r="45" spans="14:33">
      <c r="N45" s="172"/>
      <c r="O45" s="172"/>
      <c r="P45" s="172"/>
      <c r="Q45" s="172"/>
      <c r="R45" s="172"/>
      <c r="S45" s="172"/>
      <c r="T45" s="173"/>
      <c r="AG45" s="13"/>
    </row>
    <row r="46" spans="14:33">
      <c r="N46" s="23" t="s">
        <v>122</v>
      </c>
      <c r="O46" s="23" t="s">
        <v>26</v>
      </c>
      <c r="P46" s="26">
        <f t="shared" ref="P46" si="14">SUMIFS($R$5:$R$5,$G$5:$G$5,O46)</f>
        <v>0</v>
      </c>
      <c r="Q46" s="26">
        <f t="shared" ref="Q46" si="15">SUMIFS($Y$5:$Y$5,$G$5:$G$5,O46)</f>
        <v>0</v>
      </c>
      <c r="R46" s="32">
        <f>IFERROR(Q46/P46,0)</f>
        <v>0</v>
      </c>
      <c r="S46" s="33">
        <f t="shared" ref="S46" si="16">SUMIFS($AE$5:$AE$5,$G$5:$G$5,O46)</f>
        <v>0</v>
      </c>
      <c r="T46" s="18"/>
      <c r="AG46" s="15"/>
    </row>
    <row r="47" spans="14:33">
      <c r="N47" s="23" t="s">
        <v>122</v>
      </c>
      <c r="O47" s="23" t="s">
        <v>27</v>
      </c>
      <c r="P47" s="26">
        <f t="shared" ref="P47:P50" si="17">SUMIFS($R$5:$R$5,$G$5:$G$5,O47)</f>
        <v>0</v>
      </c>
      <c r="Q47" s="26">
        <f t="shared" ref="Q47:Q52" si="18">SUMIFS($Y$5:$Y$5,$G$5:$G$5,O47)</f>
        <v>0</v>
      </c>
      <c r="R47" s="32">
        <f t="shared" ref="R47:R52" si="19">IFERROR(Q47/P47,0)</f>
        <v>0</v>
      </c>
      <c r="S47" s="33">
        <f t="shared" ref="S47:S52" si="20">SUMIFS($AE$5:$AE$5,$G$5:$G$5,O47)</f>
        <v>0</v>
      </c>
      <c r="T47" s="18"/>
      <c r="AG47" s="15"/>
    </row>
    <row r="48" spans="14:33">
      <c r="N48" s="23" t="s">
        <v>122</v>
      </c>
      <c r="O48" s="23" t="s">
        <v>28</v>
      </c>
      <c r="P48" s="26">
        <f t="shared" si="17"/>
        <v>0</v>
      </c>
      <c r="Q48" s="26">
        <f t="shared" si="18"/>
        <v>0</v>
      </c>
      <c r="R48" s="32">
        <f t="shared" si="19"/>
        <v>0</v>
      </c>
      <c r="S48" s="33">
        <f t="shared" si="20"/>
        <v>0</v>
      </c>
      <c r="T48" s="18"/>
      <c r="AG48" s="15"/>
    </row>
    <row r="49" spans="1:33">
      <c r="N49" s="23" t="s">
        <v>122</v>
      </c>
      <c r="O49" s="23" t="s">
        <v>29</v>
      </c>
      <c r="P49" s="26">
        <f t="shared" si="17"/>
        <v>0</v>
      </c>
      <c r="Q49" s="26">
        <f t="shared" si="18"/>
        <v>0</v>
      </c>
      <c r="R49" s="32">
        <f t="shared" si="19"/>
        <v>0</v>
      </c>
      <c r="S49" s="33">
        <f t="shared" si="20"/>
        <v>0</v>
      </c>
      <c r="T49" s="18"/>
      <c r="AG49" s="15"/>
    </row>
    <row r="50" spans="1:33">
      <c r="N50" s="23" t="s">
        <v>122</v>
      </c>
      <c r="O50" s="23" t="s">
        <v>30</v>
      </c>
      <c r="P50" s="26">
        <f t="shared" si="17"/>
        <v>0</v>
      </c>
      <c r="Q50" s="26">
        <f t="shared" si="18"/>
        <v>0</v>
      </c>
      <c r="R50" s="32">
        <f t="shared" si="19"/>
        <v>0</v>
      </c>
      <c r="S50" s="33">
        <f t="shared" si="20"/>
        <v>0</v>
      </c>
      <c r="T50" s="18"/>
      <c r="AG50" s="15"/>
    </row>
    <row r="51" spans="1:33">
      <c r="N51" s="23" t="s">
        <v>122</v>
      </c>
      <c r="O51" s="23" t="s">
        <v>31</v>
      </c>
      <c r="P51" s="26">
        <f>SUMIFS($R$3:$R$5,$G$3:$G$5,O51)</f>
        <v>88</v>
      </c>
      <c r="Q51" s="26">
        <f>SUMIFS($Y$3:$Y$5,$G$3:$G$5,O51)</f>
        <v>88</v>
      </c>
      <c r="R51" s="32">
        <f t="shared" si="19"/>
        <v>1</v>
      </c>
      <c r="S51" s="33">
        <f>SUMIFS($AE$3:$AE$5,$G$3:$G$5,O51)</f>
        <v>2200</v>
      </c>
      <c r="T51" s="18"/>
      <c r="AG51" s="15"/>
    </row>
    <row r="52" spans="1:33" ht="15" customHeight="1">
      <c r="N52" s="23" t="s">
        <v>122</v>
      </c>
      <c r="O52" s="23" t="s">
        <v>32</v>
      </c>
      <c r="P52" s="26">
        <f>SUMIFS($R$3:$R$5,$G$3:$G$5,O52)</f>
        <v>88</v>
      </c>
      <c r="Q52" s="26">
        <f t="shared" si="18"/>
        <v>88</v>
      </c>
      <c r="R52" s="32">
        <f t="shared" si="19"/>
        <v>1</v>
      </c>
      <c r="S52" s="33">
        <f t="shared" si="20"/>
        <v>2200</v>
      </c>
      <c r="T52" s="18"/>
      <c r="AG52" s="15"/>
    </row>
    <row r="53" spans="1:33">
      <c r="A53" s="173"/>
      <c r="B53" s="173"/>
      <c r="C53" s="173"/>
      <c r="D53" s="173"/>
      <c r="E53" s="173"/>
      <c r="F53" s="173"/>
      <c r="G53" s="173"/>
      <c r="N53" s="23" t="s">
        <v>122</v>
      </c>
      <c r="O53" s="23" t="s">
        <v>33</v>
      </c>
      <c r="P53" s="26">
        <f t="shared" ref="P53:P57" si="21">SUMIFS($R$5:$R$5,$G$5:$G$5,O53)</f>
        <v>0</v>
      </c>
      <c r="Q53" s="26">
        <f t="shared" ref="Q53:Q57" si="22">SUMIFS($Y$5:$Y$5,$G$5:$G$5,O53)</f>
        <v>0</v>
      </c>
      <c r="R53" s="32">
        <f t="shared" ref="R53:R57" si="23">IFERROR(Q53/P53,0)</f>
        <v>0</v>
      </c>
      <c r="S53" s="33">
        <f t="shared" ref="S53:S57" si="24">SUMIFS($AE$5:$AE$5,$G$5:$G$5,O53)</f>
        <v>0</v>
      </c>
      <c r="T53" s="18"/>
      <c r="AG53" s="15"/>
    </row>
    <row r="54" spans="1:33">
      <c r="A54" s="173"/>
      <c r="B54" s="173"/>
      <c r="C54" s="173"/>
      <c r="D54" s="173"/>
      <c r="E54" s="173"/>
      <c r="F54" s="173"/>
      <c r="G54" s="173"/>
      <c r="N54" s="23" t="s">
        <v>122</v>
      </c>
      <c r="O54" s="23" t="s">
        <v>34</v>
      </c>
      <c r="P54" s="26">
        <f t="shared" si="21"/>
        <v>0</v>
      </c>
      <c r="Q54" s="26">
        <f t="shared" si="22"/>
        <v>0</v>
      </c>
      <c r="R54" s="32">
        <f t="shared" si="23"/>
        <v>0</v>
      </c>
      <c r="S54" s="33">
        <f t="shared" si="24"/>
        <v>0</v>
      </c>
      <c r="T54" s="18"/>
      <c r="AG54" s="15"/>
    </row>
    <row r="55" spans="1:33">
      <c r="A55" s="14"/>
      <c r="B55" s="15"/>
      <c r="C55" s="15"/>
      <c r="D55" s="16"/>
      <c r="E55" s="16"/>
      <c r="F55" s="17"/>
      <c r="G55" s="18"/>
      <c r="N55" s="23" t="s">
        <v>122</v>
      </c>
      <c r="O55" s="23" t="s">
        <v>35</v>
      </c>
      <c r="P55" s="26">
        <f t="shared" si="21"/>
        <v>0</v>
      </c>
      <c r="Q55" s="26">
        <f t="shared" si="22"/>
        <v>0</v>
      </c>
      <c r="R55" s="32">
        <f t="shared" si="23"/>
        <v>0</v>
      </c>
      <c r="S55" s="33">
        <f t="shared" si="24"/>
        <v>0</v>
      </c>
      <c r="T55" s="18"/>
      <c r="AG55" s="15"/>
    </row>
    <row r="56" spans="1:33">
      <c r="A56" s="14"/>
      <c r="B56" s="15"/>
      <c r="C56" s="15"/>
      <c r="D56" s="16"/>
      <c r="E56" s="16"/>
      <c r="F56" s="17"/>
      <c r="G56" s="18"/>
      <c r="N56" s="23" t="s">
        <v>122</v>
      </c>
      <c r="O56" s="23" t="s">
        <v>36</v>
      </c>
      <c r="P56" s="26">
        <f t="shared" si="21"/>
        <v>0</v>
      </c>
      <c r="Q56" s="26">
        <f t="shared" si="22"/>
        <v>0</v>
      </c>
      <c r="R56" s="32">
        <f t="shared" si="23"/>
        <v>0</v>
      </c>
      <c r="S56" s="33">
        <f t="shared" si="24"/>
        <v>0</v>
      </c>
      <c r="T56" s="18"/>
      <c r="AG56" s="15"/>
    </row>
    <row r="57" spans="1:33">
      <c r="A57" s="14"/>
      <c r="B57" s="15"/>
      <c r="C57" s="15"/>
      <c r="D57" s="16"/>
      <c r="E57" s="16"/>
      <c r="F57" s="17"/>
      <c r="G57" s="18"/>
      <c r="N57" s="23" t="s">
        <v>122</v>
      </c>
      <c r="O57" s="23" t="s">
        <v>37</v>
      </c>
      <c r="P57" s="26">
        <f t="shared" si="21"/>
        <v>0</v>
      </c>
      <c r="Q57" s="26">
        <f t="shared" si="22"/>
        <v>0</v>
      </c>
      <c r="R57" s="32">
        <f t="shared" si="23"/>
        <v>0</v>
      </c>
      <c r="S57" s="33">
        <f t="shared" si="24"/>
        <v>0</v>
      </c>
      <c r="T57" s="18"/>
      <c r="AG57" s="15"/>
    </row>
    <row r="58" spans="1:33">
      <c r="A58" s="14"/>
      <c r="B58" s="15"/>
      <c r="C58" s="15"/>
      <c r="D58" s="16"/>
      <c r="E58" s="16"/>
      <c r="F58" s="17"/>
      <c r="G58" s="18"/>
      <c r="N58" s="9" t="s">
        <v>122</v>
      </c>
      <c r="O58" s="9"/>
      <c r="P58" s="27">
        <f>SUM(P46:P57)</f>
        <v>176</v>
      </c>
      <c r="Q58" s="27">
        <f>SUM(Q46:Q57)</f>
        <v>176</v>
      </c>
      <c r="R58" s="34">
        <f t="shared" ref="R58" si="25">IFERROR(Q58/P58,0)</f>
        <v>1</v>
      </c>
      <c r="S58" s="35">
        <f>SUM(S46:S57)</f>
        <v>4400</v>
      </c>
      <c r="T58" s="22"/>
      <c r="AG58" s="13"/>
    </row>
    <row r="59" spans="1:33">
      <c r="A59" s="14"/>
      <c r="B59" s="15"/>
      <c r="C59" s="15"/>
      <c r="D59" s="16"/>
      <c r="E59" s="16"/>
      <c r="F59" s="17"/>
      <c r="G59" s="18"/>
    </row>
    <row r="60" spans="1:33">
      <c r="A60" s="19"/>
      <c r="B60" s="19"/>
      <c r="C60" s="13"/>
      <c r="D60" s="20"/>
      <c r="E60" s="20"/>
      <c r="F60" s="21"/>
      <c r="G60" s="22"/>
    </row>
    <row r="61" spans="1:33">
      <c r="A61" s="10" t="s">
        <v>91</v>
      </c>
      <c r="B61" s="11">
        <v>25</v>
      </c>
      <c r="C61" s="2"/>
      <c r="D61" s="2"/>
      <c r="E61" s="2"/>
      <c r="F61" s="2"/>
      <c r="G61" s="2"/>
    </row>
  </sheetData>
  <sheetProtection formatCells="0" formatColumns="0" formatRows="0"/>
  <mergeCells count="41">
    <mergeCell ref="Y1:Y2"/>
    <mergeCell ref="Z1:Z2"/>
    <mergeCell ref="AF1:AF2"/>
    <mergeCell ref="AG1:AG2"/>
    <mergeCell ref="S44:S45"/>
    <mergeCell ref="T44:T45"/>
    <mergeCell ref="V1:V2"/>
    <mergeCell ref="W1:W2"/>
    <mergeCell ref="X1:X2"/>
    <mergeCell ref="S1:U1"/>
    <mergeCell ref="AA1:AE1"/>
    <mergeCell ref="P1:P2"/>
    <mergeCell ref="P44:P45"/>
    <mergeCell ref="Q1:Q2"/>
    <mergeCell ref="Q44:Q45"/>
    <mergeCell ref="R1:R2"/>
    <mergeCell ref="R44:R45"/>
    <mergeCell ref="M1:M2"/>
    <mergeCell ref="N1:N2"/>
    <mergeCell ref="N44:N45"/>
    <mergeCell ref="O1:O2"/>
    <mergeCell ref="O44:O45"/>
    <mergeCell ref="H1:H2"/>
    <mergeCell ref="I1:I2"/>
    <mergeCell ref="J1:J2"/>
    <mergeCell ref="K1:K2"/>
    <mergeCell ref="L1:L2"/>
    <mergeCell ref="A1:A2"/>
    <mergeCell ref="A53:A54"/>
    <mergeCell ref="B1:B2"/>
    <mergeCell ref="B53:B54"/>
    <mergeCell ref="C1:C2"/>
    <mergeCell ref="C53:C54"/>
    <mergeCell ref="G1:G2"/>
    <mergeCell ref="G53:G54"/>
    <mergeCell ref="D1:D2"/>
    <mergeCell ref="D53:D54"/>
    <mergeCell ref="E1:E2"/>
    <mergeCell ref="E53:E54"/>
    <mergeCell ref="F1:F2"/>
    <mergeCell ref="F53:F54"/>
  </mergeCells>
  <pageMargins left="0.7" right="0.7" top="0.75" bottom="0.75" header="0.3" footer="0.3"/>
  <pageSetup paperSize="9" orientation="portrait"/>
  <headerFooter>
    <oddFooter>&amp;CNBCU Internal</oddFooter>
  </headerFooter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AG59"/>
  <sheetViews>
    <sheetView workbookViewId="0">
      <pane xSplit="2" topLeftCell="C1" activePane="topRight" state="frozen"/>
      <selection pane="topRight" activeCell="E3" sqref="E3"/>
    </sheetView>
  </sheetViews>
  <sheetFormatPr defaultColWidth="8.81640625" defaultRowHeight="14.5"/>
  <cols>
    <col min="1" max="1" width="12.1796875" style="3" customWidth="1"/>
    <col min="2" max="2" width="10.453125" style="3" customWidth="1"/>
    <col min="3" max="3" width="14.1796875" style="3" customWidth="1"/>
    <col min="4" max="4" width="5.453125" style="3" customWidth="1"/>
    <col min="5" max="6" width="9" style="3" customWidth="1"/>
    <col min="7" max="7" width="8.81640625" style="3" customWidth="1"/>
    <col min="8" max="8" width="19.453125" style="3" customWidth="1"/>
    <col min="9" max="9" width="19.81640625" style="3" customWidth="1"/>
    <col min="10" max="10" width="11.453125" style="3" customWidth="1"/>
    <col min="11" max="11" width="13.1796875" style="3" customWidth="1"/>
    <col min="12" max="12" width="11.1796875" style="3" customWidth="1"/>
    <col min="13" max="14" width="13.1796875" style="3" customWidth="1"/>
    <col min="15" max="15" width="13.81640625" style="3" customWidth="1"/>
    <col min="16" max="16" width="22.453125" style="3" customWidth="1"/>
    <col min="17" max="18" width="19.453125" style="3" customWidth="1"/>
    <col min="19" max="19" width="12.1796875" style="3" customWidth="1"/>
    <col min="20" max="20" width="17.453125" style="3" customWidth="1"/>
    <col min="21" max="21" width="9.81640625" style="3" customWidth="1"/>
    <col min="22" max="22" width="18" style="3" customWidth="1"/>
    <col min="23" max="23" width="19.1796875" style="3" customWidth="1"/>
    <col min="24" max="24" width="13.453125" style="3" customWidth="1"/>
    <col min="25" max="25" width="10.1796875" style="3" customWidth="1"/>
    <col min="26" max="26" width="18.1796875" style="3" customWidth="1"/>
    <col min="27" max="27" width="15" style="3" customWidth="1"/>
    <col min="28" max="28" width="9.453125" style="3" customWidth="1"/>
    <col min="29" max="29" width="18" style="3" customWidth="1"/>
    <col min="30" max="30" width="12.1796875" style="3" customWidth="1"/>
    <col min="31" max="31" width="11.453125" style="3" customWidth="1"/>
    <col min="32" max="32" width="10.453125" style="3" customWidth="1"/>
    <col min="33" max="33" width="13.81640625" style="3" hidden="1" customWidth="1"/>
    <col min="34" max="16384" width="8.81640625" style="3"/>
  </cols>
  <sheetData>
    <row r="1" spans="1:33" s="1" customFormat="1" ht="33" customHeight="1">
      <c r="A1" s="172" t="s">
        <v>22</v>
      </c>
      <c r="B1" s="172" t="s">
        <v>47</v>
      </c>
      <c r="C1" s="172" t="s">
        <v>48</v>
      </c>
      <c r="D1" s="172" t="s">
        <v>79</v>
      </c>
      <c r="E1" s="172" t="s">
        <v>80</v>
      </c>
      <c r="F1" s="172" t="s">
        <v>81</v>
      </c>
      <c r="G1" s="172" t="s">
        <v>82</v>
      </c>
      <c r="H1" s="172" t="s">
        <v>50</v>
      </c>
      <c r="I1" s="172" t="s">
        <v>51</v>
      </c>
      <c r="J1" s="172" t="s">
        <v>53</v>
      </c>
      <c r="K1" s="172" t="s">
        <v>54</v>
      </c>
      <c r="L1" s="172" t="s">
        <v>55</v>
      </c>
      <c r="M1" s="172" t="s">
        <v>56</v>
      </c>
      <c r="N1" s="175" t="s">
        <v>57</v>
      </c>
      <c r="O1" s="172" t="s">
        <v>58</v>
      </c>
      <c r="P1" s="172" t="s">
        <v>83</v>
      </c>
      <c r="Q1" s="172" t="s">
        <v>95</v>
      </c>
      <c r="R1" s="172" t="s">
        <v>60</v>
      </c>
      <c r="S1" s="172" t="s">
        <v>61</v>
      </c>
      <c r="T1" s="172"/>
      <c r="U1" s="172"/>
      <c r="V1" s="172" t="s">
        <v>62</v>
      </c>
      <c r="W1" s="172" t="s">
        <v>63</v>
      </c>
      <c r="X1" s="172" t="s">
        <v>64</v>
      </c>
      <c r="Y1" s="172" t="s">
        <v>85</v>
      </c>
      <c r="Z1" s="172" t="s">
        <v>66</v>
      </c>
      <c r="AA1" s="172" t="s">
        <v>67</v>
      </c>
      <c r="AB1" s="172"/>
      <c r="AC1" s="172"/>
      <c r="AD1" s="172"/>
      <c r="AE1" s="172"/>
      <c r="AF1" s="172" t="s">
        <v>3</v>
      </c>
      <c r="AG1" s="172" t="s">
        <v>86</v>
      </c>
    </row>
    <row r="2" spans="1:33" s="1" customFormat="1" ht="55.5" customHeigh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6"/>
      <c r="O2" s="172"/>
      <c r="P2" s="172"/>
      <c r="Q2" s="172"/>
      <c r="R2" s="172"/>
      <c r="S2" s="4" t="s">
        <v>68</v>
      </c>
      <c r="T2" s="4" t="s">
        <v>69</v>
      </c>
      <c r="U2" s="4" t="s">
        <v>70</v>
      </c>
      <c r="V2" s="172"/>
      <c r="W2" s="172"/>
      <c r="X2" s="172"/>
      <c r="Y2" s="172"/>
      <c r="Z2" s="172"/>
      <c r="AA2" s="4" t="s">
        <v>96</v>
      </c>
      <c r="AB2" s="4" t="s">
        <v>97</v>
      </c>
      <c r="AC2" s="4" t="s">
        <v>73</v>
      </c>
      <c r="AD2" s="4" t="s">
        <v>74</v>
      </c>
      <c r="AE2" s="4" t="s">
        <v>75</v>
      </c>
      <c r="AF2" s="172"/>
      <c r="AG2" s="172"/>
    </row>
    <row r="3" spans="1:33">
      <c r="A3" s="5" t="s">
        <v>124</v>
      </c>
      <c r="B3" s="42" t="s">
        <v>125</v>
      </c>
      <c r="C3" s="42" t="s">
        <v>28</v>
      </c>
      <c r="D3" s="23">
        <v>1</v>
      </c>
      <c r="E3" s="44">
        <v>44256</v>
      </c>
      <c r="F3" s="44">
        <v>44286</v>
      </c>
      <c r="G3" s="23" t="s">
        <v>28</v>
      </c>
      <c r="H3" s="23">
        <v>239</v>
      </c>
      <c r="I3" s="23">
        <v>239</v>
      </c>
      <c r="J3" s="23">
        <v>239</v>
      </c>
      <c r="K3" s="24">
        <v>239</v>
      </c>
      <c r="L3" s="23">
        <v>0</v>
      </c>
      <c r="M3" s="23">
        <v>0</v>
      </c>
      <c r="N3" s="23">
        <v>40</v>
      </c>
      <c r="O3" s="24">
        <v>239</v>
      </c>
      <c r="P3" s="23">
        <v>239</v>
      </c>
      <c r="Q3" s="28">
        <v>0</v>
      </c>
      <c r="R3" s="23">
        <f t="shared" ref="R3" si="0">($P3/$AG3)*8</f>
        <v>239</v>
      </c>
      <c r="S3" s="30">
        <v>8</v>
      </c>
      <c r="T3" s="30">
        <v>6</v>
      </c>
      <c r="U3" s="26">
        <v>22</v>
      </c>
      <c r="V3" s="29">
        <f t="shared" ref="V3" si="1">(($H3-$J3)/$AG3)*8</f>
        <v>0</v>
      </c>
      <c r="W3" s="31">
        <v>0</v>
      </c>
      <c r="X3" s="29">
        <f>SUM(T3,V3,W3)</f>
        <v>6</v>
      </c>
      <c r="Y3" s="29">
        <f t="shared" ref="Y3" si="2">R3-X3</f>
        <v>233</v>
      </c>
      <c r="Z3" s="36">
        <v>1</v>
      </c>
      <c r="AA3" s="37">
        <f t="shared" ref="AA3" si="3">J3/I3</f>
        <v>1</v>
      </c>
      <c r="AB3" s="37">
        <f t="shared" ref="AB3" si="4">J3/H3</f>
        <v>1</v>
      </c>
      <c r="AC3" s="37">
        <f t="shared" ref="AC3:AC4" si="5">P3/(O3*D3)</f>
        <v>1</v>
      </c>
      <c r="AD3" s="37">
        <f t="shared" ref="AD3" si="6">IFERROR(Y3/R3,0)</f>
        <v>0.97489539748953979</v>
      </c>
      <c r="AE3" s="38">
        <f t="shared" ref="AE3" si="7">Y3*$B$9</f>
        <v>5825</v>
      </c>
      <c r="AF3" s="42"/>
      <c r="AG3" s="23">
        <v>8</v>
      </c>
    </row>
    <row r="4" spans="1:33" s="2" customFormat="1">
      <c r="A4" s="8" t="s">
        <v>124</v>
      </c>
      <c r="B4" s="8" t="s">
        <v>90</v>
      </c>
      <c r="C4" s="9" t="s">
        <v>90</v>
      </c>
      <c r="D4" s="9">
        <f ca="1">SUM(D3:INDIRECT("D"&amp;ROW()-1))</f>
        <v>1</v>
      </c>
      <c r="E4" s="9"/>
      <c r="F4" s="9"/>
      <c r="G4" s="9"/>
      <c r="H4" s="9">
        <f ca="1">INDIRECT("H"&amp;ROW()-1)</f>
        <v>239</v>
      </c>
      <c r="I4" s="9">
        <f ca="1">INDIRECT("I"&amp;ROW()-1)</f>
        <v>239</v>
      </c>
      <c r="J4" s="9">
        <f ca="1">INDIRECT("J"&amp;ROW()-1)</f>
        <v>239</v>
      </c>
      <c r="K4" s="9">
        <f ca="1">INDIRECT("K"&amp;ROW()-1)</f>
        <v>239</v>
      </c>
      <c r="L4" s="9">
        <f ca="1">SUM(L3:INDIRECT("L"&amp;ROW()-1))</f>
        <v>0</v>
      </c>
      <c r="M4" s="9">
        <f ca="1">SUM(M3:INDIRECT("M"&amp;ROW()-1))</f>
        <v>0</v>
      </c>
      <c r="N4" s="9">
        <f ca="1">SUM(N3:INDIRECT("N"&amp;ROW()-1))</f>
        <v>40</v>
      </c>
      <c r="O4" s="9">
        <f ca="1">INDIRECT("O"&amp;ROW()-1)</f>
        <v>239</v>
      </c>
      <c r="P4" s="9">
        <f ca="1">SUM(P3:INDIRECT("P"&amp;ROW()-1))</f>
        <v>239</v>
      </c>
      <c r="Q4" s="9">
        <f ca="1">SUM(Q3:INDIRECT("Q"&amp;ROW()-1))</f>
        <v>0</v>
      </c>
      <c r="R4" s="27">
        <f ca="1">SUM(R3:INDIRECT("R"&amp;ROW()-1))</f>
        <v>239</v>
      </c>
      <c r="S4" s="9">
        <f ca="1">SUM(S3:INDIRECT("S"&amp;ROW()-1))</f>
        <v>8</v>
      </c>
      <c r="T4" s="9">
        <f ca="1">SUM(T3:INDIRECT("T"&amp;ROW()-1))</f>
        <v>6</v>
      </c>
      <c r="U4" s="9">
        <f ca="1">SUM(U3:INDIRECT("U"&amp;ROW()-1))</f>
        <v>22</v>
      </c>
      <c r="V4" s="9">
        <f ca="1">SUM(V3:INDIRECT("V"&amp;ROW()-1))</f>
        <v>0</v>
      </c>
      <c r="W4" s="9">
        <f ca="1">SUM(W3:INDIRECT("W"&amp;ROW()-1))</f>
        <v>0</v>
      </c>
      <c r="X4" s="9">
        <f ca="1">SUM(X3:INDIRECT("X"&amp;ROW()-1))</f>
        <v>6</v>
      </c>
      <c r="Y4" s="27">
        <f ca="1">SUM(Y3:INDIRECT("Y"&amp;ROW()-1))</f>
        <v>233</v>
      </c>
      <c r="Z4" s="9">
        <f ca="1">SUM(Z3:INDIRECT("z"&amp;ROW()-1))</f>
        <v>1</v>
      </c>
      <c r="AA4" s="34">
        <f t="shared" ref="AA4" ca="1" si="8">J4/I4</f>
        <v>1</v>
      </c>
      <c r="AB4" s="34">
        <f t="shared" ref="AB4" ca="1" si="9">J4/H4</f>
        <v>1</v>
      </c>
      <c r="AC4" s="34">
        <f t="shared" ca="1" si="5"/>
        <v>1</v>
      </c>
      <c r="AD4" s="39">
        <f t="shared" ref="AD4" ca="1" si="10">IFERROR(Y4/R4,0)</f>
        <v>0.97489539748953979</v>
      </c>
      <c r="AE4" s="35">
        <f ca="1">SUM(AE3:INDIRECT("AF"&amp;ROW()-1))</f>
        <v>5825</v>
      </c>
      <c r="AF4" s="9"/>
      <c r="AG4" s="9"/>
    </row>
    <row r="5" spans="1:33" s="2" customFormat="1"/>
    <row r="6" spans="1:33" s="2" customFormat="1">
      <c r="A6" s="10"/>
      <c r="B6" s="11"/>
      <c r="E6" s="2">
        <v>11</v>
      </c>
      <c r="Q6" s="13"/>
      <c r="AC6" s="25"/>
    </row>
    <row r="7" spans="1:33" s="2" customFormat="1">
      <c r="A7" s="10"/>
      <c r="B7" s="11"/>
      <c r="Q7" s="13"/>
      <c r="AC7" s="25"/>
    </row>
    <row r="8" spans="1:33" s="2" customFormat="1">
      <c r="A8" s="10"/>
      <c r="B8" s="11"/>
      <c r="Q8" s="13"/>
      <c r="AC8" s="25"/>
    </row>
    <row r="9" spans="1:33" s="2" customFormat="1">
      <c r="A9" s="10" t="s">
        <v>91</v>
      </c>
      <c r="B9" s="11">
        <v>25</v>
      </c>
      <c r="P9" s="25"/>
      <c r="Q9" s="13"/>
      <c r="AC9" s="25"/>
    </row>
    <row r="10" spans="1:33" ht="21">
      <c r="A10" s="10" t="s">
        <v>92</v>
      </c>
      <c r="B10" s="12">
        <v>8</v>
      </c>
      <c r="C10" s="2"/>
      <c r="D10" s="2"/>
      <c r="E10" s="2"/>
      <c r="F10" s="2"/>
      <c r="G10" s="2"/>
      <c r="H10" s="2"/>
      <c r="I10" s="2"/>
      <c r="J10" s="25"/>
      <c r="K10" s="25"/>
      <c r="L10" s="2"/>
      <c r="M10" s="2"/>
      <c r="N10" s="2"/>
      <c r="O10" s="2"/>
      <c r="P10" s="2"/>
      <c r="Q10" s="1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42" spans="14:33">
      <c r="N42" s="172" t="s">
        <v>22</v>
      </c>
      <c r="O42" s="172" t="s">
        <v>82</v>
      </c>
      <c r="P42" s="172" t="s">
        <v>60</v>
      </c>
      <c r="Q42" s="172" t="s">
        <v>85</v>
      </c>
      <c r="R42" s="172" t="s">
        <v>74</v>
      </c>
      <c r="S42" s="172" t="s">
        <v>75</v>
      </c>
      <c r="T42" s="173"/>
      <c r="AG42" s="13"/>
    </row>
    <row r="43" spans="14:33">
      <c r="N43" s="172"/>
      <c r="O43" s="172"/>
      <c r="P43" s="172"/>
      <c r="Q43" s="172"/>
      <c r="R43" s="172"/>
      <c r="S43" s="172"/>
      <c r="T43" s="173"/>
      <c r="AG43" s="13"/>
    </row>
    <row r="44" spans="14:33">
      <c r="N44" s="42" t="s">
        <v>124</v>
      </c>
      <c r="O44" s="23" t="s">
        <v>26</v>
      </c>
      <c r="P44" s="26">
        <f>SUMIFS($R3,$G3,O44)</f>
        <v>0</v>
      </c>
      <c r="Q44" s="26">
        <f>SUMIFS($Y3,$G3,O44)</f>
        <v>0</v>
      </c>
      <c r="R44" s="32">
        <f t="shared" ref="R44:R56" si="11">IFERROR(Q44/P44,0)</f>
        <v>0</v>
      </c>
      <c r="S44" s="33">
        <f>SUMIFS($AE3,$G3,O44)</f>
        <v>0</v>
      </c>
      <c r="T44" s="18"/>
      <c r="AG44" s="15"/>
    </row>
    <row r="45" spans="14:33">
      <c r="N45" s="42" t="s">
        <v>124</v>
      </c>
      <c r="O45" s="23" t="s">
        <v>27</v>
      </c>
      <c r="P45" s="26">
        <f t="shared" ref="P45:P55" si="12">SUMIFS($R4,$G4,O45)</f>
        <v>0</v>
      </c>
      <c r="Q45" s="26">
        <f t="shared" ref="Q45:Q55" si="13">SUMIFS($Y4,$G4,O45)</f>
        <v>0</v>
      </c>
      <c r="R45" s="32">
        <f t="shared" si="11"/>
        <v>0</v>
      </c>
      <c r="S45" s="33">
        <f t="shared" ref="S45:S55" si="14">SUMIFS($AE4,$G4,O45)</f>
        <v>0</v>
      </c>
      <c r="T45" s="18"/>
      <c r="AG45" s="15"/>
    </row>
    <row r="46" spans="14:33">
      <c r="N46" s="42" t="s">
        <v>124</v>
      </c>
      <c r="O46" s="23" t="s">
        <v>28</v>
      </c>
      <c r="P46" s="26">
        <f t="shared" si="12"/>
        <v>0</v>
      </c>
      <c r="Q46" s="26">
        <f t="shared" si="13"/>
        <v>0</v>
      </c>
      <c r="R46" s="32">
        <f t="shared" si="11"/>
        <v>0</v>
      </c>
      <c r="S46" s="33">
        <f t="shared" si="14"/>
        <v>0</v>
      </c>
      <c r="T46" s="18"/>
      <c r="AG46" s="15"/>
    </row>
    <row r="47" spans="14:33">
      <c r="N47" s="42" t="s">
        <v>124</v>
      </c>
      <c r="O47" s="23" t="s">
        <v>29</v>
      </c>
      <c r="P47" s="26">
        <f t="shared" si="12"/>
        <v>0</v>
      </c>
      <c r="Q47" s="26">
        <f t="shared" si="13"/>
        <v>0</v>
      </c>
      <c r="R47" s="32">
        <f t="shared" si="11"/>
        <v>0</v>
      </c>
      <c r="S47" s="33">
        <f t="shared" si="14"/>
        <v>0</v>
      </c>
      <c r="T47" s="18"/>
      <c r="AG47" s="15"/>
    </row>
    <row r="48" spans="14:33">
      <c r="N48" s="42" t="s">
        <v>124</v>
      </c>
      <c r="O48" s="23" t="s">
        <v>30</v>
      </c>
      <c r="P48" s="26">
        <f t="shared" si="12"/>
        <v>0</v>
      </c>
      <c r="Q48" s="26">
        <f t="shared" si="13"/>
        <v>0</v>
      </c>
      <c r="R48" s="32">
        <f t="shared" si="11"/>
        <v>0</v>
      </c>
      <c r="S48" s="33">
        <f t="shared" si="14"/>
        <v>0</v>
      </c>
      <c r="T48" s="18"/>
      <c r="AG48" s="15"/>
    </row>
    <row r="49" spans="1:33">
      <c r="N49" s="42" t="s">
        <v>124</v>
      </c>
      <c r="O49" s="23" t="s">
        <v>31</v>
      </c>
      <c r="P49" s="26">
        <f t="shared" si="12"/>
        <v>0</v>
      </c>
      <c r="Q49" s="26">
        <f t="shared" si="13"/>
        <v>0</v>
      </c>
      <c r="R49" s="32">
        <f t="shared" si="11"/>
        <v>0</v>
      </c>
      <c r="S49" s="33">
        <f t="shared" si="14"/>
        <v>0</v>
      </c>
      <c r="T49" s="18"/>
      <c r="AG49" s="15"/>
    </row>
    <row r="50" spans="1:33" ht="15" customHeight="1">
      <c r="N50" s="42" t="s">
        <v>124</v>
      </c>
      <c r="O50" s="23" t="s">
        <v>32</v>
      </c>
      <c r="P50" s="26">
        <f t="shared" si="12"/>
        <v>0</v>
      </c>
      <c r="Q50" s="26">
        <f t="shared" si="13"/>
        <v>0</v>
      </c>
      <c r="R50" s="32">
        <f t="shared" si="11"/>
        <v>0</v>
      </c>
      <c r="S50" s="33">
        <f t="shared" si="14"/>
        <v>0</v>
      </c>
      <c r="T50" s="18"/>
      <c r="AG50" s="15"/>
    </row>
    <row r="51" spans="1:33">
      <c r="A51" s="173"/>
      <c r="B51" s="173"/>
      <c r="C51" s="173"/>
      <c r="D51" s="173"/>
      <c r="E51" s="173"/>
      <c r="F51" s="173"/>
      <c r="G51" s="173"/>
      <c r="N51" s="42" t="s">
        <v>124</v>
      </c>
      <c r="O51" s="23" t="s">
        <v>33</v>
      </c>
      <c r="P51" s="26">
        <f t="shared" si="12"/>
        <v>0</v>
      </c>
      <c r="Q51" s="26">
        <f t="shared" si="13"/>
        <v>0</v>
      </c>
      <c r="R51" s="32">
        <f t="shared" si="11"/>
        <v>0</v>
      </c>
      <c r="S51" s="33">
        <f t="shared" si="14"/>
        <v>0</v>
      </c>
      <c r="T51" s="18"/>
      <c r="AG51" s="15"/>
    </row>
    <row r="52" spans="1:33">
      <c r="A52" s="173"/>
      <c r="B52" s="173"/>
      <c r="C52" s="173"/>
      <c r="D52" s="173"/>
      <c r="E52" s="173"/>
      <c r="F52" s="173"/>
      <c r="G52" s="173"/>
      <c r="N52" s="42" t="s">
        <v>124</v>
      </c>
      <c r="O52" s="23" t="s">
        <v>34</v>
      </c>
      <c r="P52" s="26">
        <f t="shared" si="12"/>
        <v>0</v>
      </c>
      <c r="Q52" s="26">
        <f t="shared" si="13"/>
        <v>0</v>
      </c>
      <c r="R52" s="32">
        <f t="shared" si="11"/>
        <v>0</v>
      </c>
      <c r="S52" s="33">
        <f t="shared" si="14"/>
        <v>0</v>
      </c>
      <c r="T52" s="18"/>
      <c r="AG52" s="15"/>
    </row>
    <row r="53" spans="1:33">
      <c r="A53" s="14"/>
      <c r="B53" s="15"/>
      <c r="C53" s="15"/>
      <c r="D53" s="16"/>
      <c r="E53" s="16"/>
      <c r="F53" s="17"/>
      <c r="G53" s="18"/>
      <c r="N53" s="42" t="s">
        <v>124</v>
      </c>
      <c r="O53" s="23" t="s">
        <v>35</v>
      </c>
      <c r="P53" s="26">
        <f t="shared" si="12"/>
        <v>0</v>
      </c>
      <c r="Q53" s="26">
        <f t="shared" si="13"/>
        <v>0</v>
      </c>
      <c r="R53" s="32">
        <f t="shared" si="11"/>
        <v>0</v>
      </c>
      <c r="S53" s="33">
        <f t="shared" si="14"/>
        <v>0</v>
      </c>
      <c r="T53" s="18"/>
      <c r="AG53" s="15"/>
    </row>
    <row r="54" spans="1:33">
      <c r="A54" s="14"/>
      <c r="B54" s="15"/>
      <c r="C54" s="15"/>
      <c r="D54" s="16"/>
      <c r="E54" s="16"/>
      <c r="F54" s="17"/>
      <c r="G54" s="18"/>
      <c r="N54" s="42" t="s">
        <v>124</v>
      </c>
      <c r="O54" s="23" t="s">
        <v>36</v>
      </c>
      <c r="P54" s="26">
        <f t="shared" si="12"/>
        <v>0</v>
      </c>
      <c r="Q54" s="26">
        <f t="shared" si="13"/>
        <v>0</v>
      </c>
      <c r="R54" s="32">
        <f t="shared" si="11"/>
        <v>0</v>
      </c>
      <c r="S54" s="33">
        <f t="shared" si="14"/>
        <v>0</v>
      </c>
      <c r="T54" s="18"/>
      <c r="AG54" s="15"/>
    </row>
    <row r="55" spans="1:33">
      <c r="A55" s="14"/>
      <c r="B55" s="15"/>
      <c r="C55" s="15"/>
      <c r="D55" s="16"/>
      <c r="E55" s="16"/>
      <c r="F55" s="17"/>
      <c r="G55" s="18"/>
      <c r="N55" s="42" t="s">
        <v>124</v>
      </c>
      <c r="O55" s="23" t="s">
        <v>37</v>
      </c>
      <c r="P55" s="26">
        <f t="shared" si="12"/>
        <v>0</v>
      </c>
      <c r="Q55" s="26">
        <f t="shared" si="13"/>
        <v>0</v>
      </c>
      <c r="R55" s="32">
        <f t="shared" si="11"/>
        <v>0</v>
      </c>
      <c r="S55" s="33">
        <f t="shared" si="14"/>
        <v>0</v>
      </c>
      <c r="T55" s="18"/>
      <c r="AG55" s="15"/>
    </row>
    <row r="56" spans="1:33">
      <c r="A56" s="14"/>
      <c r="B56" s="15"/>
      <c r="C56" s="15"/>
      <c r="D56" s="16"/>
      <c r="E56" s="16"/>
      <c r="F56" s="17"/>
      <c r="G56" s="18"/>
      <c r="N56" s="8" t="s">
        <v>124</v>
      </c>
      <c r="O56" s="9"/>
      <c r="P56" s="27">
        <f>SUM(P44:P55)</f>
        <v>0</v>
      </c>
      <c r="Q56" s="27">
        <f>SUM(Q44:Q55)</f>
        <v>0</v>
      </c>
      <c r="R56" s="34">
        <f t="shared" si="11"/>
        <v>0</v>
      </c>
      <c r="S56" s="35">
        <f>SUM(S44:S55)</f>
        <v>0</v>
      </c>
      <c r="T56" s="22"/>
      <c r="AG56" s="13"/>
    </row>
    <row r="57" spans="1:33">
      <c r="A57" s="14"/>
      <c r="B57" s="15"/>
      <c r="C57" s="15"/>
      <c r="D57" s="16"/>
      <c r="E57" s="16"/>
      <c r="F57" s="17"/>
      <c r="G57" s="18"/>
    </row>
    <row r="58" spans="1:33">
      <c r="A58" s="19"/>
      <c r="B58" s="19"/>
      <c r="C58" s="13"/>
      <c r="D58" s="20"/>
      <c r="E58" s="20"/>
      <c r="F58" s="21"/>
      <c r="G58" s="22"/>
    </row>
    <row r="59" spans="1:33">
      <c r="A59" s="10" t="s">
        <v>91</v>
      </c>
      <c r="B59" s="11">
        <v>25</v>
      </c>
      <c r="C59" s="2"/>
      <c r="D59" s="2"/>
      <c r="E59" s="2"/>
      <c r="F59" s="2"/>
      <c r="G59" s="2"/>
    </row>
  </sheetData>
  <sheetProtection formatCells="0" formatColumns="0" formatRows="0"/>
  <mergeCells count="41">
    <mergeCell ref="Y1:Y2"/>
    <mergeCell ref="Z1:Z2"/>
    <mergeCell ref="AF1:AF2"/>
    <mergeCell ref="AG1:AG2"/>
    <mergeCell ref="S42:S43"/>
    <mergeCell ref="T42:T43"/>
    <mergeCell ref="V1:V2"/>
    <mergeCell ref="W1:W2"/>
    <mergeCell ref="X1:X2"/>
    <mergeCell ref="S1:U1"/>
    <mergeCell ref="AA1:AE1"/>
    <mergeCell ref="P1:P2"/>
    <mergeCell ref="P42:P43"/>
    <mergeCell ref="Q1:Q2"/>
    <mergeCell ref="Q42:Q43"/>
    <mergeCell ref="R1:R2"/>
    <mergeCell ref="R42:R43"/>
    <mergeCell ref="M1:M2"/>
    <mergeCell ref="N1:N2"/>
    <mergeCell ref="N42:N43"/>
    <mergeCell ref="O1:O2"/>
    <mergeCell ref="O42:O43"/>
    <mergeCell ref="H1:H2"/>
    <mergeCell ref="I1:I2"/>
    <mergeCell ref="J1:J2"/>
    <mergeCell ref="K1:K2"/>
    <mergeCell ref="L1:L2"/>
    <mergeCell ref="A1:A2"/>
    <mergeCell ref="A51:A52"/>
    <mergeCell ref="B1:B2"/>
    <mergeCell ref="B51:B52"/>
    <mergeCell ref="C1:C2"/>
    <mergeCell ref="C51:C52"/>
    <mergeCell ref="G1:G2"/>
    <mergeCell ref="G51:G52"/>
    <mergeCell ref="D1:D2"/>
    <mergeCell ref="D51:D52"/>
    <mergeCell ref="E1:E2"/>
    <mergeCell ref="E51:E52"/>
    <mergeCell ref="F1:F2"/>
    <mergeCell ref="F51:F52"/>
  </mergeCells>
  <pageMargins left="0.7" right="0.7" top="0.75" bottom="0.75" header="0.3" footer="0.3"/>
  <pageSetup paperSize="9" orientation="portrait"/>
  <headerFooter>
    <oddFooter>&amp;CNBCU Internal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W199"/>
  <sheetViews>
    <sheetView zoomScalePageLayoutView="85" workbookViewId="0">
      <selection activeCell="A11" sqref="A11"/>
    </sheetView>
  </sheetViews>
  <sheetFormatPr defaultColWidth="8.81640625" defaultRowHeight="14.5"/>
  <cols>
    <col min="1" max="1" width="20.453125" customWidth="1"/>
    <col min="2" max="2" width="8.453125" customWidth="1"/>
    <col min="6" max="6" width="10.81640625" customWidth="1"/>
    <col min="7" max="7" width="9.1796875" customWidth="1"/>
    <col min="10" max="10" width="10.81640625" customWidth="1"/>
    <col min="11" max="11" width="8.1796875" customWidth="1"/>
    <col min="12" max="12" width="10.453125" customWidth="1"/>
    <col min="13" max="13" width="10.1796875" customWidth="1"/>
    <col min="14" max="14" width="12.453125" customWidth="1"/>
    <col min="15" max="15" width="14.453125" customWidth="1"/>
    <col min="16" max="16" width="2.81640625" customWidth="1"/>
  </cols>
  <sheetData>
    <row r="1" spans="1:23" ht="31.5">
      <c r="A1" s="168" t="s">
        <v>22</v>
      </c>
      <c r="B1" s="168" t="s">
        <v>23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 t="s">
        <v>24</v>
      </c>
      <c r="O1" s="105" t="s">
        <v>25</v>
      </c>
    </row>
    <row r="2" spans="1:23">
      <c r="A2" s="168"/>
      <c r="B2" s="105" t="s">
        <v>26</v>
      </c>
      <c r="C2" s="105" t="s">
        <v>27</v>
      </c>
      <c r="D2" s="105" t="s">
        <v>28</v>
      </c>
      <c r="E2" s="105" t="s">
        <v>29</v>
      </c>
      <c r="F2" s="105" t="s">
        <v>30</v>
      </c>
      <c r="G2" s="105" t="s">
        <v>31</v>
      </c>
      <c r="H2" s="105" t="s">
        <v>32</v>
      </c>
      <c r="I2" s="105" t="s">
        <v>33</v>
      </c>
      <c r="J2" s="105" t="s">
        <v>34</v>
      </c>
      <c r="K2" s="105" t="s">
        <v>35</v>
      </c>
      <c r="L2" s="105" t="s">
        <v>36</v>
      </c>
      <c r="M2" s="105" t="s">
        <v>37</v>
      </c>
      <c r="N2" s="168"/>
      <c r="O2" s="105" t="s">
        <v>34</v>
      </c>
      <c r="P2" s="123" t="s">
        <v>38</v>
      </c>
      <c r="S2" s="129"/>
      <c r="T2" s="130">
        <f>TicketingPOS!$Q44</f>
        <v>0</v>
      </c>
      <c r="W2" s="131"/>
    </row>
    <row r="3" spans="1:23">
      <c r="A3" s="106" t="str">
        <f>Recap!A4</f>
        <v>Recap</v>
      </c>
      <c r="B3" s="120" t="e">
        <f>Recap!Q44</f>
        <v>#REF!</v>
      </c>
      <c r="C3" s="120" t="e">
        <f>Recap!Q45</f>
        <v>#REF!</v>
      </c>
      <c r="D3" s="120" t="e">
        <f>Recap!Q46</f>
        <v>#REF!</v>
      </c>
      <c r="E3" s="120" t="e">
        <f>Recap!Q47</f>
        <v>#REF!</v>
      </c>
      <c r="F3" s="120" t="e">
        <f>Recap!Q48</f>
        <v>#REF!</v>
      </c>
      <c r="G3" s="120" t="e">
        <f>Recap!Q49</f>
        <v>#REF!</v>
      </c>
      <c r="H3" s="120" t="e">
        <f>Recap!Q50</f>
        <v>#REF!</v>
      </c>
      <c r="I3" s="120" t="e">
        <f>Recap!Q51</f>
        <v>#REF!</v>
      </c>
      <c r="J3" s="120" t="e">
        <f>Recap!Q52</f>
        <v>#REF!</v>
      </c>
      <c r="K3" s="120" t="e">
        <f>Recap!Q53</f>
        <v>#REF!</v>
      </c>
      <c r="L3" s="120" t="e">
        <f>Recap!Q54</f>
        <v>#REF!</v>
      </c>
      <c r="M3" s="120" t="e">
        <f>Recap!Q55</f>
        <v>#REF!</v>
      </c>
      <c r="N3" s="124" t="e">
        <f t="shared" ref="N3:N8" si="0">SUM(B3:M3)</f>
        <v>#REF!</v>
      </c>
      <c r="O3" s="125" t="e">
        <f>SUM(B3:INDEX(B3:M3,MATCH($O$2,$B$2:$M$2,0)))</f>
        <v>#REF!</v>
      </c>
      <c r="S3" s="129"/>
      <c r="T3" s="130">
        <f>TicketingPOS!$Q45</f>
        <v>0</v>
      </c>
      <c r="W3" s="131"/>
    </row>
    <row r="4" spans="1:23">
      <c r="A4" s="106" t="str">
        <f>ALF!A4</f>
        <v>ALF</v>
      </c>
      <c r="B4" s="120">
        <f>ALF!Q44</f>
        <v>0</v>
      </c>
      <c r="C4" s="120">
        <f>ALF!Q45</f>
        <v>0</v>
      </c>
      <c r="D4" s="120">
        <f>ALF!Q46</f>
        <v>0</v>
      </c>
      <c r="E4" s="120">
        <f>ALF!Q47</f>
        <v>0</v>
      </c>
      <c r="F4" s="120">
        <f>ALF!Q48</f>
        <v>0</v>
      </c>
      <c r="G4" s="120">
        <f>ALF!Q49</f>
        <v>13</v>
      </c>
      <c r="H4" s="120">
        <f>ALF!Q50</f>
        <v>0</v>
      </c>
      <c r="I4" s="120">
        <f>ALF!Q51</f>
        <v>0</v>
      </c>
      <c r="J4" s="120">
        <f>ALF!Q52</f>
        <v>0</v>
      </c>
      <c r="K4" s="120">
        <f>ALF!Q53</f>
        <v>0</v>
      </c>
      <c r="L4" s="120">
        <f>ALF!Q54</f>
        <v>0</v>
      </c>
      <c r="M4" s="120">
        <f>ALF!Q55</f>
        <v>0</v>
      </c>
      <c r="N4" s="124">
        <f t="shared" ref="N4:N5" si="1">SUM(B4:M4)</f>
        <v>13</v>
      </c>
      <c r="O4" s="125">
        <f>SUM(B4:INDEX(B4:M4,MATCH($O$2,$B$2:$M$2,0)))</f>
        <v>13</v>
      </c>
      <c r="S4" s="129"/>
      <c r="T4" s="130">
        <f>TicketingPOS!$Q46</f>
        <v>0</v>
      </c>
      <c r="W4" s="131"/>
    </row>
    <row r="5" spans="1:23">
      <c r="A5" s="106" t="str">
        <f>POP!A4</f>
        <v>Promotional Order Portal(SF)</v>
      </c>
      <c r="B5" s="120">
        <f>POP!Q44</f>
        <v>0</v>
      </c>
      <c r="C5" s="120">
        <f>POP!Q45</f>
        <v>0</v>
      </c>
      <c r="D5" s="120">
        <f>POP!Q46</f>
        <v>0</v>
      </c>
      <c r="E5" s="120">
        <f>POP!Q47</f>
        <v>0</v>
      </c>
      <c r="F5" s="120">
        <f>POP!Q48</f>
        <v>0</v>
      </c>
      <c r="G5" s="120">
        <f>POP!Q49</f>
        <v>1.6</v>
      </c>
      <c r="H5" s="120">
        <f>POP!Q50</f>
        <v>0</v>
      </c>
      <c r="I5" s="120">
        <f>POP!Q51</f>
        <v>0</v>
      </c>
      <c r="J5" s="120">
        <f>POP!Q52</f>
        <v>0</v>
      </c>
      <c r="K5" s="120">
        <f>POP!Q53</f>
        <v>0</v>
      </c>
      <c r="L5" s="120">
        <f>POP!Q54</f>
        <v>0</v>
      </c>
      <c r="M5" s="120">
        <f>POP!Q55</f>
        <v>0</v>
      </c>
      <c r="N5" s="124">
        <f t="shared" si="1"/>
        <v>1.6</v>
      </c>
      <c r="O5" s="125">
        <f>SUM(B5:INDEX(B5:M5,MATCH($O$2,$B$2:$M$2,0)))</f>
        <v>1.6</v>
      </c>
      <c r="S5" s="129"/>
      <c r="T5" s="130">
        <f>TicketingPOS!$Q47</f>
        <v>0</v>
      </c>
      <c r="W5" s="131"/>
    </row>
    <row r="6" spans="1:23">
      <c r="A6" s="106" t="str">
        <f>Medea!A6</f>
        <v>Medea</v>
      </c>
      <c r="B6" s="120">
        <f>Medea!Q46</f>
        <v>0</v>
      </c>
      <c r="C6" s="120">
        <f>Medea!Q47</f>
        <v>0</v>
      </c>
      <c r="D6" s="120">
        <f>Medea!Q48</f>
        <v>0</v>
      </c>
      <c r="E6" s="120">
        <f>Medea!Q49</f>
        <v>0</v>
      </c>
      <c r="F6" s="120">
        <f>Medea!Q50</f>
        <v>0</v>
      </c>
      <c r="G6" s="120">
        <f>Medea!Q51</f>
        <v>88</v>
      </c>
      <c r="H6" s="120">
        <f>Medea!Q52</f>
        <v>88</v>
      </c>
      <c r="I6" s="120">
        <f>Medea!Q53</f>
        <v>0</v>
      </c>
      <c r="J6" s="120">
        <f>Medea!Q54</f>
        <v>0</v>
      </c>
      <c r="K6" s="120">
        <f>Medea!Q55</f>
        <v>0</v>
      </c>
      <c r="L6" s="120">
        <f>Medea!Q56</f>
        <v>0</v>
      </c>
      <c r="M6" s="120">
        <f>Medea!Q57</f>
        <v>0</v>
      </c>
      <c r="N6" s="124">
        <f t="shared" si="0"/>
        <v>176</v>
      </c>
      <c r="O6" s="125">
        <f>SUM(B6:INDEX(B6:M6,MATCH($O$2,$B$2:$M$2,0)))</f>
        <v>176</v>
      </c>
      <c r="S6" s="129"/>
      <c r="T6" s="130">
        <f>TicketingPOS!$Q47</f>
        <v>0</v>
      </c>
      <c r="W6" s="131"/>
    </row>
    <row r="7" spans="1:23">
      <c r="A7" s="106" t="e">
        <f>#REF!</f>
        <v>#REF!</v>
      </c>
      <c r="B7" s="120" t="e">
        <f>#REF!</f>
        <v>#REF!</v>
      </c>
      <c r="C7" s="120" t="e">
        <f>#REF!</f>
        <v>#REF!</v>
      </c>
      <c r="D7" s="120" t="e">
        <f>#REF!</f>
        <v>#REF!</v>
      </c>
      <c r="E7" s="120" t="e">
        <f>#REF!</f>
        <v>#REF!</v>
      </c>
      <c r="F7" s="120" t="e">
        <f>#REF!</f>
        <v>#REF!</v>
      </c>
      <c r="G7" s="120" t="e">
        <f>#REF!</f>
        <v>#REF!</v>
      </c>
      <c r="H7" s="120" t="e">
        <f>#REF!</f>
        <v>#REF!</v>
      </c>
      <c r="I7" s="120" t="e">
        <f>#REF!</f>
        <v>#REF!</v>
      </c>
      <c r="J7" s="120" t="e">
        <f>#REF!</f>
        <v>#REF!</v>
      </c>
      <c r="K7" s="120" t="e">
        <f>#REF!</f>
        <v>#REF!</v>
      </c>
      <c r="L7" s="120" t="e">
        <f>#REF!</f>
        <v>#REF!</v>
      </c>
      <c r="M7" s="120" t="e">
        <f>#REF!</f>
        <v>#REF!</v>
      </c>
      <c r="N7" s="124" t="e">
        <f t="shared" si="0"/>
        <v>#REF!</v>
      </c>
      <c r="O7" s="125" t="e">
        <f>SUM(B7:INDEX(B7:M7,MATCH($O$2,$B$2:$M$2,0)))</f>
        <v>#REF!</v>
      </c>
      <c r="S7" s="129"/>
      <c r="T7" s="130">
        <f>TicketingPOS!$Q49</f>
        <v>0</v>
      </c>
      <c r="W7" s="131"/>
    </row>
    <row r="8" spans="1:23">
      <c r="A8" s="106" t="str">
        <f>CompassRePlatform!A5</f>
        <v>CompassRePlatform</v>
      </c>
      <c r="B8" s="120" t="e">
        <f>CompassRePlatform!Q45</f>
        <v>#REF!</v>
      </c>
      <c r="C8" s="120" t="e">
        <f>CompassRePlatform!Q46</f>
        <v>#REF!</v>
      </c>
      <c r="D8" s="120" t="e">
        <f>CompassRePlatform!Q47</f>
        <v>#REF!</v>
      </c>
      <c r="E8" s="120" t="e">
        <f>CompassRePlatform!Q48</f>
        <v>#REF!</v>
      </c>
      <c r="F8" s="120" t="e">
        <f>CompassRePlatform!Q49</f>
        <v>#REF!</v>
      </c>
      <c r="G8" s="120" t="e">
        <f>CompassRePlatform!Q50</f>
        <v>#REF!</v>
      </c>
      <c r="H8" s="120" t="e">
        <f>CompassRePlatform!Q51</f>
        <v>#REF!</v>
      </c>
      <c r="I8" s="120" t="e">
        <f>CompassRePlatform!Q52</f>
        <v>#REF!</v>
      </c>
      <c r="J8" s="120">
        <f>CompassRePlatform!Q53</f>
        <v>0</v>
      </c>
      <c r="K8" s="120">
        <f>CompassRePlatform!Q54</f>
        <v>0</v>
      </c>
      <c r="L8" s="120">
        <f>CompassRePlatform!Q55</f>
        <v>0</v>
      </c>
      <c r="M8" s="120">
        <f>CompassRePlatform!Q56</f>
        <v>0</v>
      </c>
      <c r="N8" s="124" t="e">
        <f t="shared" si="0"/>
        <v>#REF!</v>
      </c>
      <c r="O8" s="125" t="e">
        <f>SUM(B8:INDEX(B8:M8,MATCH($O$2,$B$2:$M$2,0)))</f>
        <v>#REF!</v>
      </c>
      <c r="S8" s="129"/>
      <c r="T8" s="130">
        <f>TicketingPOS!$Q50</f>
        <v>0</v>
      </c>
      <c r="W8" s="131"/>
    </row>
    <row r="9" spans="1:23" s="102" customFormat="1">
      <c r="A9" s="106" t="str">
        <f>GTM!A6</f>
        <v>GTM</v>
      </c>
      <c r="B9" s="120">
        <f>GTM!Q46</f>
        <v>690.4</v>
      </c>
      <c r="C9" s="120">
        <f>GTM!Q47</f>
        <v>690.4</v>
      </c>
      <c r="D9" s="120">
        <f>GTM!Q48</f>
        <v>840.8</v>
      </c>
      <c r="E9" s="120">
        <f>GTM!Q49</f>
        <v>0</v>
      </c>
      <c r="F9" s="120">
        <f>GTM!Q50</f>
        <v>0</v>
      </c>
      <c r="G9" s="120">
        <f>GTM!Q51</f>
        <v>0</v>
      </c>
      <c r="H9" s="120">
        <f>GTM!Q52</f>
        <v>0</v>
      </c>
      <c r="I9" s="120">
        <f>GTM!Q53</f>
        <v>0</v>
      </c>
      <c r="J9" s="120">
        <f>GTM!Q54</f>
        <v>0</v>
      </c>
      <c r="K9" s="120">
        <f>GTM!Q55</f>
        <v>0</v>
      </c>
      <c r="L9" s="120">
        <f>GTM!Q56</f>
        <v>0</v>
      </c>
      <c r="M9" s="120">
        <f>GTM!Q57</f>
        <v>0</v>
      </c>
      <c r="N9" s="127">
        <f t="shared" ref="N9" si="2">SUM(B9:M9)</f>
        <v>2221.6</v>
      </c>
      <c r="O9" s="128">
        <f>SUM(B9:INDEX(B9:M9,MATCH($O$2,$B$2:$M$2,0)))</f>
        <v>2221.6</v>
      </c>
      <c r="S9" s="132"/>
      <c r="T9" s="130">
        <f>TicketingPOS!$Q52</f>
        <v>0</v>
      </c>
      <c r="W9" s="131"/>
    </row>
    <row r="10" spans="1:23">
      <c r="A10" s="106" t="str">
        <f>TBT!A6</f>
        <v>TBT and RSG</v>
      </c>
      <c r="B10" s="120">
        <f>TBT!Q46</f>
        <v>0</v>
      </c>
      <c r="C10" s="120">
        <f>TBT!Q47</f>
        <v>121.6</v>
      </c>
      <c r="D10" s="120">
        <f>TBT!Q48</f>
        <v>137.6</v>
      </c>
      <c r="E10" s="120">
        <f>TBT!Q49</f>
        <v>0</v>
      </c>
      <c r="F10" s="120">
        <f>TBT!Q50</f>
        <v>0</v>
      </c>
      <c r="G10" s="120">
        <f>TBT!Q51</f>
        <v>0</v>
      </c>
      <c r="H10" s="120">
        <f>TBT!Q52</f>
        <v>0</v>
      </c>
      <c r="I10" s="120">
        <f>TBT!Q53</f>
        <v>0</v>
      </c>
      <c r="J10" s="120">
        <f>TBT!Q54</f>
        <v>0</v>
      </c>
      <c r="K10" s="120">
        <f>TBT!Q55</f>
        <v>0</v>
      </c>
      <c r="L10" s="120">
        <f>TBT!Q56</f>
        <v>0</v>
      </c>
      <c r="M10" s="120">
        <f>TBT!Q57</f>
        <v>0</v>
      </c>
      <c r="N10" s="124">
        <f t="shared" ref="N10:N11" si="3">SUM(B10:M10)</f>
        <v>259.2</v>
      </c>
      <c r="O10" s="125">
        <f>SUM(B10:INDEX(B10:M10,MATCH($O$2,$B$2:$M$2,0)))</f>
        <v>259.2</v>
      </c>
      <c r="S10" s="129"/>
      <c r="T10" s="130">
        <f>TicketingPOS!$Q53</f>
        <v>0</v>
      </c>
      <c r="W10" s="131"/>
    </row>
    <row r="11" spans="1:23">
      <c r="A11" s="106">
        <f>RF_Mercury!A4</f>
        <v>0</v>
      </c>
      <c r="B11" s="120">
        <f>RF_Mercury!Q44</f>
        <v>436.8</v>
      </c>
      <c r="C11" s="120">
        <f>RF_Mercury!Q45</f>
        <v>0</v>
      </c>
      <c r="D11" s="120">
        <f>RF_Mercury!Q46</f>
        <v>0</v>
      </c>
      <c r="E11" s="120">
        <f>RF_Mercury!Q47</f>
        <v>0</v>
      </c>
      <c r="F11" s="120">
        <f>RF_Mercury!Q48</f>
        <v>0</v>
      </c>
      <c r="G11" s="120">
        <f>RF_Mercury!Q49</f>
        <v>0</v>
      </c>
      <c r="H11" s="120">
        <f>RF_Mercury!Q50</f>
        <v>0</v>
      </c>
      <c r="I11" s="120">
        <f>RF_Mercury!Q51</f>
        <v>0</v>
      </c>
      <c r="J11" s="120">
        <f>RF_Mercury!Q52</f>
        <v>0</v>
      </c>
      <c r="K11" s="120">
        <f>RF_Mercury!Q53</f>
        <v>0</v>
      </c>
      <c r="L11" s="120">
        <f>RF_Mercury!Q54</f>
        <v>0</v>
      </c>
      <c r="M11" s="120">
        <f>RF_Mercury!Q55</f>
        <v>0</v>
      </c>
      <c r="N11" s="124">
        <f t="shared" si="3"/>
        <v>436.8</v>
      </c>
      <c r="O11" s="125">
        <f>SUM(B11:INDEX(B11:M11,MATCH($O$2,$B$2:$M$2,0)))</f>
        <v>436.8</v>
      </c>
      <c r="S11" s="129"/>
      <c r="T11" s="133"/>
      <c r="W11" s="131"/>
    </row>
    <row r="12" spans="1:23">
      <c r="A12" s="106" t="str">
        <f>USH_EzRez!A4</f>
        <v>USH EzRez</v>
      </c>
      <c r="B12" s="120">
        <f>USH_EzRez!Q44</f>
        <v>0</v>
      </c>
      <c r="C12" s="120">
        <f>USH_EzRez!Q45</f>
        <v>0</v>
      </c>
      <c r="D12" s="120">
        <f>USH_EzRez!Q46</f>
        <v>0</v>
      </c>
      <c r="E12" s="120">
        <f>USH_EzRez!Q47</f>
        <v>0</v>
      </c>
      <c r="F12" s="120">
        <f>USH_EzRez!Q48</f>
        <v>19</v>
      </c>
      <c r="G12" s="120">
        <f>USH_EzRez!Q49</f>
        <v>0</v>
      </c>
      <c r="H12" s="120">
        <f>USH_EzRez!Q50</f>
        <v>0</v>
      </c>
      <c r="I12" s="120">
        <f>USH_EzRez!Q51</f>
        <v>0</v>
      </c>
      <c r="J12" s="120">
        <f>USH_EzRez!Q52</f>
        <v>0</v>
      </c>
      <c r="K12" s="120">
        <f>USH_EzRez!Q53</f>
        <v>0</v>
      </c>
      <c r="L12" s="120">
        <f>USH_EzRez!Q54</f>
        <v>0</v>
      </c>
      <c r="M12" s="120">
        <f>USH_EzRez!Q55</f>
        <v>0</v>
      </c>
      <c r="N12" s="124">
        <f t="shared" ref="N12" si="4">SUM(B12:M12)</f>
        <v>19</v>
      </c>
      <c r="O12" s="125">
        <f>SUM(B12:INDEX(B12:M12,MATCH($O$2,$B$2:$M$2,0)))</f>
        <v>19</v>
      </c>
      <c r="S12" s="129"/>
      <c r="T12" s="133"/>
      <c r="W12" s="131"/>
    </row>
    <row r="13" spans="1:23">
      <c r="A13" s="106" t="str">
        <f>'USH OmniBasket'!A4</f>
        <v>USH OmniBasket</v>
      </c>
      <c r="B13" s="120">
        <f>'USH OmniBasket'!Q44</f>
        <v>0</v>
      </c>
      <c r="C13" s="120">
        <f>'USH OmniBasket'!Q45</f>
        <v>0</v>
      </c>
      <c r="D13" s="120">
        <f>'USH OmniBasket'!Q46</f>
        <v>0</v>
      </c>
      <c r="E13" s="120">
        <f>'USH OmniBasket'!Q47</f>
        <v>0</v>
      </c>
      <c r="F13" s="120">
        <f>'USH OmniBasket'!Q48</f>
        <v>8743</v>
      </c>
      <c r="G13" s="120">
        <f>'USH OmniBasket'!Q49</f>
        <v>0</v>
      </c>
      <c r="H13" s="120">
        <f>'USH OmniBasket'!Q50</f>
        <v>0</v>
      </c>
      <c r="I13" s="120">
        <f>'USH OmniBasket'!Q51</f>
        <v>0</v>
      </c>
      <c r="J13" s="120">
        <f>'USH OmniBasket'!Q52</f>
        <v>0</v>
      </c>
      <c r="K13" s="120">
        <f>'USH OmniBasket'!Q53</f>
        <v>0</v>
      </c>
      <c r="L13" s="120">
        <f>'USH OmniBasket'!Q54</f>
        <v>0</v>
      </c>
      <c r="M13" s="120">
        <f>'USH OmniBasket'!Q55</f>
        <v>0</v>
      </c>
      <c r="N13" s="124">
        <f t="shared" ref="N13:N14" si="5">SUM(B13:M13)</f>
        <v>8743</v>
      </c>
      <c r="O13" s="125">
        <f>SUM(B13:INDEX(B13:M13,MATCH($O$2,$B$2:$M$2,0)))</f>
        <v>8743</v>
      </c>
      <c r="S13" s="129"/>
      <c r="T13" s="133"/>
      <c r="W13" s="131"/>
    </row>
    <row r="14" spans="1:23">
      <c r="A14" s="106" t="str">
        <f>TicketingPOS!A4</f>
        <v>TicketingPOS</v>
      </c>
      <c r="B14" s="120">
        <f>TicketingPOS!$Q44</f>
        <v>0</v>
      </c>
      <c r="C14" s="120">
        <f>TicketingPOS!$Q45</f>
        <v>0</v>
      </c>
      <c r="D14" s="120">
        <f>TicketingPOS!$Q46</f>
        <v>0</v>
      </c>
      <c r="E14" s="120">
        <f>TicketingPOS!$Q47</f>
        <v>0</v>
      </c>
      <c r="F14" s="120">
        <f>TicketingPOS!$Q48</f>
        <v>0</v>
      </c>
      <c r="G14" s="120">
        <f>TicketingPOS!$Q49</f>
        <v>0</v>
      </c>
      <c r="H14" s="120">
        <f>TicketingPOS!$Q50</f>
        <v>0</v>
      </c>
      <c r="I14" s="120">
        <f>TicketingPOS!$Q51</f>
        <v>0</v>
      </c>
      <c r="J14" s="120">
        <f>TicketingPOS!$Q52</f>
        <v>0</v>
      </c>
      <c r="K14" s="120">
        <f>TicketingPOS!$Q53</f>
        <v>0</v>
      </c>
      <c r="L14" s="120">
        <f>TicketingPOS!$Q54</f>
        <v>5.333333333333333</v>
      </c>
      <c r="M14" s="120">
        <f>TicketingPOS!$Q55</f>
        <v>0</v>
      </c>
      <c r="N14" s="124">
        <f t="shared" si="5"/>
        <v>5.333333333333333</v>
      </c>
      <c r="O14" s="125">
        <f>SUM(B14:INDEX(B14:M14,MATCH($O$2,$B$2:$M$2,0)))</f>
        <v>0</v>
      </c>
      <c r="S14" s="129"/>
      <c r="T14" s="133"/>
      <c r="W14" s="131"/>
    </row>
    <row r="15" spans="1:23">
      <c r="A15" s="106" t="str">
        <f>WideOrbit!A16</f>
        <v>WideOrbit</v>
      </c>
      <c r="B15" s="120">
        <f>WideOrbit!Q56</f>
        <v>0</v>
      </c>
      <c r="C15" s="120">
        <f>WideOrbit!Q57</f>
        <v>167.33333333333334</v>
      </c>
      <c r="D15" s="120">
        <f>WideOrbit!Q58</f>
        <v>1.1666666666666661</v>
      </c>
      <c r="E15" s="120">
        <f>WideOrbit!Q59</f>
        <v>164</v>
      </c>
      <c r="F15" s="120">
        <f>WideOrbit!Q60</f>
        <v>86</v>
      </c>
      <c r="G15" s="120">
        <f>WideOrbit!Q61</f>
        <v>0</v>
      </c>
      <c r="H15" s="120">
        <f>WideOrbit!Q62</f>
        <v>0</v>
      </c>
      <c r="I15" s="120">
        <f>WideOrbit!Q63</f>
        <v>0</v>
      </c>
      <c r="J15" s="120">
        <f>WideOrbit!Q64</f>
        <v>0</v>
      </c>
      <c r="K15" s="120">
        <f>WideOrbit!Q65</f>
        <v>0</v>
      </c>
      <c r="L15" s="120">
        <f>WideOrbit!Q66</f>
        <v>0</v>
      </c>
      <c r="M15" s="120">
        <f>WideOrbit!Q67</f>
        <v>0</v>
      </c>
      <c r="N15" s="124">
        <f t="shared" ref="N15:N17" si="6">SUM(B15:M15)</f>
        <v>418.5</v>
      </c>
      <c r="O15" s="125">
        <f>SUM(B15:INDEX(B15:M15,MATCH($O$2,$B$2:$M$2,0)))</f>
        <v>418.5</v>
      </c>
      <c r="S15" s="129"/>
      <c r="T15" s="133"/>
      <c r="W15" s="131"/>
    </row>
    <row r="16" spans="1:23">
      <c r="A16" s="106" t="e">
        <f>#REF!</f>
        <v>#REF!</v>
      </c>
      <c r="B16" s="120" t="e">
        <f>#REF!</f>
        <v>#REF!</v>
      </c>
      <c r="C16" s="120" t="e">
        <f>#REF!</f>
        <v>#REF!</v>
      </c>
      <c r="D16" s="120" t="e">
        <f>#REF!</f>
        <v>#REF!</v>
      </c>
      <c r="E16" s="120" t="e">
        <f>#REF!</f>
        <v>#REF!</v>
      </c>
      <c r="F16" s="120" t="e">
        <f>#REF!</f>
        <v>#REF!</v>
      </c>
      <c r="G16" s="120" t="e">
        <f>#REF!</f>
        <v>#REF!</v>
      </c>
      <c r="H16" s="120" t="e">
        <f>#REF!</f>
        <v>#REF!</v>
      </c>
      <c r="I16" s="120" t="e">
        <f>#REF!</f>
        <v>#REF!</v>
      </c>
      <c r="J16" s="120" t="e">
        <f>#REF!</f>
        <v>#REF!</v>
      </c>
      <c r="K16" s="120" t="e">
        <f>#REF!</f>
        <v>#REF!</v>
      </c>
      <c r="L16" s="120" t="e">
        <f>#REF!</f>
        <v>#REF!</v>
      </c>
      <c r="M16" s="120" t="e">
        <f>#REF!</f>
        <v>#REF!</v>
      </c>
      <c r="N16" s="124" t="e">
        <f t="shared" si="6"/>
        <v>#REF!</v>
      </c>
      <c r="O16" s="125" t="e">
        <f>SUM(B16:INDEX(B16:M16,MATCH($O$2,$B$2:$M$2,0)))</f>
        <v>#REF!</v>
      </c>
      <c r="S16" s="129"/>
      <c r="T16" s="133"/>
      <c r="W16" s="131"/>
    </row>
    <row r="17" spans="1:23">
      <c r="A17" s="106" t="str">
        <f>CAR!A4</f>
        <v>CAR</v>
      </c>
      <c r="B17" s="120">
        <f>CAR!Q44</f>
        <v>0</v>
      </c>
      <c r="C17" s="120">
        <f>CAR!Q45</f>
        <v>0</v>
      </c>
      <c r="D17" s="120">
        <f>CAR!Q46</f>
        <v>0</v>
      </c>
      <c r="E17" s="120">
        <f>CAR!Q47</f>
        <v>0</v>
      </c>
      <c r="F17" s="120">
        <f>CAR!Q48</f>
        <v>0</v>
      </c>
      <c r="G17" s="120">
        <f>CAR!Q49</f>
        <v>0</v>
      </c>
      <c r="H17" s="120">
        <f>CAR!Q50</f>
        <v>0</v>
      </c>
      <c r="I17" s="120">
        <f>CAR!Q51</f>
        <v>0</v>
      </c>
      <c r="J17" s="120">
        <f>CAR!Q52</f>
        <v>0</v>
      </c>
      <c r="K17" s="120">
        <f>CAR!Q53</f>
        <v>0</v>
      </c>
      <c r="L17" s="120">
        <f>CAR!Q54</f>
        <v>0</v>
      </c>
      <c r="M17" s="120">
        <f>CAR!Q55</f>
        <v>0</v>
      </c>
      <c r="N17" s="124">
        <f t="shared" si="6"/>
        <v>0</v>
      </c>
      <c r="O17" s="125">
        <f>SUM(B17:INDEX(B17:M17,MATCH($O$2,$B$2:$M$2,0)))</f>
        <v>0</v>
      </c>
      <c r="S17" s="129"/>
      <c r="T17" s="133"/>
      <c r="W17" s="131"/>
    </row>
    <row r="18" spans="1:23">
      <c r="A18" s="106" t="str">
        <f>KAM!A4</f>
        <v>KAM</v>
      </c>
      <c r="B18" s="120">
        <f>KAM!Q44</f>
        <v>0</v>
      </c>
      <c r="C18" s="120">
        <f>KAM!Q45</f>
        <v>0</v>
      </c>
      <c r="D18" s="120">
        <f>KAM!Q46</f>
        <v>0</v>
      </c>
      <c r="E18" s="120">
        <f>KAM!Q47</f>
        <v>0</v>
      </c>
      <c r="F18" s="120">
        <f>KAM!Q48</f>
        <v>0</v>
      </c>
      <c r="G18" s="120">
        <f>KAM!Q49</f>
        <v>0</v>
      </c>
      <c r="H18" s="120">
        <f>KAM!Q50</f>
        <v>0</v>
      </c>
      <c r="I18" s="120">
        <f>KAM!Q51</f>
        <v>0</v>
      </c>
      <c r="J18" s="120">
        <f>KAM!Q52</f>
        <v>0</v>
      </c>
      <c r="K18" s="120">
        <f>KAM!Q53</f>
        <v>0</v>
      </c>
      <c r="L18" s="120">
        <f>KAM!Q54</f>
        <v>0</v>
      </c>
      <c r="M18" s="120">
        <f>KAM!Q55</f>
        <v>0</v>
      </c>
      <c r="N18" s="124">
        <f t="shared" ref="N18" si="7">SUM(B18:M18)</f>
        <v>0</v>
      </c>
      <c r="O18" s="125">
        <f>SUM(B18:INDEX(B18:M18,MATCH($O$2,$B$2:$M$2,0)))</f>
        <v>0</v>
      </c>
      <c r="S18" s="129"/>
      <c r="T18" s="133"/>
      <c r="W18" s="131"/>
    </row>
    <row r="19" spans="1:23">
      <c r="A19" s="106" t="str">
        <f>Finance!A4</f>
        <v>Finance</v>
      </c>
      <c r="B19" s="120" t="e">
        <f>Finance!Q44</f>
        <v>#REF!</v>
      </c>
      <c r="C19" s="120" t="e">
        <f>Finance!Q45</f>
        <v>#REF!</v>
      </c>
      <c r="D19" s="120" t="e">
        <f>Finance!Q46</f>
        <v>#REF!</v>
      </c>
      <c r="E19" s="120" t="e">
        <f>Finance!Q47</f>
        <v>#REF!</v>
      </c>
      <c r="F19" s="120" t="e">
        <f>Finance!Q48</f>
        <v>#REF!</v>
      </c>
      <c r="G19" s="120" t="e">
        <f>Finance!Q49</f>
        <v>#REF!</v>
      </c>
      <c r="H19" s="120" t="e">
        <f>Finance!Q50</f>
        <v>#REF!</v>
      </c>
      <c r="I19" s="120" t="e">
        <f>Finance!Q51</f>
        <v>#REF!</v>
      </c>
      <c r="J19" s="120" t="e">
        <f>Finance!Q52</f>
        <v>#REF!</v>
      </c>
      <c r="K19" s="120">
        <f>Finance!Q53</f>
        <v>0</v>
      </c>
      <c r="L19" s="120">
        <f>Finance!Q54</f>
        <v>0</v>
      </c>
      <c r="M19" s="120">
        <f>Finance!Q55</f>
        <v>0</v>
      </c>
      <c r="N19" s="124" t="e">
        <f t="shared" ref="N19:N20" si="8">SUM(B19:M19)</f>
        <v>#REF!</v>
      </c>
      <c r="O19" s="125" t="e">
        <f>SUM(B19:INDEX(B19:M19,MATCH($O$2,$B$2:$M$2,0)))</f>
        <v>#REF!</v>
      </c>
      <c r="S19" s="129"/>
      <c r="T19" s="133"/>
      <c r="W19" s="131"/>
    </row>
    <row r="20" spans="1:23">
      <c r="A20" s="106" t="str">
        <f>Score!A11</f>
        <v>Score</v>
      </c>
      <c r="B20" s="120">
        <f>Score!Q51</f>
        <v>44</v>
      </c>
      <c r="C20" s="120">
        <f>Score!Q52</f>
        <v>0</v>
      </c>
      <c r="D20" s="120">
        <f>Score!Q53</f>
        <v>0</v>
      </c>
      <c r="E20" s="120">
        <f>Score!Q54</f>
        <v>0</v>
      </c>
      <c r="F20" s="120">
        <f>Score!Q55</f>
        <v>0</v>
      </c>
      <c r="G20" s="120">
        <f>Score!Q56</f>
        <v>0</v>
      </c>
      <c r="H20" s="120">
        <f>Score!Q57</f>
        <v>0</v>
      </c>
      <c r="I20" s="120">
        <f>Score!Q58</f>
        <v>0</v>
      </c>
      <c r="J20" s="120">
        <f>Score!Q59</f>
        <v>0</v>
      </c>
      <c r="K20" s="120">
        <f>Score!Q60</f>
        <v>0</v>
      </c>
      <c r="L20" s="120">
        <f>Score!Q61</f>
        <v>0</v>
      </c>
      <c r="M20" s="120">
        <f>Score!Q62</f>
        <v>0</v>
      </c>
      <c r="N20" s="124">
        <f t="shared" si="8"/>
        <v>44</v>
      </c>
      <c r="O20" s="125">
        <f t="shared" ref="O20:O29" si="9">SUM(N20)</f>
        <v>44</v>
      </c>
      <c r="S20" s="129"/>
      <c r="T20" s="133"/>
      <c r="W20" s="131"/>
    </row>
    <row r="21" spans="1:23">
      <c r="A21" s="106" t="str">
        <f>DeptSystems!A12</f>
        <v>DeptSystems</v>
      </c>
      <c r="B21" s="120">
        <f>DeptSystems!Q51</f>
        <v>45</v>
      </c>
      <c r="C21" s="120">
        <f>DeptSystems!Q52</f>
        <v>0</v>
      </c>
      <c r="D21" s="120">
        <f>DeptSystems!Q53</f>
        <v>0</v>
      </c>
      <c r="E21" s="120">
        <f>DeptSystems!Q54</f>
        <v>0</v>
      </c>
      <c r="F21" s="120">
        <f>DeptSystems!Q55</f>
        <v>0</v>
      </c>
      <c r="G21" s="120">
        <f>DeptSystems!Q56</f>
        <v>0</v>
      </c>
      <c r="H21" s="120">
        <f>DeptSystems!Q57</f>
        <v>0</v>
      </c>
      <c r="I21" s="120">
        <f>DeptSystems!Q58</f>
        <v>0</v>
      </c>
      <c r="J21" s="120">
        <f>DeptSystems!Q59</f>
        <v>0</v>
      </c>
      <c r="K21" s="120">
        <f>DeptSystems!Q60</f>
        <v>0</v>
      </c>
      <c r="L21" s="120">
        <f>DeptSystems!Q61</f>
        <v>0</v>
      </c>
      <c r="M21" s="120">
        <f>DeptSystems!Q62</f>
        <v>0</v>
      </c>
      <c r="N21" s="124">
        <f t="shared" ref="N21:N29" si="10">SUM(B21:M21)</f>
        <v>45</v>
      </c>
      <c r="O21" s="125">
        <f t="shared" si="9"/>
        <v>45</v>
      </c>
      <c r="S21" s="129"/>
      <c r="T21" s="133"/>
      <c r="W21" s="131"/>
    </row>
    <row r="22" spans="1:23">
      <c r="A22" s="106" t="str">
        <f>Sphere!A11</f>
        <v>Sphere</v>
      </c>
      <c r="B22" s="120">
        <f>Sphere!Q50</f>
        <v>25</v>
      </c>
      <c r="C22" s="120">
        <f>Sphere!Q51</f>
        <v>0</v>
      </c>
      <c r="D22" s="120">
        <f>Sphere!Q52</f>
        <v>0</v>
      </c>
      <c r="E22" s="120">
        <f>Sphere!Q53</f>
        <v>0</v>
      </c>
      <c r="F22" s="120">
        <f>Sphere!Q54</f>
        <v>0</v>
      </c>
      <c r="G22" s="120">
        <f>Sphere!Q55</f>
        <v>0</v>
      </c>
      <c r="H22" s="120">
        <f>Sphere!Q56</f>
        <v>0</v>
      </c>
      <c r="I22" s="120">
        <f>Sphere!Q57</f>
        <v>0</v>
      </c>
      <c r="J22" s="120">
        <f>Sphere!Q58</f>
        <v>0</v>
      </c>
      <c r="K22" s="120">
        <f>Sphere!Q59</f>
        <v>0</v>
      </c>
      <c r="L22" s="120">
        <f>Sphere!Q60</f>
        <v>0</v>
      </c>
      <c r="M22" s="120">
        <f>Sphere!Q61</f>
        <v>0</v>
      </c>
      <c r="N22" s="124">
        <f t="shared" si="10"/>
        <v>25</v>
      </c>
      <c r="O22" s="125">
        <f t="shared" si="9"/>
        <v>25</v>
      </c>
      <c r="S22" s="129"/>
      <c r="T22" s="133"/>
      <c r="W22" s="131"/>
    </row>
    <row r="23" spans="1:23">
      <c r="A23" s="106" t="str">
        <f>CAFE!A10</f>
        <v>CAFÉ</v>
      </c>
      <c r="B23" s="120">
        <f>CAFE!Q50</f>
        <v>291</v>
      </c>
      <c r="C23" s="120">
        <f>CAFE!Q51</f>
        <v>0</v>
      </c>
      <c r="D23" s="120">
        <f>CAFE!Q52</f>
        <v>0</v>
      </c>
      <c r="E23" s="120">
        <f>CAFE!Q53</f>
        <v>0</v>
      </c>
      <c r="F23" s="120">
        <f>CAFE!Q54</f>
        <v>0</v>
      </c>
      <c r="G23" s="120">
        <f>CAFE!Q55</f>
        <v>0</v>
      </c>
      <c r="H23" s="120">
        <f>CAFE!Q56</f>
        <v>0</v>
      </c>
      <c r="I23" s="120">
        <f>CAFE!Q57</f>
        <v>0</v>
      </c>
      <c r="J23" s="120">
        <f>CAFE!Q58</f>
        <v>0</v>
      </c>
      <c r="K23" s="120">
        <f>CAFE!Q59</f>
        <v>0</v>
      </c>
      <c r="L23" s="120">
        <f>CAFE!Q60</f>
        <v>0</v>
      </c>
      <c r="M23" s="120">
        <f>CAFE!Q61</f>
        <v>0</v>
      </c>
      <c r="N23" s="124">
        <f t="shared" si="10"/>
        <v>291</v>
      </c>
      <c r="O23" s="125">
        <f t="shared" si="9"/>
        <v>291</v>
      </c>
      <c r="S23" s="129"/>
      <c r="T23" s="133"/>
      <c r="W23" s="131"/>
    </row>
    <row r="24" spans="1:23">
      <c r="A24" s="106" t="str">
        <f>SAFE!A13</f>
        <v>SAFE</v>
      </c>
      <c r="B24" s="120">
        <f>SAFE!Q53</f>
        <v>603.33333333333326</v>
      </c>
      <c r="C24" s="120">
        <f>SAFE!Q54</f>
        <v>0</v>
      </c>
      <c r="D24" s="120">
        <f>SAFE!Q55</f>
        <v>0</v>
      </c>
      <c r="E24" s="120">
        <f>SAFE!Q56</f>
        <v>0</v>
      </c>
      <c r="F24" s="120">
        <f>SAFE!Q57</f>
        <v>0</v>
      </c>
      <c r="G24" s="120">
        <f>SAFE!Q58</f>
        <v>0</v>
      </c>
      <c r="H24" s="120">
        <f>SAFE!Q59</f>
        <v>0</v>
      </c>
      <c r="I24" s="120">
        <f>SAFE!Q60</f>
        <v>0</v>
      </c>
      <c r="J24" s="120">
        <f>SAFE!Q61</f>
        <v>0</v>
      </c>
      <c r="K24" s="120">
        <f>SAFE!Q62</f>
        <v>0</v>
      </c>
      <c r="L24" s="120">
        <f>SAFE!Q63</f>
        <v>0</v>
      </c>
      <c r="M24" s="120">
        <f>SAFE!Q64</f>
        <v>0</v>
      </c>
      <c r="N24" s="124">
        <f t="shared" si="10"/>
        <v>603.33333333333326</v>
      </c>
      <c r="O24" s="125">
        <f t="shared" si="9"/>
        <v>603.33333333333326</v>
      </c>
      <c r="S24" s="129"/>
      <c r="T24" s="133"/>
      <c r="W24" s="131"/>
    </row>
    <row r="25" spans="1:23">
      <c r="A25" s="106" t="str">
        <f>PDM!A6</f>
        <v>PDM</v>
      </c>
      <c r="B25" s="120">
        <f>PDM!Q46</f>
        <v>0</v>
      </c>
      <c r="C25" s="120">
        <f>PDM!Q47</f>
        <v>0</v>
      </c>
      <c r="D25" s="120">
        <f>PDM!Q48</f>
        <v>0</v>
      </c>
      <c r="E25" s="120">
        <f>PDM!Q49</f>
        <v>0</v>
      </c>
      <c r="F25" s="120">
        <f>PDM!Q50</f>
        <v>0</v>
      </c>
      <c r="G25" s="120">
        <f>PDM!Q51</f>
        <v>0</v>
      </c>
      <c r="H25" s="120">
        <f>PDM!Q52</f>
        <v>0</v>
      </c>
      <c r="I25" s="120">
        <f>PDM!Q53</f>
        <v>0</v>
      </c>
      <c r="J25" s="120">
        <f>PDM!Q54</f>
        <v>0</v>
      </c>
      <c r="K25" s="120">
        <f>PDM!Q55</f>
        <v>0</v>
      </c>
      <c r="L25" s="120">
        <f>PDM!Q56</f>
        <v>0</v>
      </c>
      <c r="M25" s="120">
        <f>PDM!Q57</f>
        <v>0</v>
      </c>
      <c r="N25" s="124">
        <f t="shared" si="10"/>
        <v>0</v>
      </c>
      <c r="O25" s="125">
        <f t="shared" si="9"/>
        <v>0</v>
      </c>
      <c r="S25" s="129"/>
      <c r="T25" s="133"/>
      <c r="W25" s="131"/>
    </row>
    <row r="26" spans="1:23">
      <c r="A26" s="106" t="str">
        <f>ProM!A5</f>
        <v>ProM</v>
      </c>
      <c r="B26" s="120">
        <f>ProM!Q45</f>
        <v>0</v>
      </c>
      <c r="C26" s="120">
        <f>ProM!Q46</f>
        <v>0</v>
      </c>
      <c r="D26" s="120">
        <f>ProM!Q47</f>
        <v>0</v>
      </c>
      <c r="E26" s="120">
        <f>ProM!Q48</f>
        <v>0</v>
      </c>
      <c r="F26" s="120">
        <f>ProM!Q49</f>
        <v>0</v>
      </c>
      <c r="G26" s="120">
        <f>ProM!Q50</f>
        <v>0</v>
      </c>
      <c r="H26" s="120">
        <f>ProM!Q51</f>
        <v>0</v>
      </c>
      <c r="I26" s="120">
        <f>ProM!Q52</f>
        <v>0</v>
      </c>
      <c r="J26" s="120">
        <f>ProM!Q53</f>
        <v>0</v>
      </c>
      <c r="K26" s="120">
        <f>ProM!Q54</f>
        <v>0</v>
      </c>
      <c r="L26" s="120">
        <f>ProM!Q55</f>
        <v>0</v>
      </c>
      <c r="M26" s="120">
        <f>ProM!Q56</f>
        <v>0</v>
      </c>
      <c r="N26" s="124">
        <f t="shared" si="10"/>
        <v>0</v>
      </c>
      <c r="O26" s="125">
        <f t="shared" si="9"/>
        <v>0</v>
      </c>
      <c r="S26" s="129"/>
      <c r="T26" s="133"/>
      <c r="W26" s="131"/>
    </row>
    <row r="27" spans="1:23">
      <c r="A27" s="106" t="str">
        <f>AssetTracker!A6</f>
        <v>AssetTracker</v>
      </c>
      <c r="B27" s="120">
        <f>AssetTracker!Q46</f>
        <v>0</v>
      </c>
      <c r="C27" s="120">
        <f>AssetTracker!Q47</f>
        <v>0</v>
      </c>
      <c r="D27" s="120">
        <f>AssetTracker!Q48</f>
        <v>0</v>
      </c>
      <c r="E27" s="120">
        <f>AssetTracker!Q49</f>
        <v>0</v>
      </c>
      <c r="F27" s="120">
        <f>AssetTracker!Q50</f>
        <v>0</v>
      </c>
      <c r="G27" s="120">
        <f>AssetTracker!Q51</f>
        <v>0</v>
      </c>
      <c r="H27" s="120">
        <f>AssetTracker!Q52</f>
        <v>0</v>
      </c>
      <c r="I27" s="120">
        <f>AssetTracker!Q53</f>
        <v>0</v>
      </c>
      <c r="J27" s="120">
        <f>AssetTracker!Q54</f>
        <v>0</v>
      </c>
      <c r="K27" s="120">
        <f>AssetTracker!Q55</f>
        <v>0</v>
      </c>
      <c r="L27" s="120">
        <f>AssetTracker!Q56</f>
        <v>0</v>
      </c>
      <c r="M27" s="120">
        <f>AssetTracker!Q57</f>
        <v>0</v>
      </c>
      <c r="N27" s="124">
        <f t="shared" si="10"/>
        <v>0</v>
      </c>
      <c r="O27" s="125">
        <f t="shared" si="9"/>
        <v>0</v>
      </c>
      <c r="S27" s="129"/>
      <c r="T27" s="133"/>
      <c r="W27" s="131"/>
    </row>
    <row r="28" spans="1:23">
      <c r="A28" s="106" t="str">
        <f>APAR!A6</f>
        <v>APAR</v>
      </c>
      <c r="B28" s="120">
        <f>APAR!Q45</f>
        <v>0</v>
      </c>
      <c r="C28" s="120">
        <f>APAR!Q46</f>
        <v>0</v>
      </c>
      <c r="D28" s="120">
        <f>APAR!Q47</f>
        <v>0</v>
      </c>
      <c r="E28" s="120">
        <f>APAR!Q48</f>
        <v>0</v>
      </c>
      <c r="F28" s="120">
        <f>APAR!Q49</f>
        <v>0</v>
      </c>
      <c r="G28" s="120">
        <f>APAR!Q50</f>
        <v>0</v>
      </c>
      <c r="H28" s="120">
        <f>APAR!Q51</f>
        <v>0</v>
      </c>
      <c r="I28" s="120">
        <f>APAR!Q52</f>
        <v>0</v>
      </c>
      <c r="J28" s="120">
        <f>APAR!Q53</f>
        <v>0</v>
      </c>
      <c r="K28" s="120">
        <f>APAR!Q54</f>
        <v>0</v>
      </c>
      <c r="L28" s="120">
        <f>APAR!Q55</f>
        <v>0</v>
      </c>
      <c r="M28" s="120">
        <f>APAR!Q56</f>
        <v>0</v>
      </c>
      <c r="N28" s="124">
        <f t="shared" si="10"/>
        <v>0</v>
      </c>
      <c r="O28" s="125">
        <f t="shared" si="9"/>
        <v>0</v>
      </c>
      <c r="S28" s="129"/>
      <c r="T28" s="133"/>
      <c r="W28" s="131"/>
    </row>
    <row r="29" spans="1:23">
      <c r="A29" s="106" t="str">
        <f>TVROCS!A7</f>
        <v>TVROCS</v>
      </c>
      <c r="B29" s="120">
        <f>TVROCS!Q50</f>
        <v>69</v>
      </c>
      <c r="C29" s="120">
        <f>TVROCS!Q51</f>
        <v>0</v>
      </c>
      <c r="D29" s="120">
        <f>TVROCS!Q52</f>
        <v>0</v>
      </c>
      <c r="E29" s="120">
        <f>TVROCS!Q53</f>
        <v>0</v>
      </c>
      <c r="F29" s="120">
        <f>TVROCS!Q54</f>
        <v>0</v>
      </c>
      <c r="G29" s="120">
        <f>TVROCS!Q55</f>
        <v>0</v>
      </c>
      <c r="H29" s="120">
        <f>TVROCS!Q56</f>
        <v>0</v>
      </c>
      <c r="I29" s="120">
        <f>TVROCS!Q57</f>
        <v>0</v>
      </c>
      <c r="J29" s="120">
        <f>TVROCS!Q58</f>
        <v>0</v>
      </c>
      <c r="K29" s="120">
        <f>TVROCS!Q59</f>
        <v>0</v>
      </c>
      <c r="L29" s="120">
        <f>TVROCS!Q60</f>
        <v>0</v>
      </c>
      <c r="M29" s="120">
        <f>TVROCS!Q61</f>
        <v>0</v>
      </c>
      <c r="N29" s="124">
        <f t="shared" si="10"/>
        <v>69</v>
      </c>
      <c r="O29" s="125">
        <f t="shared" si="9"/>
        <v>69</v>
      </c>
      <c r="S29" s="129"/>
      <c r="T29" s="133"/>
      <c r="W29" s="131"/>
    </row>
    <row r="30" spans="1:23">
      <c r="A30" s="121" t="s">
        <v>39</v>
      </c>
      <c r="B30" s="122" t="e">
        <f t="shared" ref="B30:O30" si="11">SUM(B3:B29)</f>
        <v>#REF!</v>
      </c>
      <c r="C30" s="122" t="e">
        <f t="shared" si="11"/>
        <v>#REF!</v>
      </c>
      <c r="D30" s="122" t="e">
        <f t="shared" si="11"/>
        <v>#REF!</v>
      </c>
      <c r="E30" s="122" t="e">
        <f t="shared" si="11"/>
        <v>#REF!</v>
      </c>
      <c r="F30" s="122" t="e">
        <f t="shared" si="11"/>
        <v>#REF!</v>
      </c>
      <c r="G30" s="122" t="e">
        <f t="shared" si="11"/>
        <v>#REF!</v>
      </c>
      <c r="H30" s="122" t="e">
        <f t="shared" si="11"/>
        <v>#REF!</v>
      </c>
      <c r="I30" s="122" t="e">
        <f t="shared" si="11"/>
        <v>#REF!</v>
      </c>
      <c r="J30" s="122" t="e">
        <f t="shared" si="11"/>
        <v>#REF!</v>
      </c>
      <c r="K30" s="122" t="e">
        <f t="shared" si="11"/>
        <v>#REF!</v>
      </c>
      <c r="L30" s="122" t="e">
        <f t="shared" si="11"/>
        <v>#REF!</v>
      </c>
      <c r="M30" s="122" t="e">
        <f t="shared" si="11"/>
        <v>#REF!</v>
      </c>
      <c r="N30" s="122" t="e">
        <f t="shared" si="11"/>
        <v>#REF!</v>
      </c>
      <c r="O30" s="122" t="e">
        <f t="shared" si="11"/>
        <v>#REF!</v>
      </c>
      <c r="W30" s="131"/>
    </row>
    <row r="31" spans="1:23">
      <c r="W31" s="131"/>
    </row>
    <row r="32" spans="1:23">
      <c r="W32" s="131"/>
    </row>
    <row r="33" spans="1:8">
      <c r="A33" s="169" t="s">
        <v>40</v>
      </c>
      <c r="B33" s="170"/>
      <c r="C33" s="170"/>
      <c r="D33" s="170"/>
      <c r="E33" s="170"/>
      <c r="F33" s="170"/>
      <c r="G33" s="171"/>
    </row>
    <row r="34" spans="1:8" ht="52.5">
      <c r="A34" s="168" t="s">
        <v>22</v>
      </c>
      <c r="B34" s="169" t="s">
        <v>41</v>
      </c>
      <c r="C34" s="170"/>
      <c r="D34" s="170"/>
      <c r="E34" s="171"/>
      <c r="F34" s="168" t="s">
        <v>24</v>
      </c>
      <c r="G34" s="105" t="s">
        <v>42</v>
      </c>
    </row>
    <row r="35" spans="1:8">
      <c r="A35" s="168"/>
      <c r="B35" s="105" t="s">
        <v>43</v>
      </c>
      <c r="C35" s="105" t="s">
        <v>44</v>
      </c>
      <c r="D35" s="105" t="s">
        <v>45</v>
      </c>
      <c r="E35" s="105" t="s">
        <v>46</v>
      </c>
      <c r="F35" s="168"/>
      <c r="G35" s="105" t="s">
        <v>43</v>
      </c>
      <c r="H35" s="123" t="s">
        <v>38</v>
      </c>
    </row>
    <row r="36" spans="1:8">
      <c r="A36" s="106" t="str">
        <f>A3</f>
        <v>Recap</v>
      </c>
      <c r="B36" s="124" t="e">
        <f>SUM(B3:D3)</f>
        <v>#REF!</v>
      </c>
      <c r="C36" s="124" t="e">
        <f>SUM(E3:G3)</f>
        <v>#REF!</v>
      </c>
      <c r="D36" s="124" t="e">
        <f>SUM(H3:J3)</f>
        <v>#REF!</v>
      </c>
      <c r="E36" s="124" t="e">
        <f>SUM(K3:M3)</f>
        <v>#REF!</v>
      </c>
      <c r="F36" s="124" t="e">
        <f t="shared" ref="F36:F51" si="12">SUM(B36:E36)</f>
        <v>#REF!</v>
      </c>
      <c r="G36" s="125" t="e">
        <f t="shared" ref="G36:G50" si="13">SUM(B36:INDEX(B36:E36,MATCH($G$35,$B$35:$E$35,0)))</f>
        <v>#REF!</v>
      </c>
    </row>
    <row r="37" spans="1:8">
      <c r="A37" s="106" t="str">
        <f>A4</f>
        <v>ALF</v>
      </c>
      <c r="B37" s="124">
        <f>SUM(B4:D4)</f>
        <v>0</v>
      </c>
      <c r="C37" s="124">
        <f>SUM(E4:G4)</f>
        <v>13</v>
      </c>
      <c r="D37" s="124">
        <f>SUM(H4:J4)</f>
        <v>0</v>
      </c>
      <c r="E37" s="124">
        <f>SUM(K4:M4)</f>
        <v>0</v>
      </c>
      <c r="F37" s="124">
        <f t="shared" ref="F37" si="14">SUM(B37:E37)</f>
        <v>13</v>
      </c>
      <c r="G37" s="125">
        <f t="shared" si="13"/>
        <v>0</v>
      </c>
    </row>
    <row r="38" spans="1:8">
      <c r="A38" s="106" t="str">
        <f t="shared" ref="A38:A44" si="15">A6</f>
        <v>Medea</v>
      </c>
      <c r="B38" s="124">
        <f t="shared" ref="B38:B44" si="16">SUM(B6:D6)</f>
        <v>0</v>
      </c>
      <c r="C38" s="124">
        <f t="shared" ref="C38:C44" si="17">SUM(E6:G6)</f>
        <v>88</v>
      </c>
      <c r="D38" s="124">
        <f t="shared" ref="D38:D44" si="18">SUM(H6:J6)</f>
        <v>88</v>
      </c>
      <c r="E38" s="124">
        <f t="shared" ref="E38:E44" si="19">SUM(K6:M6)</f>
        <v>0</v>
      </c>
      <c r="F38" s="124">
        <f t="shared" si="12"/>
        <v>176</v>
      </c>
      <c r="G38" s="125">
        <f t="shared" si="13"/>
        <v>0</v>
      </c>
    </row>
    <row r="39" spans="1:8">
      <c r="A39" s="106" t="e">
        <f t="shared" si="15"/>
        <v>#REF!</v>
      </c>
      <c r="B39" s="124" t="e">
        <f t="shared" si="16"/>
        <v>#REF!</v>
      </c>
      <c r="C39" s="124" t="e">
        <f t="shared" si="17"/>
        <v>#REF!</v>
      </c>
      <c r="D39" s="124" t="e">
        <f t="shared" si="18"/>
        <v>#REF!</v>
      </c>
      <c r="E39" s="124" t="e">
        <f t="shared" si="19"/>
        <v>#REF!</v>
      </c>
      <c r="F39" s="124" t="e">
        <f t="shared" ref="F39" si="20">SUM(B39:E39)</f>
        <v>#REF!</v>
      </c>
      <c r="G39" s="125" t="e">
        <f t="shared" si="13"/>
        <v>#REF!</v>
      </c>
    </row>
    <row r="40" spans="1:8">
      <c r="A40" s="106" t="str">
        <f t="shared" si="15"/>
        <v>CompassRePlatform</v>
      </c>
      <c r="B40" s="124" t="e">
        <f t="shared" si="16"/>
        <v>#REF!</v>
      </c>
      <c r="C40" s="124" t="e">
        <f t="shared" si="17"/>
        <v>#REF!</v>
      </c>
      <c r="D40" s="124" t="e">
        <f t="shared" si="18"/>
        <v>#REF!</v>
      </c>
      <c r="E40" s="124">
        <f t="shared" si="19"/>
        <v>0</v>
      </c>
      <c r="F40" s="124" t="e">
        <f t="shared" si="12"/>
        <v>#REF!</v>
      </c>
      <c r="G40" s="125" t="e">
        <f t="shared" si="13"/>
        <v>#REF!</v>
      </c>
    </row>
    <row r="41" spans="1:8">
      <c r="A41" s="106" t="str">
        <f t="shared" si="15"/>
        <v>GTM</v>
      </c>
      <c r="B41" s="124">
        <f t="shared" si="16"/>
        <v>2221.6</v>
      </c>
      <c r="C41" s="124">
        <f t="shared" si="17"/>
        <v>0</v>
      </c>
      <c r="D41" s="124">
        <f t="shared" si="18"/>
        <v>0</v>
      </c>
      <c r="E41" s="124">
        <f t="shared" si="19"/>
        <v>0</v>
      </c>
      <c r="F41" s="124">
        <f t="shared" si="12"/>
        <v>2221.6</v>
      </c>
      <c r="G41" s="125">
        <f t="shared" si="13"/>
        <v>2221.6</v>
      </c>
    </row>
    <row r="42" spans="1:8">
      <c r="A42" s="106" t="str">
        <f t="shared" si="15"/>
        <v>TBT and RSG</v>
      </c>
      <c r="B42" s="124">
        <f t="shared" si="16"/>
        <v>259.2</v>
      </c>
      <c r="C42" s="124">
        <f t="shared" si="17"/>
        <v>0</v>
      </c>
      <c r="D42" s="124">
        <f t="shared" si="18"/>
        <v>0</v>
      </c>
      <c r="E42" s="124">
        <f t="shared" si="19"/>
        <v>0</v>
      </c>
      <c r="F42" s="124">
        <f t="shared" si="12"/>
        <v>259.2</v>
      </c>
      <c r="G42" s="125">
        <f t="shared" si="13"/>
        <v>259.2</v>
      </c>
    </row>
    <row r="43" spans="1:8">
      <c r="A43" s="106">
        <f t="shared" si="15"/>
        <v>0</v>
      </c>
      <c r="B43" s="124">
        <f t="shared" si="16"/>
        <v>436.8</v>
      </c>
      <c r="C43" s="124">
        <f t="shared" si="17"/>
        <v>0</v>
      </c>
      <c r="D43" s="124">
        <f t="shared" si="18"/>
        <v>0</v>
      </c>
      <c r="E43" s="124">
        <f t="shared" si="19"/>
        <v>0</v>
      </c>
      <c r="F43" s="124">
        <f t="shared" ref="F43:F44" si="21">SUM(B43:E43)</f>
        <v>436.8</v>
      </c>
      <c r="G43" s="125">
        <f t="shared" si="13"/>
        <v>436.8</v>
      </c>
    </row>
    <row r="44" spans="1:8">
      <c r="A44" s="106" t="str">
        <f t="shared" si="15"/>
        <v>USH EzRez</v>
      </c>
      <c r="B44" s="124">
        <f t="shared" si="16"/>
        <v>0</v>
      </c>
      <c r="C44" s="124">
        <f t="shared" si="17"/>
        <v>19</v>
      </c>
      <c r="D44" s="124">
        <f t="shared" si="18"/>
        <v>0</v>
      </c>
      <c r="E44" s="124">
        <f t="shared" si="19"/>
        <v>0</v>
      </c>
      <c r="F44" s="124">
        <f t="shared" si="21"/>
        <v>19</v>
      </c>
      <c r="G44" s="125">
        <f t="shared" si="13"/>
        <v>0</v>
      </c>
    </row>
    <row r="45" spans="1:8">
      <c r="A45" s="106" t="e">
        <f>#REF!</f>
        <v>#REF!</v>
      </c>
      <c r="B45" s="124" t="e">
        <f>SUM(#REF!)</f>
        <v>#REF!</v>
      </c>
      <c r="C45" s="124" t="e">
        <f>SUM(#REF!)</f>
        <v>#REF!</v>
      </c>
      <c r="D45" s="124" t="e">
        <f>SUM(#REF!)</f>
        <v>#REF!</v>
      </c>
      <c r="E45" s="124" t="e">
        <f>SUM(#REF!)</f>
        <v>#REF!</v>
      </c>
      <c r="F45" s="124" t="e">
        <f t="shared" ref="F45" si="22">SUM(B45:E45)</f>
        <v>#REF!</v>
      </c>
      <c r="G45" s="125" t="e">
        <f t="shared" si="13"/>
        <v>#REF!</v>
      </c>
    </row>
    <row r="46" spans="1:8">
      <c r="A46" s="106" t="str">
        <f t="shared" ref="A46:A58" si="23">A15</f>
        <v>WideOrbit</v>
      </c>
      <c r="B46" s="124">
        <f>SUM(B15:D15)</f>
        <v>168.5</v>
      </c>
      <c r="C46" s="124">
        <f t="shared" ref="C46:C52" si="24">SUM(E15:G15)</f>
        <v>250</v>
      </c>
      <c r="D46" s="124">
        <f t="shared" ref="D46:D52" si="25">SUM(H15:J15)</f>
        <v>0</v>
      </c>
      <c r="E46" s="124">
        <f t="shared" ref="E46:E58" si="26">SUM(K15:M15)</f>
        <v>0</v>
      </c>
      <c r="F46" s="124">
        <f t="shared" ref="F46:F48" si="27">SUM(B46:E46)</f>
        <v>418.5</v>
      </c>
      <c r="G46" s="125">
        <f t="shared" si="13"/>
        <v>168.5</v>
      </c>
    </row>
    <row r="47" spans="1:8">
      <c r="A47" s="106" t="e">
        <f t="shared" si="23"/>
        <v>#REF!</v>
      </c>
      <c r="B47" s="124" t="e">
        <f>SUM(B16:D16)</f>
        <v>#REF!</v>
      </c>
      <c r="C47" s="124" t="e">
        <f t="shared" si="24"/>
        <v>#REF!</v>
      </c>
      <c r="D47" s="124" t="e">
        <f t="shared" si="25"/>
        <v>#REF!</v>
      </c>
      <c r="E47" s="124" t="e">
        <f t="shared" si="26"/>
        <v>#REF!</v>
      </c>
      <c r="F47" s="124" t="e">
        <f t="shared" ref="F47" si="28">SUM(B47:E47)</f>
        <v>#REF!</v>
      </c>
      <c r="G47" s="125" t="e">
        <f t="shared" si="13"/>
        <v>#REF!</v>
      </c>
    </row>
    <row r="48" spans="1:8">
      <c r="A48" s="106" t="str">
        <f t="shared" si="23"/>
        <v>CAR</v>
      </c>
      <c r="B48" s="124">
        <f>SUM(B17:D17)</f>
        <v>0</v>
      </c>
      <c r="C48" s="124">
        <f t="shared" si="24"/>
        <v>0</v>
      </c>
      <c r="D48" s="124">
        <f t="shared" si="25"/>
        <v>0</v>
      </c>
      <c r="E48" s="124">
        <f t="shared" si="26"/>
        <v>0</v>
      </c>
      <c r="F48" s="124">
        <f t="shared" si="27"/>
        <v>0</v>
      </c>
      <c r="G48" s="125">
        <f t="shared" si="13"/>
        <v>0</v>
      </c>
    </row>
    <row r="49" spans="1:7">
      <c r="A49" s="106" t="str">
        <f t="shared" si="23"/>
        <v>KAM</v>
      </c>
      <c r="B49" s="124">
        <f>SUM(B18:D18)</f>
        <v>0</v>
      </c>
      <c r="C49" s="124">
        <f t="shared" si="24"/>
        <v>0</v>
      </c>
      <c r="D49" s="124">
        <f t="shared" si="25"/>
        <v>0</v>
      </c>
      <c r="E49" s="124">
        <f t="shared" si="26"/>
        <v>0</v>
      </c>
      <c r="F49" s="124">
        <f t="shared" ref="F49" si="29">SUM(B49:E49)</f>
        <v>0</v>
      </c>
      <c r="G49" s="125">
        <f t="shared" si="13"/>
        <v>0</v>
      </c>
    </row>
    <row r="50" spans="1:7">
      <c r="A50" s="106" t="str">
        <f t="shared" si="23"/>
        <v>Finance</v>
      </c>
      <c r="B50" s="124" t="e">
        <f>SUM(B19:D19)</f>
        <v>#REF!</v>
      </c>
      <c r="C50" s="124" t="e">
        <f t="shared" si="24"/>
        <v>#REF!</v>
      </c>
      <c r="D50" s="124" t="e">
        <f t="shared" si="25"/>
        <v>#REF!</v>
      </c>
      <c r="E50" s="124">
        <f t="shared" si="26"/>
        <v>0</v>
      </c>
      <c r="F50" s="124" t="e">
        <f t="shared" ref="F50" si="30">SUM(B50:E50)</f>
        <v>#REF!</v>
      </c>
      <c r="G50" s="125" t="e">
        <f t="shared" si="13"/>
        <v>#REF!</v>
      </c>
    </row>
    <row r="51" spans="1:7">
      <c r="A51" s="106" t="str">
        <f t="shared" si="23"/>
        <v>Score</v>
      </c>
      <c r="B51" s="124">
        <f>SUM(C20:D20)</f>
        <v>0</v>
      </c>
      <c r="C51" s="124">
        <f t="shared" si="24"/>
        <v>0</v>
      </c>
      <c r="D51" s="124">
        <f t="shared" si="25"/>
        <v>0</v>
      </c>
      <c r="E51" s="124">
        <f t="shared" si="26"/>
        <v>0</v>
      </c>
      <c r="F51" s="124">
        <f t="shared" si="12"/>
        <v>0</v>
      </c>
      <c r="G51" s="125">
        <f t="shared" ref="G51:G59" si="31">SUM(F51)</f>
        <v>0</v>
      </c>
    </row>
    <row r="52" spans="1:7">
      <c r="A52" s="106" t="str">
        <f t="shared" si="23"/>
        <v>DeptSystems</v>
      </c>
      <c r="B52" s="124">
        <f>SUM(B21:D21)</f>
        <v>45</v>
      </c>
      <c r="C52" s="124">
        <f t="shared" si="24"/>
        <v>0</v>
      </c>
      <c r="D52" s="124">
        <f t="shared" si="25"/>
        <v>0</v>
      </c>
      <c r="E52" s="124">
        <f t="shared" si="26"/>
        <v>0</v>
      </c>
      <c r="F52" s="124">
        <f t="shared" ref="F52:F59" si="32">SUM(B52:E52)</f>
        <v>45</v>
      </c>
      <c r="G52" s="125">
        <f t="shared" si="31"/>
        <v>45</v>
      </c>
    </row>
    <row r="53" spans="1:7">
      <c r="A53" s="106" t="str">
        <f t="shared" si="23"/>
        <v>Sphere</v>
      </c>
      <c r="B53" s="124">
        <f>SUM(B22:C22)</f>
        <v>25</v>
      </c>
      <c r="C53" s="124">
        <f>SUM(D22:F22)</f>
        <v>0</v>
      </c>
      <c r="D53" s="124">
        <f>SUM(G22:J22)</f>
        <v>0</v>
      </c>
      <c r="E53" s="124">
        <f t="shared" si="26"/>
        <v>0</v>
      </c>
      <c r="F53" s="124">
        <f t="shared" si="32"/>
        <v>25</v>
      </c>
      <c r="G53" s="125">
        <f t="shared" si="31"/>
        <v>25</v>
      </c>
    </row>
    <row r="54" spans="1:7">
      <c r="A54" s="106" t="str">
        <f t="shared" si="23"/>
        <v>CAFÉ</v>
      </c>
      <c r="B54" s="124">
        <f>SUM(B23:D23)</f>
        <v>291</v>
      </c>
      <c r="C54" s="124">
        <f>SUM(E23:G23)</f>
        <v>0</v>
      </c>
      <c r="D54" s="124">
        <f>SUM(H23:J23)</f>
        <v>0</v>
      </c>
      <c r="E54" s="124">
        <f t="shared" si="26"/>
        <v>0</v>
      </c>
      <c r="F54" s="124">
        <f t="shared" si="32"/>
        <v>291</v>
      </c>
      <c r="G54" s="125">
        <f t="shared" si="31"/>
        <v>291</v>
      </c>
    </row>
    <row r="55" spans="1:7">
      <c r="A55" s="106" t="str">
        <f t="shared" si="23"/>
        <v>SAFE</v>
      </c>
      <c r="B55" s="124">
        <f>SUM(B24:D24)</f>
        <v>603.33333333333326</v>
      </c>
      <c r="C55" s="124">
        <f>SUM(E24:G24)</f>
        <v>0</v>
      </c>
      <c r="D55" s="124">
        <f>SUM(H24:J24)</f>
        <v>0</v>
      </c>
      <c r="E55" s="124">
        <f t="shared" si="26"/>
        <v>0</v>
      </c>
      <c r="F55" s="124">
        <f t="shared" si="32"/>
        <v>603.33333333333326</v>
      </c>
      <c r="G55" s="125">
        <f t="shared" si="31"/>
        <v>603.33333333333326</v>
      </c>
    </row>
    <row r="56" spans="1:7">
      <c r="A56" s="106" t="str">
        <f t="shared" si="23"/>
        <v>PDM</v>
      </c>
      <c r="B56" s="124">
        <f>SUM(B25:D25)</f>
        <v>0</v>
      </c>
      <c r="C56" s="124">
        <f>SUM(E25:G25)</f>
        <v>0</v>
      </c>
      <c r="D56" s="124">
        <f>SUM(H25:J25)</f>
        <v>0</v>
      </c>
      <c r="E56" s="124">
        <f t="shared" si="26"/>
        <v>0</v>
      </c>
      <c r="F56" s="124">
        <f t="shared" si="32"/>
        <v>0</v>
      </c>
      <c r="G56" s="125">
        <f t="shared" si="31"/>
        <v>0</v>
      </c>
    </row>
    <row r="57" spans="1:7">
      <c r="A57" s="106" t="str">
        <f t="shared" si="23"/>
        <v>ProM</v>
      </c>
      <c r="B57" s="124">
        <f>SUM(B26:D26)</f>
        <v>0</v>
      </c>
      <c r="C57" s="124">
        <f>SUM(E26:G26)</f>
        <v>0</v>
      </c>
      <c r="D57" s="124">
        <f>SUM(H26:J26)</f>
        <v>0</v>
      </c>
      <c r="E57" s="124">
        <f t="shared" si="26"/>
        <v>0</v>
      </c>
      <c r="F57" s="124">
        <f t="shared" si="32"/>
        <v>0</v>
      </c>
      <c r="G57" s="125">
        <f t="shared" si="31"/>
        <v>0</v>
      </c>
    </row>
    <row r="58" spans="1:7">
      <c r="A58" s="106" t="str">
        <f t="shared" si="23"/>
        <v>AssetTracker</v>
      </c>
      <c r="B58" s="124">
        <f>SUM(B27:D27)</f>
        <v>0</v>
      </c>
      <c r="C58" s="124">
        <f>SUM(E27:G27)</f>
        <v>0</v>
      </c>
      <c r="D58" s="124">
        <f>SUM(H27:J27)</f>
        <v>0</v>
      </c>
      <c r="E58" s="124">
        <f t="shared" si="26"/>
        <v>0</v>
      </c>
      <c r="F58" s="124">
        <f t="shared" si="32"/>
        <v>0</v>
      </c>
      <c r="G58" s="125">
        <f t="shared" si="31"/>
        <v>0</v>
      </c>
    </row>
    <row r="59" spans="1:7">
      <c r="A59" s="106" t="str">
        <f>A29</f>
        <v>TVROCS</v>
      </c>
      <c r="B59" s="124">
        <f>SUM(B29:D29)</f>
        <v>69</v>
      </c>
      <c r="C59" s="124">
        <f>SUM(E29:G29)</f>
        <v>0</v>
      </c>
      <c r="D59" s="124">
        <f>SUM(H29:J29)</f>
        <v>0</v>
      </c>
      <c r="E59" s="124">
        <f>SUM(K29:M29)</f>
        <v>0</v>
      </c>
      <c r="F59" s="124">
        <f t="shared" si="32"/>
        <v>69</v>
      </c>
      <c r="G59" s="125">
        <f t="shared" si="31"/>
        <v>69</v>
      </c>
    </row>
    <row r="60" spans="1:7">
      <c r="A60" s="121" t="s">
        <v>39</v>
      </c>
      <c r="B60" s="126" t="e">
        <f t="shared" ref="B60:G60" si="33">SUM(B36:B59)</f>
        <v>#REF!</v>
      </c>
      <c r="C60" s="126" t="e">
        <f t="shared" si="33"/>
        <v>#REF!</v>
      </c>
      <c r="D60" s="126" t="e">
        <f t="shared" si="33"/>
        <v>#REF!</v>
      </c>
      <c r="E60" s="126" t="e">
        <f t="shared" si="33"/>
        <v>#REF!</v>
      </c>
      <c r="F60" s="126" t="e">
        <f t="shared" si="33"/>
        <v>#REF!</v>
      </c>
      <c r="G60" s="126" t="e">
        <f t="shared" si="33"/>
        <v>#REF!</v>
      </c>
    </row>
    <row r="196" spans="16:16">
      <c r="P196" t="s">
        <v>43</v>
      </c>
    </row>
    <row r="197" spans="16:16">
      <c r="P197" t="s">
        <v>44</v>
      </c>
    </row>
    <row r="198" spans="16:16">
      <c r="P198" t="s">
        <v>45</v>
      </c>
    </row>
    <row r="199" spans="16:16">
      <c r="P199" t="s">
        <v>46</v>
      </c>
    </row>
  </sheetData>
  <mergeCells count="7">
    <mergeCell ref="N1:N2"/>
    <mergeCell ref="B1:M1"/>
    <mergeCell ref="A33:G33"/>
    <mergeCell ref="B34:E34"/>
    <mergeCell ref="A1:A2"/>
    <mergeCell ref="A34:A35"/>
    <mergeCell ref="F34:F35"/>
  </mergeCells>
  <dataValidations count="2">
    <dataValidation type="list" allowBlank="1" showInputMessage="1" showErrorMessage="1" promptTitle="Month" prompt="Select the Month" sqref="O2" xr:uid="{00000000-0002-0000-0100-000000000000}">
      <formula1>$B$2:$M$2</formula1>
    </dataValidation>
    <dataValidation type="list" allowBlank="1" showInputMessage="1" showErrorMessage="1" sqref="G35" xr:uid="{00000000-0002-0000-0100-000001000000}">
      <formula1>$B$35:$E$35</formula1>
    </dataValidation>
  </dataValidations>
  <pageMargins left="0.7" right="0.7" top="0.75" bottom="0.75" header="0.3" footer="0.3"/>
  <pageSetup paperSize="9" orientation="portrait"/>
  <headerFooter>
    <oddFooter>&amp;CNBCU Internal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AG59"/>
  <sheetViews>
    <sheetView workbookViewId="0">
      <pane xSplit="2" topLeftCell="C1" activePane="topRight" state="frozen"/>
      <selection pane="topRight" activeCell="C3" sqref="C3"/>
    </sheetView>
  </sheetViews>
  <sheetFormatPr defaultColWidth="8.81640625" defaultRowHeight="14.5"/>
  <cols>
    <col min="1" max="1" width="12.1796875" style="3" customWidth="1"/>
    <col min="2" max="2" width="10.453125" style="3" customWidth="1"/>
    <col min="3" max="3" width="14.1796875" style="3" customWidth="1"/>
    <col min="4" max="4" width="5.453125" style="3" customWidth="1"/>
    <col min="5" max="6" width="9" style="3" customWidth="1"/>
    <col min="7" max="7" width="8.81640625" style="3" customWidth="1"/>
    <col min="8" max="8" width="19.453125" style="3" customWidth="1"/>
    <col min="9" max="9" width="19.81640625" style="3" customWidth="1"/>
    <col min="10" max="10" width="11.453125" style="3" customWidth="1"/>
    <col min="11" max="11" width="13.1796875" style="3" customWidth="1"/>
    <col min="12" max="12" width="11.1796875" style="3" customWidth="1"/>
    <col min="13" max="14" width="13.1796875" style="3" customWidth="1"/>
    <col min="15" max="15" width="13.81640625" style="3" customWidth="1"/>
    <col min="16" max="16" width="22.453125" style="3" customWidth="1"/>
    <col min="17" max="18" width="19.453125" style="3" customWidth="1"/>
    <col min="19" max="19" width="12.1796875" style="3" customWidth="1"/>
    <col min="20" max="20" width="17.453125" style="3" customWidth="1"/>
    <col min="21" max="21" width="9.81640625" style="3" customWidth="1"/>
    <col min="22" max="22" width="18" style="3" customWidth="1"/>
    <col min="23" max="23" width="19.1796875" style="3" customWidth="1"/>
    <col min="24" max="24" width="13.453125" style="3" customWidth="1"/>
    <col min="25" max="25" width="10.1796875" style="3" customWidth="1"/>
    <col min="26" max="26" width="18.1796875" style="3" customWidth="1"/>
    <col min="27" max="27" width="15" style="3" customWidth="1"/>
    <col min="28" max="28" width="9.453125" style="3" customWidth="1"/>
    <col min="29" max="29" width="18" style="3" customWidth="1"/>
    <col min="30" max="30" width="12.1796875" style="3" customWidth="1"/>
    <col min="31" max="31" width="11.453125" style="3" customWidth="1"/>
    <col min="32" max="32" width="6.453125" style="3" customWidth="1"/>
    <col min="33" max="33" width="9.1796875" style="3" customWidth="1"/>
    <col min="34" max="16384" width="8.81640625" style="3"/>
  </cols>
  <sheetData>
    <row r="1" spans="1:33" s="1" customFormat="1" ht="33" customHeight="1">
      <c r="A1" s="172" t="s">
        <v>22</v>
      </c>
      <c r="B1" s="172" t="s">
        <v>47</v>
      </c>
      <c r="C1" s="172" t="s">
        <v>48</v>
      </c>
      <c r="D1" s="172" t="s">
        <v>79</v>
      </c>
      <c r="E1" s="172" t="s">
        <v>80</v>
      </c>
      <c r="F1" s="172" t="s">
        <v>81</v>
      </c>
      <c r="G1" s="172" t="s">
        <v>82</v>
      </c>
      <c r="H1" s="172" t="s">
        <v>50</v>
      </c>
      <c r="I1" s="172" t="s">
        <v>51</v>
      </c>
      <c r="J1" s="172" t="s">
        <v>53</v>
      </c>
      <c r="K1" s="172" t="s">
        <v>54</v>
      </c>
      <c r="L1" s="172" t="s">
        <v>55</v>
      </c>
      <c r="M1" s="172" t="s">
        <v>56</v>
      </c>
      <c r="N1" s="175" t="s">
        <v>57</v>
      </c>
      <c r="O1" s="172" t="s">
        <v>58</v>
      </c>
      <c r="P1" s="172" t="s">
        <v>83</v>
      </c>
      <c r="Q1" s="172" t="s">
        <v>95</v>
      </c>
      <c r="R1" s="172" t="s">
        <v>60</v>
      </c>
      <c r="S1" s="172" t="s">
        <v>61</v>
      </c>
      <c r="T1" s="172"/>
      <c r="U1" s="172"/>
      <c r="V1" s="172" t="s">
        <v>62</v>
      </c>
      <c r="W1" s="172" t="s">
        <v>63</v>
      </c>
      <c r="X1" s="172" t="s">
        <v>64</v>
      </c>
      <c r="Y1" s="172" t="s">
        <v>85</v>
      </c>
      <c r="Z1" s="172" t="s">
        <v>66</v>
      </c>
      <c r="AA1" s="172" t="s">
        <v>67</v>
      </c>
      <c r="AB1" s="172"/>
      <c r="AC1" s="172"/>
      <c r="AD1" s="172"/>
      <c r="AE1" s="172"/>
      <c r="AF1" s="172" t="s">
        <v>3</v>
      </c>
      <c r="AG1" s="172" t="s">
        <v>86</v>
      </c>
    </row>
    <row r="2" spans="1:33" s="1" customFormat="1" ht="55.5" customHeigh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6"/>
      <c r="O2" s="172"/>
      <c r="P2" s="172"/>
      <c r="Q2" s="172"/>
      <c r="R2" s="172"/>
      <c r="S2" s="4" t="s">
        <v>68</v>
      </c>
      <c r="T2" s="4" t="s">
        <v>69</v>
      </c>
      <c r="U2" s="4" t="s">
        <v>70</v>
      </c>
      <c r="V2" s="172"/>
      <c r="W2" s="172"/>
      <c r="X2" s="172"/>
      <c r="Y2" s="172"/>
      <c r="Z2" s="172"/>
      <c r="AA2" s="4" t="s">
        <v>96</v>
      </c>
      <c r="AB2" s="4" t="s">
        <v>97</v>
      </c>
      <c r="AC2" s="4" t="s">
        <v>73</v>
      </c>
      <c r="AD2" s="4" t="s">
        <v>74</v>
      </c>
      <c r="AE2" s="4" t="s">
        <v>75</v>
      </c>
      <c r="AF2" s="172"/>
      <c r="AG2" s="172"/>
    </row>
    <row r="3" spans="1:33">
      <c r="A3" s="5" t="s">
        <v>126</v>
      </c>
      <c r="B3" s="42" t="s">
        <v>127</v>
      </c>
      <c r="C3" s="42" t="s">
        <v>128</v>
      </c>
      <c r="D3" s="23">
        <v>1</v>
      </c>
      <c r="E3" s="44">
        <v>44256</v>
      </c>
      <c r="F3" s="44">
        <v>44258</v>
      </c>
      <c r="G3" s="23" t="s">
        <v>128</v>
      </c>
      <c r="H3" s="23">
        <v>319</v>
      </c>
      <c r="I3" s="23">
        <v>309</v>
      </c>
      <c r="J3" s="23">
        <v>309</v>
      </c>
      <c r="K3" s="24">
        <v>309</v>
      </c>
      <c r="L3" s="23">
        <v>0</v>
      </c>
      <c r="M3" s="23">
        <v>0</v>
      </c>
      <c r="N3" s="23">
        <v>0</v>
      </c>
      <c r="O3" s="24">
        <v>309</v>
      </c>
      <c r="P3" s="23">
        <v>309</v>
      </c>
      <c r="Q3" s="28">
        <v>0</v>
      </c>
      <c r="R3" s="29">
        <f t="shared" ref="R3" si="0">($P3/$AG3)*8</f>
        <v>309</v>
      </c>
      <c r="S3" s="30">
        <v>18</v>
      </c>
      <c r="T3" s="30">
        <v>0</v>
      </c>
      <c r="U3" s="26">
        <v>0</v>
      </c>
      <c r="V3" s="29">
        <f t="shared" ref="V3" si="1">(($H3-$J3)/$AG3)*8</f>
        <v>10</v>
      </c>
      <c r="W3" s="31">
        <v>0</v>
      </c>
      <c r="X3" s="29">
        <f>SUM(T3,V3,W3)</f>
        <v>10</v>
      </c>
      <c r="Y3" s="29">
        <f t="shared" ref="Y3" si="2">R3-X3</f>
        <v>299</v>
      </c>
      <c r="Z3" s="36">
        <v>0</v>
      </c>
      <c r="AA3" s="37">
        <f t="shared" ref="AA3:AA4" si="3">J3/I3</f>
        <v>1</v>
      </c>
      <c r="AB3" s="37">
        <f t="shared" ref="AB3:AB4" si="4">J3/H3</f>
        <v>0.96865203761755481</v>
      </c>
      <c r="AC3" s="37">
        <f t="shared" ref="AC3" si="5">P3/(O3*D3)</f>
        <v>1</v>
      </c>
      <c r="AD3" s="37">
        <f t="shared" ref="AD3:AD4" si="6">IFERROR(Y3/R3,0)</f>
        <v>0.96763754045307449</v>
      </c>
      <c r="AE3" s="38">
        <f>Y3*$B$9</f>
        <v>7475</v>
      </c>
      <c r="AF3" s="42"/>
      <c r="AG3" s="23">
        <v>8</v>
      </c>
    </row>
    <row r="4" spans="1:33" s="2" customFormat="1">
      <c r="A4" s="8" t="s">
        <v>126</v>
      </c>
      <c r="B4" s="8" t="s">
        <v>90</v>
      </c>
      <c r="C4" s="9" t="s">
        <v>90</v>
      </c>
      <c r="D4" s="9">
        <f ca="1">SUM(D3:INDIRECT("D"&amp;ROW()-1))</f>
        <v>1</v>
      </c>
      <c r="E4" s="9"/>
      <c r="F4" s="9"/>
      <c r="G4" s="9"/>
      <c r="H4" s="9">
        <f ca="1">INDIRECT("H"&amp;ROW()-1)</f>
        <v>319</v>
      </c>
      <c r="I4" s="9">
        <f ca="1">INDIRECT("I"&amp;ROW()-1)</f>
        <v>309</v>
      </c>
      <c r="J4" s="9">
        <f ca="1">INDIRECT("J"&amp;ROW()-1)</f>
        <v>309</v>
      </c>
      <c r="K4" s="9">
        <f ca="1">INDIRECT("K"&amp;ROW()-1)</f>
        <v>309</v>
      </c>
      <c r="L4" s="9">
        <f ca="1">SUM(L3:INDIRECT("L"&amp;ROW()-1))</f>
        <v>0</v>
      </c>
      <c r="M4" s="9">
        <f ca="1">SUM(M3:INDIRECT("M"&amp;ROW()-1))</f>
        <v>0</v>
      </c>
      <c r="N4" s="9">
        <f ca="1">SUM(N3:INDIRECT("N"&amp;ROW()-1))</f>
        <v>0</v>
      </c>
      <c r="O4" s="9">
        <f ca="1">INDIRECT("O"&amp;ROW()-1)</f>
        <v>309</v>
      </c>
      <c r="P4" s="9">
        <f ca="1">SUM(P3:INDIRECT("P"&amp;ROW()-1))</f>
        <v>309</v>
      </c>
      <c r="Q4" s="9">
        <f ca="1">SUM(Q3:INDIRECT("Q"&amp;ROW()-1))</f>
        <v>0</v>
      </c>
      <c r="R4" s="27">
        <f ca="1">SUM(R3:INDIRECT("R"&amp;ROW()-1))</f>
        <v>309</v>
      </c>
      <c r="S4" s="9">
        <f ca="1">SUM(S3:INDIRECT("S"&amp;ROW()-1))</f>
        <v>18</v>
      </c>
      <c r="T4" s="9">
        <f ca="1">SUM(T3:INDIRECT("T"&amp;ROW()-1))</f>
        <v>0</v>
      </c>
      <c r="U4" s="9">
        <f ca="1">SUM(U3:INDIRECT("U"&amp;ROW()-1))</f>
        <v>0</v>
      </c>
      <c r="V4" s="9">
        <f ca="1">SUM(V3:INDIRECT("V"&amp;ROW()-1))</f>
        <v>10</v>
      </c>
      <c r="W4" s="9">
        <f ca="1">SUM(W3:INDIRECT("W"&amp;ROW()-1))</f>
        <v>0</v>
      </c>
      <c r="X4" s="9">
        <f ca="1">SUM(X3:INDIRECT("X"&amp;ROW()-1))</f>
        <v>10</v>
      </c>
      <c r="Y4" s="27">
        <f ca="1">SUM(Y3:INDIRECT("Y"&amp;ROW()-1))</f>
        <v>299</v>
      </c>
      <c r="Z4" s="9">
        <f ca="1">SUM(Z3:INDIRECT("z"&amp;ROW()-1))</f>
        <v>0</v>
      </c>
      <c r="AA4" s="34">
        <f t="shared" ca="1" si="3"/>
        <v>1</v>
      </c>
      <c r="AB4" s="34">
        <f t="shared" ca="1" si="4"/>
        <v>0.96865203761755481</v>
      </c>
      <c r="AC4" s="34">
        <f t="shared" ref="AC4" ca="1" si="7">P4/(O4*D4)</f>
        <v>1</v>
      </c>
      <c r="AD4" s="39">
        <f t="shared" ca="1" si="6"/>
        <v>0.96763754045307449</v>
      </c>
      <c r="AE4" s="35">
        <f ca="1">SUM(AE3:INDIRECT("AF"&amp;ROW()-1))</f>
        <v>7475</v>
      </c>
      <c r="AF4" s="9"/>
      <c r="AG4" s="9"/>
    </row>
    <row r="5" spans="1:33" s="2" customFormat="1"/>
    <row r="6" spans="1:33" s="2" customFormat="1">
      <c r="A6" s="10"/>
      <c r="B6" s="11"/>
      <c r="E6" s="2">
        <v>11</v>
      </c>
      <c r="Q6" s="13"/>
      <c r="AC6" s="25"/>
    </row>
    <row r="7" spans="1:33" s="2" customFormat="1">
      <c r="A7" s="10"/>
      <c r="B7" s="11"/>
      <c r="Q7" s="13"/>
      <c r="AC7" s="25"/>
    </row>
    <row r="8" spans="1:33" s="2" customFormat="1">
      <c r="A8" s="10"/>
      <c r="B8" s="11"/>
      <c r="Q8" s="13"/>
      <c r="AC8" s="25"/>
    </row>
    <row r="9" spans="1:33" s="2" customFormat="1">
      <c r="A9" s="10" t="s">
        <v>91</v>
      </c>
      <c r="B9" s="11">
        <v>25</v>
      </c>
      <c r="P9" s="25"/>
      <c r="Q9" s="13"/>
      <c r="AC9" s="25"/>
    </row>
    <row r="10" spans="1:33" ht="21">
      <c r="A10" s="10" t="s">
        <v>92</v>
      </c>
      <c r="B10" s="12">
        <v>8</v>
      </c>
      <c r="C10" s="2"/>
      <c r="D10" s="2"/>
      <c r="E10" s="2"/>
      <c r="F10" s="2"/>
      <c r="G10" s="2"/>
      <c r="H10" s="2"/>
      <c r="I10" s="2"/>
      <c r="J10" s="25"/>
      <c r="K10" s="25"/>
      <c r="L10" s="2"/>
      <c r="M10" s="2"/>
      <c r="N10" s="2"/>
      <c r="O10" s="2"/>
      <c r="P10" s="2"/>
      <c r="Q10" s="1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42" spans="14:33">
      <c r="N42" s="172" t="s">
        <v>22</v>
      </c>
      <c r="O42" s="172" t="s">
        <v>82</v>
      </c>
      <c r="P42" s="172" t="s">
        <v>60</v>
      </c>
      <c r="Q42" s="172" t="s">
        <v>85</v>
      </c>
      <c r="R42" s="172" t="s">
        <v>74</v>
      </c>
      <c r="S42" s="172" t="s">
        <v>75</v>
      </c>
      <c r="T42" s="173"/>
      <c r="AG42" s="13"/>
    </row>
    <row r="43" spans="14:33">
      <c r="N43" s="172"/>
      <c r="O43" s="172"/>
      <c r="P43" s="172"/>
      <c r="Q43" s="172"/>
      <c r="R43" s="172"/>
      <c r="S43" s="172"/>
      <c r="T43" s="173"/>
      <c r="AG43" s="13"/>
    </row>
    <row r="44" spans="14:33">
      <c r="N44" s="42" t="s">
        <v>126</v>
      </c>
      <c r="O44" s="23" t="s">
        <v>26</v>
      </c>
      <c r="P44" s="26">
        <f>SUMIFS($R3,$G3,O44)</f>
        <v>0</v>
      </c>
      <c r="Q44" s="26">
        <f>SUMIFS($Y3,$G3,O44)</f>
        <v>0</v>
      </c>
      <c r="R44" s="32">
        <f t="shared" ref="R44:R56" si="8">IFERROR(Q44/P44,0)</f>
        <v>0</v>
      </c>
      <c r="S44" s="33">
        <f>SUMIFS($AE3,$G3,O44)</f>
        <v>0</v>
      </c>
      <c r="T44" s="18"/>
      <c r="AG44" s="15"/>
    </row>
    <row r="45" spans="14:33">
      <c r="N45" s="42" t="s">
        <v>126</v>
      </c>
      <c r="O45" s="23" t="s">
        <v>27</v>
      </c>
      <c r="P45" s="26">
        <f t="shared" ref="P45:P55" si="9">SUMIFS($R4,$G4,O45)</f>
        <v>0</v>
      </c>
      <c r="Q45" s="26">
        <f t="shared" ref="Q45:Q55" si="10">SUMIFS($Y4,$G4,O45)</f>
        <v>0</v>
      </c>
      <c r="R45" s="32">
        <f t="shared" si="8"/>
        <v>0</v>
      </c>
      <c r="S45" s="33">
        <f t="shared" ref="S45:S55" si="11">SUMIFS($AE4,$G4,O45)</f>
        <v>0</v>
      </c>
      <c r="T45" s="18"/>
      <c r="AG45" s="15"/>
    </row>
    <row r="46" spans="14:33">
      <c r="N46" s="42" t="s">
        <v>126</v>
      </c>
      <c r="O46" s="23" t="s">
        <v>28</v>
      </c>
      <c r="P46" s="26">
        <f t="shared" si="9"/>
        <v>0</v>
      </c>
      <c r="Q46" s="26">
        <f t="shared" si="10"/>
        <v>0</v>
      </c>
      <c r="R46" s="32">
        <f t="shared" si="8"/>
        <v>0</v>
      </c>
      <c r="S46" s="33">
        <f t="shared" si="11"/>
        <v>0</v>
      </c>
      <c r="T46" s="18"/>
      <c r="AG46" s="15"/>
    </row>
    <row r="47" spans="14:33">
      <c r="N47" s="42" t="s">
        <v>126</v>
      </c>
      <c r="O47" s="23" t="s">
        <v>29</v>
      </c>
      <c r="P47" s="26">
        <f t="shared" si="9"/>
        <v>0</v>
      </c>
      <c r="Q47" s="26">
        <f t="shared" si="10"/>
        <v>0</v>
      </c>
      <c r="R47" s="32">
        <f t="shared" si="8"/>
        <v>0</v>
      </c>
      <c r="S47" s="33">
        <f t="shared" si="11"/>
        <v>0</v>
      </c>
      <c r="T47" s="18"/>
      <c r="AG47" s="15"/>
    </row>
    <row r="48" spans="14:33">
      <c r="N48" s="42" t="s">
        <v>126</v>
      </c>
      <c r="O48" s="23" t="s">
        <v>30</v>
      </c>
      <c r="P48" s="26">
        <f t="shared" si="9"/>
        <v>0</v>
      </c>
      <c r="Q48" s="26">
        <f t="shared" si="10"/>
        <v>0</v>
      </c>
      <c r="R48" s="32">
        <f t="shared" si="8"/>
        <v>0</v>
      </c>
      <c r="S48" s="33">
        <f t="shared" si="11"/>
        <v>0</v>
      </c>
      <c r="T48" s="18"/>
      <c r="AG48" s="15"/>
    </row>
    <row r="49" spans="1:33">
      <c r="N49" s="42" t="s">
        <v>126</v>
      </c>
      <c r="O49" s="23" t="s">
        <v>31</v>
      </c>
      <c r="P49" s="26">
        <f t="shared" si="9"/>
        <v>0</v>
      </c>
      <c r="Q49" s="26">
        <f t="shared" si="10"/>
        <v>0</v>
      </c>
      <c r="R49" s="32">
        <f t="shared" si="8"/>
        <v>0</v>
      </c>
      <c r="S49" s="33">
        <f t="shared" si="11"/>
        <v>0</v>
      </c>
      <c r="T49" s="18"/>
      <c r="AG49" s="15"/>
    </row>
    <row r="50" spans="1:33" ht="15" customHeight="1">
      <c r="N50" s="42" t="s">
        <v>126</v>
      </c>
      <c r="O50" s="23" t="s">
        <v>32</v>
      </c>
      <c r="P50" s="26">
        <f t="shared" si="9"/>
        <v>0</v>
      </c>
      <c r="Q50" s="26">
        <f t="shared" si="10"/>
        <v>0</v>
      </c>
      <c r="R50" s="32">
        <f t="shared" si="8"/>
        <v>0</v>
      </c>
      <c r="S50" s="33">
        <f t="shared" si="11"/>
        <v>0</v>
      </c>
      <c r="T50" s="18"/>
      <c r="AG50" s="15"/>
    </row>
    <row r="51" spans="1:33">
      <c r="A51" s="173"/>
      <c r="B51" s="173"/>
      <c r="C51" s="173"/>
      <c r="D51" s="173"/>
      <c r="E51" s="173"/>
      <c r="F51" s="173"/>
      <c r="G51" s="173"/>
      <c r="N51" s="42" t="s">
        <v>126</v>
      </c>
      <c r="O51" s="23" t="s">
        <v>33</v>
      </c>
      <c r="P51" s="26">
        <f t="shared" si="9"/>
        <v>0</v>
      </c>
      <c r="Q51" s="26">
        <f t="shared" si="10"/>
        <v>0</v>
      </c>
      <c r="R51" s="32">
        <f t="shared" si="8"/>
        <v>0</v>
      </c>
      <c r="S51" s="33">
        <f t="shared" si="11"/>
        <v>0</v>
      </c>
      <c r="T51" s="18"/>
      <c r="AG51" s="15"/>
    </row>
    <row r="52" spans="1:33">
      <c r="A52" s="173"/>
      <c r="B52" s="173"/>
      <c r="C52" s="173"/>
      <c r="D52" s="173"/>
      <c r="E52" s="173"/>
      <c r="F52" s="173"/>
      <c r="G52" s="173"/>
      <c r="N52" s="42" t="s">
        <v>126</v>
      </c>
      <c r="O52" s="23" t="s">
        <v>34</v>
      </c>
      <c r="P52" s="26">
        <f t="shared" si="9"/>
        <v>0</v>
      </c>
      <c r="Q52" s="26">
        <f t="shared" si="10"/>
        <v>0</v>
      </c>
      <c r="R52" s="32">
        <f t="shared" si="8"/>
        <v>0</v>
      </c>
      <c r="S52" s="33">
        <f t="shared" si="11"/>
        <v>0</v>
      </c>
      <c r="T52" s="18"/>
      <c r="AG52" s="15"/>
    </row>
    <row r="53" spans="1:33">
      <c r="A53" s="14"/>
      <c r="B53" s="15"/>
      <c r="C53" s="15"/>
      <c r="D53" s="16"/>
      <c r="E53" s="16"/>
      <c r="F53" s="17"/>
      <c r="G53" s="18"/>
      <c r="N53" s="42" t="s">
        <v>126</v>
      </c>
      <c r="O53" s="23" t="s">
        <v>35</v>
      </c>
      <c r="P53" s="26">
        <f t="shared" si="9"/>
        <v>0</v>
      </c>
      <c r="Q53" s="26">
        <f t="shared" si="10"/>
        <v>0</v>
      </c>
      <c r="R53" s="32">
        <f t="shared" si="8"/>
        <v>0</v>
      </c>
      <c r="S53" s="33">
        <f t="shared" si="11"/>
        <v>0</v>
      </c>
      <c r="T53" s="18"/>
      <c r="AG53" s="15"/>
    </row>
    <row r="54" spans="1:33">
      <c r="A54" s="14"/>
      <c r="B54" s="15"/>
      <c r="C54" s="15"/>
      <c r="D54" s="16"/>
      <c r="E54" s="16"/>
      <c r="F54" s="17"/>
      <c r="G54" s="18"/>
      <c r="N54" s="42" t="s">
        <v>126</v>
      </c>
      <c r="O54" s="23" t="s">
        <v>36</v>
      </c>
      <c r="P54" s="26">
        <f t="shared" si="9"/>
        <v>0</v>
      </c>
      <c r="Q54" s="26">
        <f t="shared" si="10"/>
        <v>0</v>
      </c>
      <c r="R54" s="32">
        <f t="shared" si="8"/>
        <v>0</v>
      </c>
      <c r="S54" s="33">
        <f t="shared" si="11"/>
        <v>0</v>
      </c>
      <c r="T54" s="18"/>
      <c r="AG54" s="15"/>
    </row>
    <row r="55" spans="1:33">
      <c r="A55" s="14"/>
      <c r="B55" s="15"/>
      <c r="C55" s="15"/>
      <c r="D55" s="16"/>
      <c r="E55" s="16"/>
      <c r="F55" s="17"/>
      <c r="G55" s="18"/>
      <c r="N55" s="42" t="s">
        <v>126</v>
      </c>
      <c r="O55" s="23" t="s">
        <v>37</v>
      </c>
      <c r="P55" s="26">
        <f t="shared" si="9"/>
        <v>0</v>
      </c>
      <c r="Q55" s="26">
        <f t="shared" si="10"/>
        <v>0</v>
      </c>
      <c r="R55" s="32">
        <f t="shared" si="8"/>
        <v>0</v>
      </c>
      <c r="S55" s="33">
        <f t="shared" si="11"/>
        <v>0</v>
      </c>
      <c r="T55" s="18"/>
      <c r="AG55" s="15"/>
    </row>
    <row r="56" spans="1:33">
      <c r="A56" s="14"/>
      <c r="B56" s="15"/>
      <c r="C56" s="15"/>
      <c r="D56" s="16"/>
      <c r="E56" s="16"/>
      <c r="F56" s="17"/>
      <c r="G56" s="18"/>
      <c r="N56" s="8" t="s">
        <v>126</v>
      </c>
      <c r="O56" s="9"/>
      <c r="P56" s="27">
        <f>SUM(P44:P55)</f>
        <v>0</v>
      </c>
      <c r="Q56" s="27">
        <f>SUM(Q44:Q55)</f>
        <v>0</v>
      </c>
      <c r="R56" s="34">
        <f t="shared" si="8"/>
        <v>0</v>
      </c>
      <c r="S56" s="35">
        <f>SUM(S44:S55)</f>
        <v>0</v>
      </c>
      <c r="T56" s="22"/>
      <c r="AG56" s="13"/>
    </row>
    <row r="57" spans="1:33">
      <c r="A57" s="14"/>
      <c r="B57" s="15"/>
      <c r="C57" s="15"/>
      <c r="D57" s="16"/>
      <c r="E57" s="16"/>
      <c r="F57" s="17"/>
      <c r="G57" s="18"/>
    </row>
    <row r="58" spans="1:33">
      <c r="A58" s="19"/>
      <c r="B58" s="19"/>
      <c r="C58" s="13"/>
      <c r="D58" s="20"/>
      <c r="E58" s="20"/>
      <c r="F58" s="21"/>
      <c r="G58" s="22"/>
    </row>
    <row r="59" spans="1:33">
      <c r="A59" s="10" t="s">
        <v>91</v>
      </c>
      <c r="B59" s="11">
        <v>25</v>
      </c>
      <c r="C59" s="2"/>
      <c r="D59" s="2"/>
      <c r="E59" s="2"/>
      <c r="F59" s="2"/>
      <c r="G59" s="2"/>
    </row>
  </sheetData>
  <sheetProtection formatCells="0" formatColumns="0" formatRows="0"/>
  <mergeCells count="41">
    <mergeCell ref="Y1:Y2"/>
    <mergeCell ref="Z1:Z2"/>
    <mergeCell ref="AF1:AF2"/>
    <mergeCell ref="AG1:AG2"/>
    <mergeCell ref="S42:S43"/>
    <mergeCell ref="T42:T43"/>
    <mergeCell ref="V1:V2"/>
    <mergeCell ref="W1:W2"/>
    <mergeCell ref="X1:X2"/>
    <mergeCell ref="S1:U1"/>
    <mergeCell ref="AA1:AE1"/>
    <mergeCell ref="P1:P2"/>
    <mergeCell ref="P42:P43"/>
    <mergeCell ref="Q1:Q2"/>
    <mergeCell ref="Q42:Q43"/>
    <mergeCell ref="R1:R2"/>
    <mergeCell ref="R42:R43"/>
    <mergeCell ref="M1:M2"/>
    <mergeCell ref="N1:N2"/>
    <mergeCell ref="N42:N43"/>
    <mergeCell ref="O1:O2"/>
    <mergeCell ref="O42:O43"/>
    <mergeCell ref="H1:H2"/>
    <mergeCell ref="I1:I2"/>
    <mergeCell ref="J1:J2"/>
    <mergeCell ref="K1:K2"/>
    <mergeCell ref="L1:L2"/>
    <mergeCell ref="A1:A2"/>
    <mergeCell ref="A51:A52"/>
    <mergeCell ref="B1:B2"/>
    <mergeCell ref="B51:B52"/>
    <mergeCell ref="C1:C2"/>
    <mergeCell ref="C51:C52"/>
    <mergeCell ref="G1:G2"/>
    <mergeCell ref="G51:G52"/>
    <mergeCell ref="D1:D2"/>
    <mergeCell ref="D51:D52"/>
    <mergeCell ref="E1:E2"/>
    <mergeCell ref="E51:E52"/>
    <mergeCell ref="F1:F2"/>
    <mergeCell ref="F51:F52"/>
  </mergeCells>
  <pageMargins left="0.7" right="0.7" top="0.75" bottom="0.75" header="0.3" footer="0.3"/>
  <pageSetup paperSize="9" orientation="portrait"/>
  <headerFooter>
    <oddFooter>&amp;CNBCU Internal</oddFooter>
  </headerFooter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A1:AG59"/>
  <sheetViews>
    <sheetView workbookViewId="0">
      <pane xSplit="2" topLeftCell="N1" activePane="topRight" state="frozen"/>
      <selection pane="topRight" activeCell="P6" sqref="P6"/>
    </sheetView>
  </sheetViews>
  <sheetFormatPr defaultColWidth="8.81640625" defaultRowHeight="14.5"/>
  <cols>
    <col min="1" max="1" width="13.453125" style="3" customWidth="1"/>
    <col min="2" max="2" width="15" style="3" customWidth="1"/>
    <col min="3" max="3" width="14.1796875" style="3" customWidth="1"/>
    <col min="4" max="4" width="5.453125" style="3" customWidth="1"/>
    <col min="5" max="6" width="9" style="3" customWidth="1"/>
    <col min="7" max="7" width="8.81640625" style="3" customWidth="1"/>
    <col min="8" max="8" width="19.453125" style="3" customWidth="1"/>
    <col min="9" max="9" width="19.81640625" style="3" customWidth="1"/>
    <col min="10" max="10" width="11.453125" style="3" customWidth="1"/>
    <col min="11" max="11" width="13.1796875" style="3" customWidth="1"/>
    <col min="12" max="12" width="11.1796875" style="3" customWidth="1"/>
    <col min="13" max="14" width="13.1796875" style="3" customWidth="1"/>
    <col min="15" max="15" width="13.81640625" style="3" customWidth="1"/>
    <col min="16" max="16" width="22.453125" style="3" customWidth="1"/>
    <col min="17" max="18" width="19.453125" style="3" customWidth="1"/>
    <col min="19" max="19" width="12.1796875" style="3" customWidth="1"/>
    <col min="20" max="20" width="17.453125" style="3" customWidth="1"/>
    <col min="21" max="21" width="9.81640625" style="3" customWidth="1"/>
    <col min="22" max="22" width="18" style="3" customWidth="1"/>
    <col min="23" max="23" width="19.1796875" style="3" customWidth="1"/>
    <col min="24" max="24" width="13.453125" style="3" customWidth="1"/>
    <col min="25" max="25" width="10.1796875" style="3" customWidth="1"/>
    <col min="26" max="26" width="18.1796875" style="3" customWidth="1"/>
    <col min="27" max="27" width="15" style="3" customWidth="1"/>
    <col min="28" max="28" width="9.453125" style="3" customWidth="1"/>
    <col min="29" max="29" width="18" style="3" customWidth="1"/>
    <col min="30" max="30" width="12.1796875" style="3" customWidth="1"/>
    <col min="31" max="31" width="11.453125" style="3" customWidth="1"/>
    <col min="32" max="32" width="6.453125" style="3" customWidth="1"/>
    <col min="33" max="33" width="9.1796875" style="3" customWidth="1"/>
    <col min="34" max="16384" width="8.81640625" style="3"/>
  </cols>
  <sheetData>
    <row r="1" spans="1:33" s="1" customFormat="1" ht="33" customHeight="1">
      <c r="A1" s="172" t="s">
        <v>22</v>
      </c>
      <c r="B1" s="172" t="s">
        <v>47</v>
      </c>
      <c r="C1" s="172" t="s">
        <v>48</v>
      </c>
      <c r="D1" s="172" t="s">
        <v>79</v>
      </c>
      <c r="E1" s="172" t="s">
        <v>80</v>
      </c>
      <c r="F1" s="172" t="s">
        <v>81</v>
      </c>
      <c r="G1" s="172" t="s">
        <v>82</v>
      </c>
      <c r="H1" s="172" t="s">
        <v>50</v>
      </c>
      <c r="I1" s="172" t="s">
        <v>51</v>
      </c>
      <c r="J1" s="172" t="s">
        <v>53</v>
      </c>
      <c r="K1" s="172" t="s">
        <v>54</v>
      </c>
      <c r="L1" s="172" t="s">
        <v>55</v>
      </c>
      <c r="M1" s="172" t="s">
        <v>56</v>
      </c>
      <c r="N1" s="175" t="s">
        <v>57</v>
      </c>
      <c r="O1" s="172" t="s">
        <v>58</v>
      </c>
      <c r="P1" s="172" t="s">
        <v>83</v>
      </c>
      <c r="Q1" s="172" t="s">
        <v>95</v>
      </c>
      <c r="R1" s="172" t="s">
        <v>60</v>
      </c>
      <c r="S1" s="172" t="s">
        <v>61</v>
      </c>
      <c r="T1" s="172"/>
      <c r="U1" s="172"/>
      <c r="V1" s="172" t="s">
        <v>62</v>
      </c>
      <c r="W1" s="172" t="s">
        <v>63</v>
      </c>
      <c r="X1" s="172" t="s">
        <v>64</v>
      </c>
      <c r="Y1" s="172" t="s">
        <v>85</v>
      </c>
      <c r="Z1" s="172" t="s">
        <v>66</v>
      </c>
      <c r="AA1" s="172" t="s">
        <v>67</v>
      </c>
      <c r="AB1" s="172"/>
      <c r="AC1" s="172"/>
      <c r="AD1" s="172"/>
      <c r="AE1" s="172"/>
      <c r="AF1" s="172" t="s">
        <v>3</v>
      </c>
      <c r="AG1" s="172" t="s">
        <v>86</v>
      </c>
    </row>
    <row r="2" spans="1:33" s="1" customFormat="1" ht="55.5" customHeigh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6"/>
      <c r="O2" s="172"/>
      <c r="P2" s="172"/>
      <c r="Q2" s="172"/>
      <c r="R2" s="172"/>
      <c r="S2" s="4" t="s">
        <v>68</v>
      </c>
      <c r="T2" s="4" t="s">
        <v>69</v>
      </c>
      <c r="U2" s="4" t="s">
        <v>70</v>
      </c>
      <c r="V2" s="172"/>
      <c r="W2" s="172"/>
      <c r="X2" s="172"/>
      <c r="Y2" s="172"/>
      <c r="Z2" s="172"/>
      <c r="AA2" s="4" t="s">
        <v>96</v>
      </c>
      <c r="AB2" s="4" t="s">
        <v>97</v>
      </c>
      <c r="AC2" s="4" t="s">
        <v>73</v>
      </c>
      <c r="AD2" s="4" t="s">
        <v>74</v>
      </c>
      <c r="AE2" s="4" t="s">
        <v>75</v>
      </c>
      <c r="AF2" s="172"/>
      <c r="AG2" s="172"/>
    </row>
    <row r="3" spans="1:33" ht="20.25" customHeight="1">
      <c r="A3" s="42" t="s">
        <v>129</v>
      </c>
      <c r="B3" s="56" t="s">
        <v>130</v>
      </c>
      <c r="C3" s="57" t="s">
        <v>131</v>
      </c>
      <c r="D3" s="23">
        <v>1</v>
      </c>
      <c r="E3" s="44">
        <v>44564</v>
      </c>
      <c r="F3" s="44">
        <v>44592</v>
      </c>
      <c r="G3" s="23" t="s">
        <v>132</v>
      </c>
      <c r="H3" s="23">
        <v>194</v>
      </c>
      <c r="I3" s="23">
        <v>164</v>
      </c>
      <c r="J3" s="23">
        <v>164</v>
      </c>
      <c r="K3" s="24">
        <v>164</v>
      </c>
      <c r="L3" s="23">
        <v>14</v>
      </c>
      <c r="M3" s="23">
        <v>0</v>
      </c>
      <c r="N3" s="23">
        <v>68</v>
      </c>
      <c r="O3" s="24">
        <v>150</v>
      </c>
      <c r="P3" s="23">
        <v>150</v>
      </c>
      <c r="Q3" s="28">
        <v>0</v>
      </c>
      <c r="R3" s="29">
        <f t="shared" ref="R3" si="0">($P3/$AG3)*8</f>
        <v>150</v>
      </c>
      <c r="S3" s="30">
        <v>0</v>
      </c>
      <c r="T3" s="30">
        <v>6</v>
      </c>
      <c r="U3" s="26">
        <v>18</v>
      </c>
      <c r="V3" s="29">
        <f t="shared" ref="V3" si="1">(($H3-$J3)/$AG3)*8</f>
        <v>30</v>
      </c>
      <c r="W3" s="31">
        <v>0</v>
      </c>
      <c r="X3" s="29">
        <f>SUM(T3,V3,W3)</f>
        <v>36</v>
      </c>
      <c r="Y3" s="29">
        <f t="shared" ref="Y3" si="2">R3-X3</f>
        <v>114</v>
      </c>
      <c r="Z3" s="36">
        <v>0</v>
      </c>
      <c r="AA3" s="37">
        <f t="shared" ref="AA3:AA4" si="3">J3/I3</f>
        <v>1</v>
      </c>
      <c r="AB3" s="37">
        <f t="shared" ref="AB3:AB4" si="4">J3/H3</f>
        <v>0.84536082474226804</v>
      </c>
      <c r="AC3" s="37">
        <f t="shared" ref="AC3:AC4" si="5">IFERROR(P3/(O3*D3),0)</f>
        <v>1</v>
      </c>
      <c r="AD3" s="37">
        <f t="shared" ref="AD3:AD4" si="6">IFERROR(Y3/R3,0)</f>
        <v>0.76</v>
      </c>
      <c r="AE3" s="38">
        <f>Y3*$B$9</f>
        <v>2850</v>
      </c>
      <c r="AF3" s="23" t="s">
        <v>133</v>
      </c>
      <c r="AG3" s="23">
        <v>8</v>
      </c>
    </row>
    <row r="4" spans="1:33" s="2" customFormat="1">
      <c r="A4" s="8" t="s">
        <v>129</v>
      </c>
      <c r="B4" s="8" t="s">
        <v>90</v>
      </c>
      <c r="C4" s="9" t="s">
        <v>90</v>
      </c>
      <c r="D4" s="9">
        <f ca="1">SUM(D2:INDIRECT("D"&amp;ROW()-1))</f>
        <v>1</v>
      </c>
      <c r="E4" s="9"/>
      <c r="F4" s="9"/>
      <c r="G4" s="9"/>
      <c r="H4" s="9">
        <f ca="1">INDIRECT("H"&amp;ROW()-1)</f>
        <v>194</v>
      </c>
      <c r="I4" s="9">
        <f ca="1">INDIRECT("I"&amp;ROW()-1)</f>
        <v>164</v>
      </c>
      <c r="J4" s="9">
        <f ca="1">INDIRECT("J"&amp;ROW()-1)</f>
        <v>164</v>
      </c>
      <c r="K4" s="9">
        <f ca="1">INDIRECT("K"&amp;ROW()-1)</f>
        <v>164</v>
      </c>
      <c r="L4" s="9">
        <v>14</v>
      </c>
      <c r="M4" s="9">
        <v>0</v>
      </c>
      <c r="N4" s="9">
        <f ca="1">SUM(N2:INDIRECT("N"&amp;ROW()-1))</f>
        <v>68</v>
      </c>
      <c r="O4" s="9">
        <f ca="1">INDIRECT("O"&amp;ROW()-1)</f>
        <v>150</v>
      </c>
      <c r="P4" s="9">
        <f ca="1">SUM(P2:INDIRECT("P"&amp;ROW()-1))</f>
        <v>150</v>
      </c>
      <c r="Q4" s="9">
        <f ca="1">SUM(Q2:INDIRECT("Q"&amp;ROW()-1))</f>
        <v>0</v>
      </c>
      <c r="R4" s="27">
        <f ca="1">SUM(R2:INDIRECT("R"&amp;ROW()-1))</f>
        <v>150</v>
      </c>
      <c r="S4" s="9">
        <f ca="1">SUM(S2:INDIRECT("S"&amp;ROW()-1))</f>
        <v>0</v>
      </c>
      <c r="T4" s="9">
        <f ca="1">SUM(T2:INDIRECT("T"&amp;ROW()-1))</f>
        <v>6</v>
      </c>
      <c r="U4" s="9">
        <f ca="1">SUM(U2:INDIRECT("U"&amp;ROW()-1))</f>
        <v>18</v>
      </c>
      <c r="V4" s="9">
        <f ca="1">SUM(V2:INDIRECT("V"&amp;ROW()-1))</f>
        <v>30</v>
      </c>
      <c r="W4" s="9">
        <f ca="1">SUM(W2:INDIRECT("W"&amp;ROW()-1))</f>
        <v>0</v>
      </c>
      <c r="X4" s="9">
        <f ca="1">SUM(X2:INDIRECT("X"&amp;ROW()-1))</f>
        <v>36</v>
      </c>
      <c r="Y4" s="27">
        <f ca="1">SUM(Y2:INDIRECT("Y"&amp;ROW()-1))</f>
        <v>114</v>
      </c>
      <c r="Z4" s="9">
        <f ca="1">SUM(Z2:INDIRECT("z"&amp;ROW()-1))</f>
        <v>0</v>
      </c>
      <c r="AA4" s="34">
        <f t="shared" ca="1" si="3"/>
        <v>1</v>
      </c>
      <c r="AB4" s="34">
        <f t="shared" ca="1" si="4"/>
        <v>0.84536082474226804</v>
      </c>
      <c r="AC4" s="34">
        <f t="shared" ca="1" si="5"/>
        <v>1</v>
      </c>
      <c r="AD4" s="39">
        <f t="shared" ca="1" si="6"/>
        <v>0.76</v>
      </c>
      <c r="AE4" s="35">
        <f ca="1">SUM(AE2:INDIRECT("AF"&amp;ROW()-1))</f>
        <v>2850</v>
      </c>
      <c r="AF4" s="9"/>
      <c r="AG4" s="9"/>
    </row>
    <row r="5" spans="1:33" s="2" customFormat="1"/>
    <row r="6" spans="1:33" s="2" customFormat="1">
      <c r="A6" s="10"/>
      <c r="B6" s="11"/>
      <c r="E6" s="2">
        <v>11</v>
      </c>
      <c r="Q6" s="13"/>
      <c r="AC6" s="25"/>
    </row>
    <row r="7" spans="1:33" s="2" customFormat="1">
      <c r="A7" s="10"/>
      <c r="B7" s="11"/>
      <c r="Q7" s="13"/>
      <c r="R7" s="45"/>
      <c r="AC7" s="25"/>
    </row>
    <row r="8" spans="1:33" s="2" customFormat="1">
      <c r="A8" s="10"/>
      <c r="B8" s="11"/>
      <c r="Q8" s="13"/>
      <c r="S8" s="58"/>
      <c r="AC8" s="25"/>
    </row>
    <row r="9" spans="1:33" s="2" customFormat="1">
      <c r="A9" s="10" t="s">
        <v>91</v>
      </c>
      <c r="B9" s="11">
        <v>25</v>
      </c>
      <c r="P9" s="25"/>
      <c r="Q9" s="13"/>
      <c r="AC9" s="25"/>
    </row>
    <row r="10" spans="1:33">
      <c r="A10" s="10" t="s">
        <v>92</v>
      </c>
      <c r="B10" s="12">
        <v>8</v>
      </c>
      <c r="C10" s="2"/>
      <c r="D10" s="2"/>
      <c r="E10" s="2"/>
      <c r="F10" s="2"/>
      <c r="G10" s="2"/>
      <c r="H10" s="2"/>
      <c r="I10" s="2"/>
      <c r="J10" s="25"/>
      <c r="K10" s="25"/>
      <c r="L10" s="2"/>
      <c r="M10" s="2"/>
      <c r="N10" s="2"/>
      <c r="O10" s="2"/>
      <c r="P10" s="2"/>
      <c r="Q10" s="1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42" spans="14:33">
      <c r="N42" s="172" t="s">
        <v>22</v>
      </c>
      <c r="O42" s="172" t="s">
        <v>82</v>
      </c>
      <c r="P42" s="172" t="s">
        <v>60</v>
      </c>
      <c r="Q42" s="172" t="s">
        <v>85</v>
      </c>
      <c r="R42" s="172" t="s">
        <v>74</v>
      </c>
      <c r="S42" s="172" t="s">
        <v>75</v>
      </c>
      <c r="T42" s="173"/>
      <c r="AG42" s="13"/>
    </row>
    <row r="43" spans="14:33">
      <c r="N43" s="172"/>
      <c r="O43" s="172"/>
      <c r="P43" s="172"/>
      <c r="Q43" s="172"/>
      <c r="R43" s="172"/>
      <c r="S43" s="172"/>
      <c r="T43" s="173"/>
      <c r="AG43" s="13"/>
    </row>
    <row r="44" spans="14:33">
      <c r="N44" s="23" t="s">
        <v>129</v>
      </c>
      <c r="O44" s="23" t="s">
        <v>26</v>
      </c>
      <c r="P44" s="26" t="e">
        <f>SUMIFS(#REF!,#REF!,O44)</f>
        <v>#REF!</v>
      </c>
      <c r="Q44" s="26" t="e">
        <f>SUMIFS(#REF!,#REF!,O44)</f>
        <v>#REF!</v>
      </c>
      <c r="R44" s="32">
        <f>IFERROR(Q44/P44,0)</f>
        <v>0</v>
      </c>
      <c r="S44" s="33" t="e">
        <f>SUMIFS(#REF!,#REF!,O44)</f>
        <v>#REF!</v>
      </c>
      <c r="T44" s="18"/>
      <c r="AG44" s="15"/>
    </row>
    <row r="45" spans="14:33">
      <c r="N45" s="23" t="s">
        <v>129</v>
      </c>
      <c r="O45" s="23" t="s">
        <v>27</v>
      </c>
      <c r="P45" s="26" t="e">
        <f>SUMIFS(#REF!,#REF!,O45)</f>
        <v>#REF!</v>
      </c>
      <c r="Q45" s="26" t="e">
        <f>SUMIFS(#REF!,#REF!,O45)</f>
        <v>#REF!</v>
      </c>
      <c r="R45" s="32">
        <f t="shared" ref="R45:R56" si="7">IFERROR(Q45/P45,0)</f>
        <v>0</v>
      </c>
      <c r="S45" s="33" t="e">
        <f>SUMIFS(#REF!,#REF!,O45)</f>
        <v>#REF!</v>
      </c>
      <c r="T45" s="18"/>
      <c r="AG45" s="15"/>
    </row>
    <row r="46" spans="14:33">
      <c r="N46" s="23" t="s">
        <v>129</v>
      </c>
      <c r="O46" s="23" t="s">
        <v>28</v>
      </c>
      <c r="P46" s="26" t="e">
        <f>SUMIFS(#REF!,#REF!,O46)</f>
        <v>#REF!</v>
      </c>
      <c r="Q46" s="26" t="e">
        <f>SUMIFS(#REF!,#REF!,O46)</f>
        <v>#REF!</v>
      </c>
      <c r="R46" s="32">
        <f t="shared" si="7"/>
        <v>0</v>
      </c>
      <c r="S46" s="33" t="e">
        <f>SUMIFS(#REF!,#REF!,O46)</f>
        <v>#REF!</v>
      </c>
      <c r="T46" s="18"/>
      <c r="AG46" s="15"/>
    </row>
    <row r="47" spans="14:33">
      <c r="N47" s="23" t="s">
        <v>129</v>
      </c>
      <c r="O47" s="23" t="s">
        <v>29</v>
      </c>
      <c r="P47" s="26" t="e">
        <f>SUMIFS(#REF!,#REF!,O47)</f>
        <v>#REF!</v>
      </c>
      <c r="Q47" s="26" t="e">
        <f>SUMIFS(#REF!,#REF!,O47)</f>
        <v>#REF!</v>
      </c>
      <c r="R47" s="32">
        <f t="shared" si="7"/>
        <v>0</v>
      </c>
      <c r="S47" s="33" t="e">
        <f>SUMIFS(#REF!,#REF!,O47)</f>
        <v>#REF!</v>
      </c>
      <c r="T47" s="18"/>
      <c r="AG47" s="15"/>
    </row>
    <row r="48" spans="14:33">
      <c r="N48" s="23" t="s">
        <v>129</v>
      </c>
      <c r="O48" s="23" t="s">
        <v>30</v>
      </c>
      <c r="P48" s="26" t="e">
        <f>SUMIFS(#REF!,#REF!,O48)</f>
        <v>#REF!</v>
      </c>
      <c r="Q48" s="26" t="e">
        <f>SUMIFS(#REF!,#REF!,O48)</f>
        <v>#REF!</v>
      </c>
      <c r="R48" s="32">
        <f t="shared" si="7"/>
        <v>0</v>
      </c>
      <c r="S48" s="33" t="e">
        <f>SUMIFS(#REF!,#REF!,O48)</f>
        <v>#REF!</v>
      </c>
      <c r="T48" s="18"/>
      <c r="AG48" s="15"/>
    </row>
    <row r="49" spans="1:33">
      <c r="N49" s="23" t="s">
        <v>129</v>
      </c>
      <c r="O49" s="23" t="s">
        <v>31</v>
      </c>
      <c r="P49" s="26" t="e">
        <f>SUMIFS(#REF!,#REF!,O49)</f>
        <v>#REF!</v>
      </c>
      <c r="Q49" s="26" t="e">
        <f>SUMIFS(#REF!,#REF!,O49)</f>
        <v>#REF!</v>
      </c>
      <c r="R49" s="32">
        <f t="shared" si="7"/>
        <v>0</v>
      </c>
      <c r="S49" s="33" t="e">
        <f>SUMIFS(#REF!,#REF!,O49)</f>
        <v>#REF!</v>
      </c>
      <c r="T49" s="18"/>
      <c r="AG49" s="15"/>
    </row>
    <row r="50" spans="1:33" ht="15" customHeight="1">
      <c r="N50" s="23" t="s">
        <v>129</v>
      </c>
      <c r="O50" s="23" t="s">
        <v>32</v>
      </c>
      <c r="P50" s="26" t="e">
        <f>SUMIFS(#REF!,#REF!,O50)</f>
        <v>#REF!</v>
      </c>
      <c r="Q50" s="26" t="e">
        <f>SUMIFS(#REF!,#REF!,O50)</f>
        <v>#REF!</v>
      </c>
      <c r="R50" s="32">
        <f t="shared" si="7"/>
        <v>0</v>
      </c>
      <c r="S50" s="33" t="e">
        <f>SUMIFS(#REF!,#REF!,O50)</f>
        <v>#REF!</v>
      </c>
      <c r="T50" s="18"/>
      <c r="AG50" s="15"/>
    </row>
    <row r="51" spans="1:33">
      <c r="A51" s="173"/>
      <c r="B51" s="173"/>
      <c r="C51" s="173"/>
      <c r="D51" s="173"/>
      <c r="E51" s="173"/>
      <c r="F51" s="173"/>
      <c r="G51" s="173"/>
      <c r="N51" s="23" t="s">
        <v>129</v>
      </c>
      <c r="O51" s="23" t="s">
        <v>33</v>
      </c>
      <c r="P51" s="26" t="e">
        <f>SUMIFS(#REF!,#REF!,O51)</f>
        <v>#REF!</v>
      </c>
      <c r="Q51" s="26" t="e">
        <f>SUMIFS(#REF!,#REF!,O51)</f>
        <v>#REF!</v>
      </c>
      <c r="R51" s="32">
        <f t="shared" si="7"/>
        <v>0</v>
      </c>
      <c r="S51" s="33" t="e">
        <f>SUMIFS(#REF!,#REF!,O51)</f>
        <v>#REF!</v>
      </c>
      <c r="T51" s="18"/>
      <c r="AG51" s="15"/>
    </row>
    <row r="52" spans="1:33">
      <c r="A52" s="173"/>
      <c r="B52" s="173"/>
      <c r="C52" s="173"/>
      <c r="D52" s="173"/>
      <c r="E52" s="173"/>
      <c r="F52" s="173"/>
      <c r="G52" s="173"/>
      <c r="N52" s="23" t="s">
        <v>129</v>
      </c>
      <c r="O52" s="23" t="s">
        <v>34</v>
      </c>
      <c r="P52" s="26" t="e">
        <f>SUMIFS(#REF!,#REF!,O52)</f>
        <v>#REF!</v>
      </c>
      <c r="Q52" s="26" t="e">
        <f>SUMIFS(#REF!,#REF!,O52)</f>
        <v>#REF!</v>
      </c>
      <c r="R52" s="32">
        <f t="shared" si="7"/>
        <v>0</v>
      </c>
      <c r="S52" s="33" t="e">
        <f>SUMIFS(#REF!,#REF!,O52)</f>
        <v>#REF!</v>
      </c>
      <c r="T52" s="18"/>
      <c r="AG52" s="15"/>
    </row>
    <row r="53" spans="1:33">
      <c r="A53" s="14"/>
      <c r="B53" s="15"/>
      <c r="C53" s="15"/>
      <c r="D53" s="16"/>
      <c r="E53" s="16"/>
      <c r="F53" s="17"/>
      <c r="G53" s="18"/>
      <c r="N53" s="23" t="s">
        <v>129</v>
      </c>
      <c r="O53" s="23" t="s">
        <v>35</v>
      </c>
      <c r="P53" s="26" t="e">
        <f>SUMIFS(#REF!,#REF!,O53)</f>
        <v>#REF!</v>
      </c>
      <c r="Q53" s="26" t="e">
        <f>SUMIFS(#REF!,#REF!,O53)</f>
        <v>#REF!</v>
      </c>
      <c r="R53" s="32">
        <f t="shared" si="7"/>
        <v>0</v>
      </c>
      <c r="S53" s="33" t="e">
        <f>SUMIFS(#REF!,#REF!,O53)</f>
        <v>#REF!</v>
      </c>
      <c r="T53" s="18"/>
      <c r="AG53" s="15"/>
    </row>
    <row r="54" spans="1:33">
      <c r="A54" s="14"/>
      <c r="B54" s="15"/>
      <c r="C54" s="15"/>
      <c r="D54" s="16"/>
      <c r="E54" s="16"/>
      <c r="F54" s="17"/>
      <c r="G54" s="18"/>
      <c r="N54" s="23" t="s">
        <v>129</v>
      </c>
      <c r="O54" s="23" t="s">
        <v>36</v>
      </c>
      <c r="P54" s="26" t="e">
        <f>SUMIFS(#REF!,#REF!,O54)</f>
        <v>#REF!</v>
      </c>
      <c r="Q54" s="26" t="e">
        <f>SUMIFS(#REF!,#REF!,O54)</f>
        <v>#REF!</v>
      </c>
      <c r="R54" s="32">
        <f t="shared" si="7"/>
        <v>0</v>
      </c>
      <c r="S54" s="33" t="e">
        <f>SUMIFS(#REF!,#REF!,O54)</f>
        <v>#REF!</v>
      </c>
      <c r="T54" s="18"/>
      <c r="AG54" s="15"/>
    </row>
    <row r="55" spans="1:33">
      <c r="A55" s="14"/>
      <c r="B55" s="15"/>
      <c r="C55" s="15"/>
      <c r="D55" s="16"/>
      <c r="E55" s="16"/>
      <c r="F55" s="17"/>
      <c r="G55" s="18"/>
      <c r="N55" s="23" t="s">
        <v>129</v>
      </c>
      <c r="O55" s="23" t="s">
        <v>37</v>
      </c>
      <c r="P55" s="26" t="e">
        <f>SUMIFS(#REF!,#REF!,O55)</f>
        <v>#REF!</v>
      </c>
      <c r="Q55" s="26" t="e">
        <f>SUMIFS(#REF!,#REF!,O55)</f>
        <v>#REF!</v>
      </c>
      <c r="R55" s="32">
        <f t="shared" si="7"/>
        <v>0</v>
      </c>
      <c r="S55" s="33" t="e">
        <f>SUMIFS(#REF!,#REF!,O55)</f>
        <v>#REF!</v>
      </c>
      <c r="T55" s="18"/>
      <c r="AG55" s="15"/>
    </row>
    <row r="56" spans="1:33">
      <c r="A56" s="14"/>
      <c r="B56" s="15"/>
      <c r="C56" s="15"/>
      <c r="D56" s="16"/>
      <c r="E56" s="16"/>
      <c r="F56" s="17"/>
      <c r="G56" s="18"/>
      <c r="N56" s="9" t="s">
        <v>129</v>
      </c>
      <c r="O56" s="9"/>
      <c r="P56" s="27" t="e">
        <f>SUM(P44:P55)</f>
        <v>#REF!</v>
      </c>
      <c r="Q56" s="27" t="e">
        <f>SUM(Q44:Q55)</f>
        <v>#REF!</v>
      </c>
      <c r="R56" s="34">
        <f t="shared" si="7"/>
        <v>0</v>
      </c>
      <c r="S56" s="35" t="e">
        <f>SUM(S44:S55)</f>
        <v>#REF!</v>
      </c>
      <c r="T56" s="22"/>
      <c r="AG56" s="13"/>
    </row>
    <row r="57" spans="1:33">
      <c r="A57" s="14"/>
      <c r="B57" s="15"/>
      <c r="C57" s="15"/>
      <c r="D57" s="16"/>
      <c r="E57" s="16"/>
      <c r="F57" s="17"/>
      <c r="G57" s="18"/>
    </row>
    <row r="58" spans="1:33">
      <c r="A58" s="19"/>
      <c r="B58" s="19"/>
      <c r="C58" s="13"/>
      <c r="D58" s="20"/>
      <c r="E58" s="20"/>
      <c r="F58" s="21"/>
      <c r="G58" s="22"/>
    </row>
    <row r="59" spans="1:33">
      <c r="A59" s="10" t="s">
        <v>91</v>
      </c>
      <c r="B59" s="11">
        <v>25</v>
      </c>
      <c r="C59" s="2"/>
      <c r="D59" s="2"/>
      <c r="E59" s="2"/>
      <c r="F59" s="2"/>
      <c r="G59" s="2"/>
    </row>
  </sheetData>
  <sheetProtection formatCells="0" formatColumns="0" formatRows="0"/>
  <mergeCells count="41">
    <mergeCell ref="Y1:Y2"/>
    <mergeCell ref="Z1:Z2"/>
    <mergeCell ref="AF1:AF2"/>
    <mergeCell ref="AG1:AG2"/>
    <mergeCell ref="S42:S43"/>
    <mergeCell ref="T42:T43"/>
    <mergeCell ref="V1:V2"/>
    <mergeCell ref="W1:W2"/>
    <mergeCell ref="X1:X2"/>
    <mergeCell ref="S1:U1"/>
    <mergeCell ref="AA1:AE1"/>
    <mergeCell ref="P1:P2"/>
    <mergeCell ref="P42:P43"/>
    <mergeCell ref="Q1:Q2"/>
    <mergeCell ref="Q42:Q43"/>
    <mergeCell ref="R1:R2"/>
    <mergeCell ref="R42:R43"/>
    <mergeCell ref="M1:M2"/>
    <mergeCell ref="N1:N2"/>
    <mergeCell ref="N42:N43"/>
    <mergeCell ref="O1:O2"/>
    <mergeCell ref="O42:O43"/>
    <mergeCell ref="H1:H2"/>
    <mergeCell ref="I1:I2"/>
    <mergeCell ref="J1:J2"/>
    <mergeCell ref="K1:K2"/>
    <mergeCell ref="L1:L2"/>
    <mergeCell ref="A1:A2"/>
    <mergeCell ref="A51:A52"/>
    <mergeCell ref="B1:B2"/>
    <mergeCell ref="B51:B52"/>
    <mergeCell ref="C1:C2"/>
    <mergeCell ref="C51:C52"/>
    <mergeCell ref="G1:G2"/>
    <mergeCell ref="G51:G52"/>
    <mergeCell ref="D1:D2"/>
    <mergeCell ref="D51:D52"/>
    <mergeCell ref="E1:E2"/>
    <mergeCell ref="E51:E52"/>
    <mergeCell ref="F1:F2"/>
    <mergeCell ref="F51:F52"/>
  </mergeCells>
  <pageMargins left="0.7" right="0.7" top="0.75" bottom="0.75" header="0.3" footer="0.3"/>
  <pageSetup paperSize="9" orientation="portrait"/>
  <headerFooter>
    <oddFooter>&amp;CNBCU Internal</oddFooter>
  </headerFooter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AG61"/>
  <sheetViews>
    <sheetView zoomScale="124" zoomScaleNormal="124" workbookViewId="0">
      <pane xSplit="2" topLeftCell="C1" activePane="topRight" state="frozen"/>
      <selection pane="topRight" activeCell="I9" sqref="I9"/>
    </sheetView>
  </sheetViews>
  <sheetFormatPr defaultColWidth="8.81640625" defaultRowHeight="14.5"/>
  <cols>
    <col min="1" max="1" width="13.453125" style="3" customWidth="1"/>
    <col min="2" max="2" width="19.453125" style="3" customWidth="1"/>
    <col min="3" max="3" width="9" style="3" customWidth="1"/>
    <col min="4" max="4" width="4.453125" style="3" customWidth="1"/>
    <col min="5" max="6" width="9" style="3" customWidth="1"/>
    <col min="7" max="7" width="8.81640625" style="3" customWidth="1"/>
    <col min="8" max="8" width="19.453125" style="3" customWidth="1"/>
    <col min="9" max="9" width="19.81640625" style="3" customWidth="1"/>
    <col min="10" max="10" width="11.453125" style="3" customWidth="1"/>
    <col min="11" max="11" width="13.1796875" style="3" customWidth="1"/>
    <col min="12" max="12" width="11.1796875" style="3" customWidth="1"/>
    <col min="13" max="14" width="13.1796875" style="3" customWidth="1"/>
    <col min="15" max="15" width="13.81640625" style="3" customWidth="1"/>
    <col min="16" max="16" width="22.453125" style="3" customWidth="1"/>
    <col min="17" max="18" width="19.453125" style="3" customWidth="1"/>
    <col min="19" max="19" width="12.1796875" style="3" customWidth="1"/>
    <col min="20" max="20" width="17.453125" style="3" customWidth="1"/>
    <col min="21" max="21" width="9.81640625" style="3" customWidth="1"/>
    <col min="22" max="22" width="18" style="3" customWidth="1"/>
    <col min="23" max="23" width="19.1796875" style="3" customWidth="1"/>
    <col min="24" max="24" width="13.453125" style="3" customWidth="1"/>
    <col min="25" max="25" width="10.1796875" style="3" customWidth="1"/>
    <col min="26" max="26" width="18.1796875" style="3" customWidth="1"/>
    <col min="27" max="27" width="15" style="3" customWidth="1"/>
    <col min="28" max="28" width="9.453125" style="3" customWidth="1"/>
    <col min="29" max="29" width="18" style="3" customWidth="1"/>
    <col min="30" max="30" width="12.1796875" style="3" customWidth="1"/>
    <col min="31" max="31" width="11.453125" style="3" customWidth="1"/>
    <col min="32" max="32" width="6" style="3" customWidth="1"/>
    <col min="33" max="33" width="9.1796875" style="3" customWidth="1"/>
    <col min="34" max="16384" width="8.81640625" style="3"/>
  </cols>
  <sheetData>
    <row r="1" spans="1:33" s="1" customFormat="1" ht="33" customHeight="1">
      <c r="A1" s="172" t="s">
        <v>22</v>
      </c>
      <c r="B1" s="172" t="s">
        <v>47</v>
      </c>
      <c r="C1" s="172" t="s">
        <v>48</v>
      </c>
      <c r="D1" s="172" t="s">
        <v>79</v>
      </c>
      <c r="E1" s="172" t="s">
        <v>80</v>
      </c>
      <c r="F1" s="172" t="s">
        <v>81</v>
      </c>
      <c r="G1" s="172" t="s">
        <v>82</v>
      </c>
      <c r="H1" s="172" t="s">
        <v>50</v>
      </c>
      <c r="I1" s="172" t="s">
        <v>51</v>
      </c>
      <c r="J1" s="172" t="s">
        <v>53</v>
      </c>
      <c r="K1" s="172" t="s">
        <v>54</v>
      </c>
      <c r="L1" s="172" t="s">
        <v>55</v>
      </c>
      <c r="M1" s="172" t="s">
        <v>56</v>
      </c>
      <c r="N1" s="175" t="s">
        <v>57</v>
      </c>
      <c r="O1" s="172" t="s">
        <v>58</v>
      </c>
      <c r="P1" s="172" t="s">
        <v>83</v>
      </c>
      <c r="Q1" s="172" t="s">
        <v>95</v>
      </c>
      <c r="R1" s="172" t="s">
        <v>60</v>
      </c>
      <c r="S1" s="172" t="s">
        <v>61</v>
      </c>
      <c r="T1" s="172"/>
      <c r="U1" s="172"/>
      <c r="V1" s="172" t="s">
        <v>62</v>
      </c>
      <c r="W1" s="172" t="s">
        <v>63</v>
      </c>
      <c r="X1" s="172" t="s">
        <v>64</v>
      </c>
      <c r="Y1" s="172" t="s">
        <v>85</v>
      </c>
      <c r="Z1" s="172" t="s">
        <v>66</v>
      </c>
      <c r="AA1" s="172" t="s">
        <v>67</v>
      </c>
      <c r="AB1" s="172"/>
      <c r="AC1" s="172"/>
      <c r="AD1" s="172"/>
      <c r="AE1" s="172"/>
      <c r="AF1" s="172" t="s">
        <v>3</v>
      </c>
      <c r="AG1" s="172" t="s">
        <v>86</v>
      </c>
    </row>
    <row r="2" spans="1:33" s="1" customFormat="1" ht="55.5" customHeigh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6"/>
      <c r="O2" s="172"/>
      <c r="P2" s="172"/>
      <c r="Q2" s="172"/>
      <c r="R2" s="172"/>
      <c r="S2" s="4" t="s">
        <v>68</v>
      </c>
      <c r="T2" s="4" t="s">
        <v>69</v>
      </c>
      <c r="U2" s="4" t="s">
        <v>70</v>
      </c>
      <c r="V2" s="172"/>
      <c r="W2" s="172"/>
      <c r="X2" s="172"/>
      <c r="Y2" s="172"/>
      <c r="Z2" s="172"/>
      <c r="AA2" s="4" t="s">
        <v>96</v>
      </c>
      <c r="AB2" s="4" t="s">
        <v>97</v>
      </c>
      <c r="AC2" s="4" t="s">
        <v>73</v>
      </c>
      <c r="AD2" s="4" t="s">
        <v>74</v>
      </c>
      <c r="AE2" s="4" t="s">
        <v>75</v>
      </c>
      <c r="AF2" s="172"/>
      <c r="AG2" s="172"/>
    </row>
    <row r="3" spans="1:33" ht="17.25" customHeight="1">
      <c r="A3" s="42" t="s">
        <v>134</v>
      </c>
      <c r="B3" s="42" t="s">
        <v>135</v>
      </c>
      <c r="C3" s="42" t="s">
        <v>27</v>
      </c>
      <c r="D3" s="23">
        <v>1</v>
      </c>
      <c r="E3" s="44">
        <v>44249</v>
      </c>
      <c r="F3" s="44">
        <v>44253</v>
      </c>
      <c r="G3" s="23" t="s">
        <v>27</v>
      </c>
      <c r="H3" s="23">
        <v>172</v>
      </c>
      <c r="I3" s="23">
        <v>172</v>
      </c>
      <c r="J3" s="23">
        <v>172</v>
      </c>
      <c r="K3" s="24">
        <v>172</v>
      </c>
      <c r="L3" s="23">
        <v>0</v>
      </c>
      <c r="M3" s="23">
        <v>0</v>
      </c>
      <c r="N3" s="23">
        <v>44</v>
      </c>
      <c r="O3" s="24">
        <v>172</v>
      </c>
      <c r="P3" s="23">
        <v>172</v>
      </c>
      <c r="Q3" s="28">
        <v>0</v>
      </c>
      <c r="R3" s="29">
        <f>($P3/$AG3)*8</f>
        <v>137.6</v>
      </c>
      <c r="S3" s="30">
        <v>12</v>
      </c>
      <c r="T3" s="30">
        <v>16</v>
      </c>
      <c r="U3" s="26">
        <v>78</v>
      </c>
      <c r="V3" s="29">
        <v>0</v>
      </c>
      <c r="W3" s="31">
        <v>0</v>
      </c>
      <c r="X3" s="29">
        <f>SUM(T3,V3,W3)</f>
        <v>16</v>
      </c>
      <c r="Y3" s="29">
        <f t="shared" ref="Y3:Y5" si="0">R3-X3</f>
        <v>121.6</v>
      </c>
      <c r="Z3" s="36">
        <v>0</v>
      </c>
      <c r="AA3" s="37">
        <f>J3/I3</f>
        <v>1</v>
      </c>
      <c r="AB3" s="37">
        <f t="shared" ref="AB3:AB5" si="1">J3/H3</f>
        <v>1</v>
      </c>
      <c r="AC3" s="37">
        <f t="shared" ref="AC3:AC5" si="2">IFERROR(P3/(O3*D3),0)</f>
        <v>1</v>
      </c>
      <c r="AD3" s="37">
        <f t="shared" ref="AD3:AD5" si="3">IFERROR(Y3/R3,0)</f>
        <v>0.88372093023255816</v>
      </c>
      <c r="AE3" s="38">
        <f>Y3*$B$11</f>
        <v>3040</v>
      </c>
      <c r="AF3" s="23"/>
      <c r="AG3" s="23">
        <v>10</v>
      </c>
    </row>
    <row r="4" spans="1:33" ht="17.25" customHeight="1">
      <c r="A4" s="42" t="s">
        <v>134</v>
      </c>
      <c r="B4" s="42" t="s">
        <v>135</v>
      </c>
      <c r="C4" s="42" t="s">
        <v>28</v>
      </c>
      <c r="D4" s="23">
        <v>1</v>
      </c>
      <c r="E4" s="44">
        <v>44256</v>
      </c>
      <c r="F4" s="44">
        <v>44260</v>
      </c>
      <c r="G4" s="23" t="s">
        <v>28</v>
      </c>
      <c r="H4" s="23">
        <v>178</v>
      </c>
      <c r="I4" s="23">
        <v>172</v>
      </c>
      <c r="J4" s="23">
        <v>172</v>
      </c>
      <c r="K4" s="24">
        <v>172</v>
      </c>
      <c r="L4" s="23">
        <v>0</v>
      </c>
      <c r="M4" s="23">
        <v>0</v>
      </c>
      <c r="N4" s="23">
        <v>0</v>
      </c>
      <c r="O4" s="24">
        <v>172</v>
      </c>
      <c r="P4" s="23">
        <v>172</v>
      </c>
      <c r="Q4" s="28">
        <v>0</v>
      </c>
      <c r="R4" s="29">
        <f>($P4/$AG4)*8</f>
        <v>137.6</v>
      </c>
      <c r="S4" s="30">
        <v>14</v>
      </c>
      <c r="T4" s="30">
        <v>0</v>
      </c>
      <c r="U4" s="26">
        <v>0</v>
      </c>
      <c r="V4" s="29">
        <v>0</v>
      </c>
      <c r="W4" s="31">
        <v>0</v>
      </c>
      <c r="X4" s="29">
        <f>SUM(T4,V4,W4)</f>
        <v>0</v>
      </c>
      <c r="Y4" s="29">
        <f t="shared" si="0"/>
        <v>137.6</v>
      </c>
      <c r="Z4" s="36">
        <v>0</v>
      </c>
      <c r="AA4" s="37">
        <f>J4/I4</f>
        <v>1</v>
      </c>
      <c r="AB4" s="37">
        <f t="shared" si="1"/>
        <v>0.9662921348314607</v>
      </c>
      <c r="AC4" s="37">
        <f t="shared" si="2"/>
        <v>1</v>
      </c>
      <c r="AD4" s="37">
        <f t="shared" si="3"/>
        <v>1</v>
      </c>
      <c r="AE4" s="38">
        <f>Y4*$B$11</f>
        <v>3440</v>
      </c>
      <c r="AF4" s="23"/>
      <c r="AG4" s="23">
        <v>10</v>
      </c>
    </row>
    <row r="5" spans="1:33" ht="17.25" customHeight="1">
      <c r="A5" s="42" t="s">
        <v>134</v>
      </c>
      <c r="B5" s="42" t="s">
        <v>135</v>
      </c>
      <c r="C5" s="42" t="s">
        <v>33</v>
      </c>
      <c r="D5" s="23">
        <v>1</v>
      </c>
      <c r="E5" s="44">
        <v>44410</v>
      </c>
      <c r="F5" s="44">
        <v>44434</v>
      </c>
      <c r="G5" s="23" t="s">
        <v>33</v>
      </c>
      <c r="H5" s="23">
        <v>178</v>
      </c>
      <c r="I5" s="23">
        <v>178</v>
      </c>
      <c r="J5" s="23">
        <v>178</v>
      </c>
      <c r="K5" s="24">
        <v>173</v>
      </c>
      <c r="L5" s="23">
        <v>0</v>
      </c>
      <c r="M5" s="23">
        <v>1</v>
      </c>
      <c r="N5" s="23">
        <v>8</v>
      </c>
      <c r="O5" s="24">
        <v>173</v>
      </c>
      <c r="P5" s="23">
        <v>173</v>
      </c>
      <c r="Q5" s="28">
        <v>6</v>
      </c>
      <c r="R5" s="29">
        <f>($P5/$AG5)*8</f>
        <v>138.4</v>
      </c>
      <c r="S5" s="30">
        <v>12</v>
      </c>
      <c r="T5" s="30">
        <v>4</v>
      </c>
      <c r="U5" s="26">
        <v>6</v>
      </c>
      <c r="V5" s="29">
        <v>0</v>
      </c>
      <c r="W5" s="31">
        <v>0</v>
      </c>
      <c r="X5" s="29">
        <f>SUM(T5,V5,W5)</f>
        <v>4</v>
      </c>
      <c r="Y5" s="29">
        <f t="shared" si="0"/>
        <v>134.4</v>
      </c>
      <c r="Z5" s="36">
        <v>0</v>
      </c>
      <c r="AA5" s="37">
        <f>J5/I5</f>
        <v>1</v>
      </c>
      <c r="AB5" s="37">
        <f t="shared" si="1"/>
        <v>1</v>
      </c>
      <c r="AC5" s="37">
        <f t="shared" si="2"/>
        <v>1</v>
      </c>
      <c r="AD5" s="37">
        <f t="shared" si="3"/>
        <v>0.97109826589595372</v>
      </c>
      <c r="AE5" s="38">
        <f>Y5*$B$11</f>
        <v>3360</v>
      </c>
      <c r="AF5" s="23"/>
      <c r="AG5" s="23">
        <v>10</v>
      </c>
    </row>
    <row r="6" spans="1:33" s="2" customFormat="1">
      <c r="A6" s="8" t="s">
        <v>134</v>
      </c>
      <c r="B6" s="8" t="s">
        <v>90</v>
      </c>
      <c r="C6" s="9" t="s">
        <v>90</v>
      </c>
      <c r="D6" s="9">
        <f ca="1">SUM(D3:INDIRECT("D"&amp;ROW()-1))</f>
        <v>3</v>
      </c>
      <c r="E6" s="9"/>
      <c r="F6" s="9"/>
      <c r="G6" s="9"/>
      <c r="H6" s="9">
        <f ca="1">INDIRECT("H"&amp;ROW()-1)</f>
        <v>178</v>
      </c>
      <c r="I6" s="9">
        <f ca="1">INDIRECT("I"&amp;ROW()-1)</f>
        <v>178</v>
      </c>
      <c r="J6" s="9">
        <f ca="1">INDIRECT("J"&amp;ROW()-1)</f>
        <v>178</v>
      </c>
      <c r="K6" s="9">
        <f ca="1">INDIRECT("K"&amp;ROW()-1)</f>
        <v>173</v>
      </c>
      <c r="L6" s="9">
        <f ca="1">INDIRECT("L"&amp;ROW()-1)</f>
        <v>0</v>
      </c>
      <c r="M6" s="9">
        <f ca="1">SUM(M3:INDIRECT("M"&amp;ROW()-1))</f>
        <v>1</v>
      </c>
      <c r="N6" s="9">
        <f ca="1">SUM(N3:INDIRECT("N"&amp;ROW()-1))</f>
        <v>52</v>
      </c>
      <c r="O6" s="9">
        <f ca="1">INDIRECT("O"&amp;ROW()-1)</f>
        <v>173</v>
      </c>
      <c r="P6" s="9">
        <f ca="1">SUM(P3:INDIRECT("P"&amp;ROW()-1))</f>
        <v>517</v>
      </c>
      <c r="Q6" s="9">
        <f ca="1">SUM(Q3:INDIRECT("Q"&amp;ROW()-1))</f>
        <v>6</v>
      </c>
      <c r="R6" s="27">
        <f ca="1">SUM(R3:INDIRECT("R"&amp;ROW()-1))</f>
        <v>413.6</v>
      </c>
      <c r="S6" s="9">
        <f ca="1">SUM(S3:INDIRECT("S"&amp;ROW()-1))</f>
        <v>38</v>
      </c>
      <c r="T6" s="9">
        <f ca="1">SUM(T3:INDIRECT("T"&amp;ROW()-1))</f>
        <v>20</v>
      </c>
      <c r="U6" s="9">
        <f ca="1">SUM(U3:INDIRECT("U"&amp;ROW()-1))</f>
        <v>84</v>
      </c>
      <c r="V6" s="9">
        <f ca="1">SUM(V3:INDIRECT("V"&amp;ROW()-1))</f>
        <v>0</v>
      </c>
      <c r="W6" s="9">
        <f ca="1">SUM(W3:INDIRECT("W"&amp;ROW()-1))</f>
        <v>0</v>
      </c>
      <c r="X6" s="9">
        <f ca="1">SUM(X3:INDIRECT("X"&amp;ROW()-1))</f>
        <v>20</v>
      </c>
      <c r="Y6" s="27">
        <f ca="1">SUM(Y3:INDIRECT("Y"&amp;ROW()-1))</f>
        <v>393.6</v>
      </c>
      <c r="Z6" s="9">
        <f ca="1">SUM(Z3:INDIRECT("z"&amp;ROW()-1))</f>
        <v>0</v>
      </c>
      <c r="AA6" s="34">
        <f t="shared" ref="AA6" ca="1" si="4">J6/I6</f>
        <v>1</v>
      </c>
      <c r="AB6" s="34">
        <f t="shared" ref="AB6" ca="1" si="5">J6/H6</f>
        <v>1</v>
      </c>
      <c r="AC6" s="34">
        <f t="shared" ref="AC6" ca="1" si="6">IFERROR(P6/(O6*D6),0)</f>
        <v>0.9961464354527938</v>
      </c>
      <c r="AD6" s="39">
        <f t="shared" ref="AD6" ca="1" si="7">IFERROR(Y6/R6,0)</f>
        <v>0.95164410058027082</v>
      </c>
      <c r="AE6" s="35">
        <f ca="1">SUM(AE3:INDIRECT("AF"&amp;ROW()-1))</f>
        <v>9840</v>
      </c>
      <c r="AF6" s="9"/>
      <c r="AG6" s="9"/>
    </row>
    <row r="7" spans="1:33" s="2" customFormat="1"/>
    <row r="8" spans="1:33" s="2" customFormat="1">
      <c r="A8" s="10"/>
      <c r="B8" s="11"/>
      <c r="E8" s="2">
        <v>11</v>
      </c>
      <c r="L8" s="45"/>
      <c r="Q8" s="13"/>
      <c r="AC8" s="25"/>
    </row>
    <row r="9" spans="1:33" s="2" customFormat="1">
      <c r="A9" s="10"/>
      <c r="B9" s="11"/>
      <c r="L9" s="45"/>
      <c r="Q9" s="13"/>
      <c r="AC9" s="25"/>
    </row>
    <row r="10" spans="1:33" s="2" customFormat="1">
      <c r="A10" s="10"/>
      <c r="B10" s="11"/>
      <c r="Q10" s="13"/>
      <c r="AC10" s="25"/>
    </row>
    <row r="11" spans="1:33" s="2" customFormat="1">
      <c r="A11" s="10" t="s">
        <v>91</v>
      </c>
      <c r="B11" s="11">
        <v>25</v>
      </c>
      <c r="P11" s="25"/>
      <c r="Q11" s="13"/>
      <c r="AC11" s="25"/>
    </row>
    <row r="12" spans="1:33">
      <c r="A12" s="10" t="s">
        <v>92</v>
      </c>
      <c r="B12" s="12">
        <v>8</v>
      </c>
      <c r="C12" s="2"/>
      <c r="D12" s="2"/>
      <c r="E12" s="2"/>
      <c r="F12" s="2"/>
      <c r="G12" s="2"/>
      <c r="H12" s="2"/>
      <c r="I12" s="2"/>
      <c r="J12" s="25"/>
      <c r="K12" s="25"/>
      <c r="L12" s="2"/>
      <c r="M12" s="2"/>
      <c r="N12" s="2"/>
      <c r="O12" s="2"/>
      <c r="P12" s="2"/>
      <c r="Q12" s="1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44" spans="14:33">
      <c r="N44" s="172" t="s">
        <v>22</v>
      </c>
      <c r="O44" s="172" t="s">
        <v>82</v>
      </c>
      <c r="P44" s="172" t="s">
        <v>60</v>
      </c>
      <c r="Q44" s="172" t="s">
        <v>85</v>
      </c>
      <c r="R44" s="172" t="s">
        <v>74</v>
      </c>
      <c r="S44" s="172" t="s">
        <v>75</v>
      </c>
      <c r="T44" s="173"/>
      <c r="AG44" s="13"/>
    </row>
    <row r="45" spans="14:33">
      <c r="N45" s="172"/>
      <c r="O45" s="172"/>
      <c r="P45" s="172"/>
      <c r="Q45" s="172"/>
      <c r="R45" s="172"/>
      <c r="S45" s="172"/>
      <c r="T45" s="173"/>
      <c r="AG45" s="13"/>
    </row>
    <row r="46" spans="14:33">
      <c r="N46" s="23" t="s">
        <v>101</v>
      </c>
      <c r="O46" s="23" t="s">
        <v>26</v>
      </c>
      <c r="P46" s="26">
        <f>SUMIFS($R$3:$R$3,$G$3:$G$3,O46)</f>
        <v>0</v>
      </c>
      <c r="Q46" s="26">
        <f>SUMIFS($Y$3:$Y$3,$G$3:$G$3,O46)</f>
        <v>0</v>
      </c>
      <c r="R46" s="32">
        <f>IFERROR(Q46/P46,0)</f>
        <v>0</v>
      </c>
      <c r="S46" s="33">
        <f>SUMIFS($AE$3:$AE$3,$G$3:$G$3,O46)</f>
        <v>0</v>
      </c>
      <c r="T46" s="18"/>
      <c r="AG46" s="15"/>
    </row>
    <row r="47" spans="14:33">
      <c r="N47" s="23" t="s">
        <v>101</v>
      </c>
      <c r="O47" s="23" t="s">
        <v>27</v>
      </c>
      <c r="P47" s="26">
        <f t="shared" ref="P47:P57" si="8">SUMIFS($R$3:$R$3,$G$3:$G$3,O47)</f>
        <v>137.6</v>
      </c>
      <c r="Q47" s="26">
        <f t="shared" ref="Q47:Q57" si="9">SUMIFS($Y$3:$Y$3,$G$3:$G$3,O47)</f>
        <v>121.6</v>
      </c>
      <c r="R47" s="32">
        <f t="shared" ref="R47:R58" si="10">IFERROR(Q47/P47,0)</f>
        <v>0.88372093023255816</v>
      </c>
      <c r="S47" s="33">
        <f t="shared" ref="S47:S57" si="11">SUMIFS($AE$3:$AE$3,$G$3:$G$3,O47)</f>
        <v>3040</v>
      </c>
      <c r="T47" s="18"/>
      <c r="AG47" s="15"/>
    </row>
    <row r="48" spans="14:33">
      <c r="N48" s="23" t="s">
        <v>101</v>
      </c>
      <c r="O48" s="23" t="s">
        <v>28</v>
      </c>
      <c r="P48" s="26">
        <f>SUMIFS($R$3:$R$5,$G$3:$G$5,O48)</f>
        <v>137.6</v>
      </c>
      <c r="Q48" s="26">
        <f>SUMIFS($Y$3:$Y$5,$G$3:$G$5,O48)</f>
        <v>137.6</v>
      </c>
      <c r="R48" s="32">
        <f t="shared" si="10"/>
        <v>1</v>
      </c>
      <c r="S48" s="33">
        <f>SUMIFS($AE$3:$AE$5,$G$3:$G$5,O48)</f>
        <v>3440</v>
      </c>
      <c r="T48" s="18"/>
      <c r="AG48" s="15"/>
    </row>
    <row r="49" spans="1:33">
      <c r="N49" s="23" t="s">
        <v>101</v>
      </c>
      <c r="O49" s="23" t="s">
        <v>29</v>
      </c>
      <c r="P49" s="26">
        <f t="shared" si="8"/>
        <v>0</v>
      </c>
      <c r="Q49" s="26">
        <f t="shared" si="9"/>
        <v>0</v>
      </c>
      <c r="R49" s="32">
        <f t="shared" si="10"/>
        <v>0</v>
      </c>
      <c r="S49" s="33">
        <f t="shared" si="11"/>
        <v>0</v>
      </c>
      <c r="T49" s="18"/>
      <c r="AG49" s="15"/>
    </row>
    <row r="50" spans="1:33">
      <c r="N50" s="23" t="s">
        <v>101</v>
      </c>
      <c r="O50" s="23" t="s">
        <v>30</v>
      </c>
      <c r="P50" s="26">
        <f t="shared" si="8"/>
        <v>0</v>
      </c>
      <c r="Q50" s="26">
        <f t="shared" si="9"/>
        <v>0</v>
      </c>
      <c r="R50" s="32">
        <f t="shared" si="10"/>
        <v>0</v>
      </c>
      <c r="S50" s="33">
        <f t="shared" si="11"/>
        <v>0</v>
      </c>
      <c r="T50" s="18"/>
      <c r="AG50" s="15"/>
    </row>
    <row r="51" spans="1:33">
      <c r="N51" s="23" t="s">
        <v>101</v>
      </c>
      <c r="O51" s="23" t="s">
        <v>31</v>
      </c>
      <c r="P51" s="26">
        <f t="shared" si="8"/>
        <v>0</v>
      </c>
      <c r="Q51" s="26">
        <f t="shared" si="9"/>
        <v>0</v>
      </c>
      <c r="R51" s="32">
        <f t="shared" si="10"/>
        <v>0</v>
      </c>
      <c r="S51" s="33">
        <f t="shared" si="11"/>
        <v>0</v>
      </c>
      <c r="T51" s="18"/>
      <c r="AG51" s="15"/>
    </row>
    <row r="52" spans="1:33" ht="15" customHeight="1">
      <c r="N52" s="23" t="s">
        <v>101</v>
      </c>
      <c r="O52" s="23" t="s">
        <v>32</v>
      </c>
      <c r="P52" s="26">
        <f t="shared" si="8"/>
        <v>0</v>
      </c>
      <c r="Q52" s="26">
        <f t="shared" si="9"/>
        <v>0</v>
      </c>
      <c r="R52" s="32">
        <f t="shared" si="10"/>
        <v>0</v>
      </c>
      <c r="S52" s="33">
        <f t="shared" si="11"/>
        <v>0</v>
      </c>
      <c r="T52" s="18"/>
      <c r="AG52" s="15"/>
    </row>
    <row r="53" spans="1:33">
      <c r="A53" s="173"/>
      <c r="B53" s="173"/>
      <c r="C53" s="173"/>
      <c r="D53" s="173"/>
      <c r="E53" s="173"/>
      <c r="F53" s="173"/>
      <c r="G53" s="173"/>
      <c r="N53" s="23" t="s">
        <v>101</v>
      </c>
      <c r="O53" s="23" t="s">
        <v>33</v>
      </c>
      <c r="P53" s="26">
        <f t="shared" si="8"/>
        <v>0</v>
      </c>
      <c r="Q53" s="26">
        <f t="shared" si="9"/>
        <v>0</v>
      </c>
      <c r="R53" s="32">
        <f t="shared" si="10"/>
        <v>0</v>
      </c>
      <c r="S53" s="33">
        <f t="shared" si="11"/>
        <v>0</v>
      </c>
      <c r="T53" s="18"/>
      <c r="AG53" s="15"/>
    </row>
    <row r="54" spans="1:33">
      <c r="A54" s="173"/>
      <c r="B54" s="173"/>
      <c r="C54" s="173"/>
      <c r="D54" s="173"/>
      <c r="E54" s="173"/>
      <c r="F54" s="173"/>
      <c r="G54" s="173"/>
      <c r="N54" s="23" t="s">
        <v>101</v>
      </c>
      <c r="O54" s="23" t="s">
        <v>34</v>
      </c>
      <c r="P54" s="26">
        <f t="shared" si="8"/>
        <v>0</v>
      </c>
      <c r="Q54" s="26">
        <f t="shared" si="9"/>
        <v>0</v>
      </c>
      <c r="R54" s="32">
        <f t="shared" si="10"/>
        <v>0</v>
      </c>
      <c r="S54" s="33">
        <f t="shared" si="11"/>
        <v>0</v>
      </c>
      <c r="T54" s="18"/>
      <c r="AG54" s="15"/>
    </row>
    <row r="55" spans="1:33">
      <c r="A55" s="14"/>
      <c r="B55" s="15"/>
      <c r="C55" s="15"/>
      <c r="D55" s="16"/>
      <c r="E55" s="16"/>
      <c r="F55" s="17"/>
      <c r="G55" s="18"/>
      <c r="N55" s="23" t="s">
        <v>101</v>
      </c>
      <c r="O55" s="23" t="s">
        <v>35</v>
      </c>
      <c r="P55" s="26">
        <f t="shared" si="8"/>
        <v>0</v>
      </c>
      <c r="Q55" s="26">
        <f t="shared" si="9"/>
        <v>0</v>
      </c>
      <c r="R55" s="32">
        <f t="shared" si="10"/>
        <v>0</v>
      </c>
      <c r="S55" s="33">
        <f t="shared" si="11"/>
        <v>0</v>
      </c>
      <c r="T55" s="18"/>
      <c r="AG55" s="15"/>
    </row>
    <row r="56" spans="1:33">
      <c r="A56" s="14"/>
      <c r="B56" s="15"/>
      <c r="C56" s="15"/>
      <c r="D56" s="16"/>
      <c r="E56" s="16"/>
      <c r="F56" s="17"/>
      <c r="G56" s="18"/>
      <c r="N56" s="23" t="s">
        <v>101</v>
      </c>
      <c r="O56" s="23" t="s">
        <v>36</v>
      </c>
      <c r="P56" s="26">
        <f t="shared" si="8"/>
        <v>0</v>
      </c>
      <c r="Q56" s="26">
        <f t="shared" si="9"/>
        <v>0</v>
      </c>
      <c r="R56" s="32">
        <f t="shared" si="10"/>
        <v>0</v>
      </c>
      <c r="S56" s="33">
        <f t="shared" si="11"/>
        <v>0</v>
      </c>
      <c r="T56" s="18"/>
      <c r="AG56" s="15"/>
    </row>
    <row r="57" spans="1:33">
      <c r="A57" s="14"/>
      <c r="B57" s="15"/>
      <c r="C57" s="15"/>
      <c r="D57" s="16"/>
      <c r="E57" s="16"/>
      <c r="F57" s="17"/>
      <c r="G57" s="18"/>
      <c r="N57" s="23" t="s">
        <v>101</v>
      </c>
      <c r="O57" s="23" t="s">
        <v>37</v>
      </c>
      <c r="P57" s="26">
        <f t="shared" si="8"/>
        <v>0</v>
      </c>
      <c r="Q57" s="26">
        <f t="shared" si="9"/>
        <v>0</v>
      </c>
      <c r="R57" s="32">
        <f t="shared" si="10"/>
        <v>0</v>
      </c>
      <c r="S57" s="33">
        <f t="shared" si="11"/>
        <v>0</v>
      </c>
      <c r="T57" s="18"/>
      <c r="AG57" s="15"/>
    </row>
    <row r="58" spans="1:33">
      <c r="A58" s="14"/>
      <c r="B58" s="15"/>
      <c r="C58" s="15"/>
      <c r="D58" s="16"/>
      <c r="E58" s="16"/>
      <c r="F58" s="17"/>
      <c r="G58" s="18"/>
      <c r="N58" s="9" t="s">
        <v>101</v>
      </c>
      <c r="O58" s="9"/>
      <c r="P58" s="27">
        <f>SUM(P46:P57)</f>
        <v>275.2</v>
      </c>
      <c r="Q58" s="27">
        <f>SUM(Q46:Q57)</f>
        <v>259.2</v>
      </c>
      <c r="R58" s="34">
        <f t="shared" si="10"/>
        <v>0.94186046511627908</v>
      </c>
      <c r="S58" s="35">
        <f>SUM(S46:S57)</f>
        <v>6480</v>
      </c>
      <c r="T58" s="22"/>
      <c r="AG58" s="13"/>
    </row>
    <row r="59" spans="1:33">
      <c r="A59" s="14"/>
      <c r="B59" s="15"/>
      <c r="C59" s="15"/>
      <c r="D59" s="16"/>
      <c r="E59" s="16"/>
      <c r="F59" s="17"/>
      <c r="G59" s="18"/>
    </row>
    <row r="60" spans="1:33">
      <c r="A60" s="19"/>
      <c r="B60" s="19"/>
      <c r="C60" s="13"/>
      <c r="D60" s="20"/>
      <c r="E60" s="20"/>
      <c r="F60" s="21"/>
      <c r="G60" s="22"/>
    </row>
    <row r="61" spans="1:33">
      <c r="A61" s="10" t="s">
        <v>91</v>
      </c>
      <c r="B61" s="11">
        <v>25</v>
      </c>
      <c r="C61" s="2"/>
      <c r="D61" s="2"/>
      <c r="E61" s="2"/>
      <c r="F61" s="2"/>
      <c r="G61" s="2"/>
    </row>
  </sheetData>
  <sheetProtection formatCells="0" formatColumns="0" formatRows="0"/>
  <mergeCells count="41">
    <mergeCell ref="Y1:Y2"/>
    <mergeCell ref="Z1:Z2"/>
    <mergeCell ref="AF1:AF2"/>
    <mergeCell ref="AG1:AG2"/>
    <mergeCell ref="S44:S45"/>
    <mergeCell ref="T44:T45"/>
    <mergeCell ref="V1:V2"/>
    <mergeCell ref="W1:W2"/>
    <mergeCell ref="X1:X2"/>
    <mergeCell ref="S1:U1"/>
    <mergeCell ref="AA1:AE1"/>
    <mergeCell ref="P1:P2"/>
    <mergeCell ref="P44:P45"/>
    <mergeCell ref="Q1:Q2"/>
    <mergeCell ref="Q44:Q45"/>
    <mergeCell ref="R1:R2"/>
    <mergeCell ref="R44:R45"/>
    <mergeCell ref="M1:M2"/>
    <mergeCell ref="N1:N2"/>
    <mergeCell ref="N44:N45"/>
    <mergeCell ref="O1:O2"/>
    <mergeCell ref="O44:O45"/>
    <mergeCell ref="H1:H2"/>
    <mergeCell ref="I1:I2"/>
    <mergeCell ref="J1:J2"/>
    <mergeCell ref="K1:K2"/>
    <mergeCell ref="L1:L2"/>
    <mergeCell ref="A1:A2"/>
    <mergeCell ref="A53:A54"/>
    <mergeCell ref="B1:B2"/>
    <mergeCell ref="B53:B54"/>
    <mergeCell ref="C1:C2"/>
    <mergeCell ref="C53:C54"/>
    <mergeCell ref="G1:G2"/>
    <mergeCell ref="G53:G54"/>
    <mergeCell ref="D1:D2"/>
    <mergeCell ref="D53:D54"/>
    <mergeCell ref="E1:E2"/>
    <mergeCell ref="E53:E54"/>
    <mergeCell ref="F1:F2"/>
    <mergeCell ref="F53:F54"/>
  </mergeCells>
  <pageMargins left="0.7" right="0.7" top="0.75" bottom="0.75" header="0.3" footer="0.3"/>
  <pageSetup paperSize="9" orientation="portrait"/>
  <headerFooter>
    <oddFooter>&amp;CNBCU Internal</oddFooter>
  </headerFooter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AG59"/>
  <sheetViews>
    <sheetView workbookViewId="0">
      <pane xSplit="2" topLeftCell="C1" activePane="topRight" state="frozen"/>
      <selection pane="topRight" activeCell="I8" sqref="I8"/>
    </sheetView>
  </sheetViews>
  <sheetFormatPr defaultColWidth="8.81640625" defaultRowHeight="14.5"/>
  <cols>
    <col min="1" max="1" width="9.81640625" style="3" customWidth="1"/>
    <col min="2" max="2" width="10.453125" style="3" customWidth="1"/>
    <col min="3" max="3" width="14.1796875" style="3" customWidth="1"/>
    <col min="4" max="4" width="5.453125" style="3" customWidth="1"/>
    <col min="5" max="6" width="9.7265625" style="3" customWidth="1"/>
    <col min="7" max="7" width="8.81640625" style="3" customWidth="1"/>
    <col min="8" max="8" width="19.453125" style="3" customWidth="1"/>
    <col min="9" max="9" width="19.81640625" style="3" customWidth="1"/>
    <col min="10" max="10" width="11.453125" style="3" customWidth="1"/>
    <col min="11" max="11" width="13.1796875" style="3" customWidth="1"/>
    <col min="12" max="12" width="11.1796875" style="3" customWidth="1"/>
    <col min="13" max="14" width="13.1796875" style="3" customWidth="1"/>
    <col min="15" max="15" width="13.81640625" style="3" customWidth="1"/>
    <col min="16" max="16" width="16.453125" style="3" customWidth="1"/>
    <col min="17" max="17" width="16" style="3" customWidth="1"/>
    <col min="18" max="18" width="19.453125" style="3" customWidth="1"/>
    <col min="19" max="19" width="12.1796875" style="3" customWidth="1"/>
    <col min="20" max="20" width="17.453125" style="3" customWidth="1"/>
    <col min="21" max="21" width="9.81640625" style="3" customWidth="1"/>
    <col min="22" max="22" width="18" style="3" customWidth="1"/>
    <col min="23" max="23" width="19.1796875" style="3" customWidth="1"/>
    <col min="24" max="24" width="13.453125" style="3" customWidth="1"/>
    <col min="25" max="25" width="10.1796875" style="3" customWidth="1"/>
    <col min="26" max="26" width="18.1796875" style="3" customWidth="1"/>
    <col min="27" max="27" width="15" style="3" customWidth="1"/>
    <col min="28" max="28" width="9.453125" style="3" customWidth="1"/>
    <col min="29" max="29" width="18" style="3" customWidth="1"/>
    <col min="30" max="30" width="12.1796875" style="3" customWidth="1"/>
    <col min="31" max="31" width="11.453125" style="3" customWidth="1"/>
    <col min="32" max="32" width="6.453125" style="3" customWidth="1"/>
    <col min="33" max="33" width="13.81640625" style="3" hidden="1" customWidth="1"/>
    <col min="34" max="16384" width="8.81640625" style="3"/>
  </cols>
  <sheetData>
    <row r="1" spans="1:33" s="1" customFormat="1" ht="33" customHeight="1">
      <c r="A1" s="172" t="s">
        <v>22</v>
      </c>
      <c r="B1" s="172" t="s">
        <v>47</v>
      </c>
      <c r="C1" s="172" t="s">
        <v>48</v>
      </c>
      <c r="D1" s="172" t="s">
        <v>79</v>
      </c>
      <c r="E1" s="172" t="s">
        <v>80</v>
      </c>
      <c r="F1" s="172" t="s">
        <v>81</v>
      </c>
      <c r="G1" s="172" t="s">
        <v>82</v>
      </c>
      <c r="H1" s="172" t="s">
        <v>50</v>
      </c>
      <c r="I1" s="172" t="s">
        <v>51</v>
      </c>
      <c r="J1" s="172" t="s">
        <v>53</v>
      </c>
      <c r="K1" s="172" t="s">
        <v>54</v>
      </c>
      <c r="L1" s="172" t="s">
        <v>55</v>
      </c>
      <c r="M1" s="172" t="s">
        <v>56</v>
      </c>
      <c r="N1" s="175" t="s">
        <v>57</v>
      </c>
      <c r="O1" s="172" t="s">
        <v>58</v>
      </c>
      <c r="P1" s="172" t="s">
        <v>83</v>
      </c>
      <c r="Q1" s="172" t="s">
        <v>95</v>
      </c>
      <c r="R1" s="172" t="s">
        <v>60</v>
      </c>
      <c r="S1" s="172" t="s">
        <v>61</v>
      </c>
      <c r="T1" s="172"/>
      <c r="U1" s="172"/>
      <c r="V1" s="172" t="s">
        <v>62</v>
      </c>
      <c r="W1" s="172" t="s">
        <v>63</v>
      </c>
      <c r="X1" s="172" t="s">
        <v>64</v>
      </c>
      <c r="Y1" s="172" t="s">
        <v>85</v>
      </c>
      <c r="Z1" s="172" t="s">
        <v>66</v>
      </c>
      <c r="AA1" s="172" t="s">
        <v>67</v>
      </c>
      <c r="AB1" s="172"/>
      <c r="AC1" s="172"/>
      <c r="AD1" s="172"/>
      <c r="AE1" s="172"/>
      <c r="AF1" s="172" t="s">
        <v>3</v>
      </c>
      <c r="AG1" s="172" t="s">
        <v>86</v>
      </c>
    </row>
    <row r="2" spans="1:33" s="1" customFormat="1" ht="55.5" customHeigh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6"/>
      <c r="O2" s="172"/>
      <c r="P2" s="172"/>
      <c r="Q2" s="172"/>
      <c r="R2" s="172"/>
      <c r="S2" s="4" t="s">
        <v>68</v>
      </c>
      <c r="T2" s="4" t="s">
        <v>69</v>
      </c>
      <c r="U2" s="4" t="s">
        <v>70</v>
      </c>
      <c r="V2" s="172"/>
      <c r="W2" s="172"/>
      <c r="X2" s="172"/>
      <c r="Y2" s="172"/>
      <c r="Z2" s="172"/>
      <c r="AA2" s="4" t="s">
        <v>96</v>
      </c>
      <c r="AB2" s="4" t="s">
        <v>97</v>
      </c>
      <c r="AC2" s="4" t="s">
        <v>73</v>
      </c>
      <c r="AD2" s="4" t="s">
        <v>74</v>
      </c>
      <c r="AE2" s="4" t="s">
        <v>75</v>
      </c>
      <c r="AF2" s="172"/>
      <c r="AG2" s="172"/>
    </row>
    <row r="3" spans="1:33" ht="17.25" customHeight="1">
      <c r="A3" s="42" t="s">
        <v>136</v>
      </c>
      <c r="B3" s="42" t="s">
        <v>88</v>
      </c>
      <c r="C3" s="43" t="s">
        <v>137</v>
      </c>
      <c r="D3" s="23">
        <v>0</v>
      </c>
      <c r="E3" s="44">
        <v>44265</v>
      </c>
      <c r="F3" s="44">
        <v>44265</v>
      </c>
      <c r="G3" s="23" t="s">
        <v>28</v>
      </c>
      <c r="H3" s="23">
        <v>130</v>
      </c>
      <c r="I3" s="23">
        <v>130</v>
      </c>
      <c r="J3" s="23">
        <v>107</v>
      </c>
      <c r="K3" s="24">
        <v>0</v>
      </c>
      <c r="L3" s="23">
        <v>0</v>
      </c>
      <c r="M3" s="23">
        <v>0</v>
      </c>
      <c r="N3" s="23">
        <v>0</v>
      </c>
      <c r="O3" s="24">
        <v>107</v>
      </c>
      <c r="P3" s="23">
        <v>107</v>
      </c>
      <c r="Q3" s="28">
        <v>0</v>
      </c>
      <c r="R3" s="29">
        <f t="shared" ref="R3" si="0">($P3/$AG3)*8</f>
        <v>85.6</v>
      </c>
      <c r="S3" s="30">
        <v>8</v>
      </c>
      <c r="T3" s="30">
        <v>0</v>
      </c>
      <c r="U3" s="26">
        <v>0</v>
      </c>
      <c r="V3" s="29">
        <f t="shared" ref="V3" si="1">(($H3-$J3)/$AG3)*8</f>
        <v>18.399999999999999</v>
      </c>
      <c r="W3" s="31">
        <v>0</v>
      </c>
      <c r="X3" s="29">
        <f>SUM(T3,V3,W3)</f>
        <v>18.399999999999999</v>
      </c>
      <c r="Y3" s="29">
        <f t="shared" ref="Y3" si="2">R3-X3</f>
        <v>67.199999999999989</v>
      </c>
      <c r="Z3" s="36">
        <v>0</v>
      </c>
      <c r="AA3" s="37">
        <f t="shared" ref="AA3:AA4" si="3">J3/I3</f>
        <v>0.82307692307692304</v>
      </c>
      <c r="AB3" s="37">
        <f t="shared" ref="AB3:AB4" si="4">J3/H3</f>
        <v>0.82307692307692304</v>
      </c>
      <c r="AC3" s="37">
        <f t="shared" ref="AC3:AC4" si="5">IFERROR(P3/(O3*D3),0)</f>
        <v>0</v>
      </c>
      <c r="AD3" s="37">
        <f t="shared" ref="AD3:AD4" si="6">IFERROR(Y3/R3,0)</f>
        <v>0.78504672897196248</v>
      </c>
      <c r="AE3" s="38">
        <f>Y3*$B$9</f>
        <v>1679.9999999999998</v>
      </c>
      <c r="AF3" s="23"/>
      <c r="AG3" s="23">
        <v>10</v>
      </c>
    </row>
    <row r="4" spans="1:33" s="2" customFormat="1" ht="21">
      <c r="A4" s="8" t="str">
        <f>A3</f>
        <v>Releaseforce(SF)</v>
      </c>
      <c r="B4" s="8" t="s">
        <v>90</v>
      </c>
      <c r="C4" s="9" t="s">
        <v>90</v>
      </c>
      <c r="D4" s="9">
        <f ca="1">SUM(D3:INDIRECT("D"&amp;ROW()-1))</f>
        <v>0</v>
      </c>
      <c r="E4" s="9"/>
      <c r="F4" s="9"/>
      <c r="G4" s="9"/>
      <c r="H4" s="9">
        <f ca="1">INDIRECT("H"&amp;ROW()-1)</f>
        <v>130</v>
      </c>
      <c r="I4" s="9">
        <f ca="1">INDIRECT("I"&amp;ROW()-1)</f>
        <v>130</v>
      </c>
      <c r="J4" s="9">
        <f ca="1">INDIRECT("J"&amp;ROW()-1)</f>
        <v>107</v>
      </c>
      <c r="K4" s="9">
        <f ca="1">INDIRECT("K"&amp;ROW()-1)</f>
        <v>0</v>
      </c>
      <c r="L4" s="9">
        <f ca="1">SUM(L3:INDIRECT("L"&amp;ROW()-1))</f>
        <v>0</v>
      </c>
      <c r="M4" s="9">
        <f ca="1">SUM(M3:INDIRECT("M"&amp;ROW()-1))</f>
        <v>0</v>
      </c>
      <c r="N4" s="9">
        <f ca="1">SUM(N3:INDIRECT("N"&amp;ROW()-1))</f>
        <v>0</v>
      </c>
      <c r="O4" s="9">
        <f ca="1">INDIRECT("O"&amp;ROW()-1)</f>
        <v>107</v>
      </c>
      <c r="P4" s="9">
        <f ca="1">SUM(P3:INDIRECT("P"&amp;ROW()-1))</f>
        <v>107</v>
      </c>
      <c r="Q4" s="9">
        <f ca="1">SUM(Q3:INDIRECT("Q"&amp;ROW()-1))</f>
        <v>0</v>
      </c>
      <c r="R4" s="27">
        <f ca="1">SUM(R3:INDIRECT("R"&amp;ROW()-1))</f>
        <v>85.6</v>
      </c>
      <c r="S4" s="9">
        <f ca="1">SUM(S3:INDIRECT("S"&amp;ROW()-1))</f>
        <v>8</v>
      </c>
      <c r="T4" s="9">
        <f ca="1">SUM(T3:INDIRECT("T"&amp;ROW()-1))</f>
        <v>0</v>
      </c>
      <c r="U4" s="9">
        <f ca="1">SUM(U3:INDIRECT("U"&amp;ROW()-1))</f>
        <v>0</v>
      </c>
      <c r="V4" s="9">
        <f ca="1">SUM(V3:INDIRECT("V"&amp;ROW()-1))</f>
        <v>18.399999999999999</v>
      </c>
      <c r="W4" s="9">
        <f ca="1">SUM(W3:INDIRECT("W"&amp;ROW()-1))</f>
        <v>0</v>
      </c>
      <c r="X4" s="9">
        <f ca="1">SUM(X3:INDIRECT("X"&amp;ROW()-1))</f>
        <v>18.399999999999999</v>
      </c>
      <c r="Y4" s="27">
        <f ca="1">SUM(Y3:INDIRECT("Y"&amp;ROW()-1))</f>
        <v>67.199999999999989</v>
      </c>
      <c r="Z4" s="9">
        <f ca="1">SUM(Z3:INDIRECT("z"&amp;ROW()-1))</f>
        <v>0</v>
      </c>
      <c r="AA4" s="34">
        <f t="shared" ca="1" si="3"/>
        <v>0.82307692307692304</v>
      </c>
      <c r="AB4" s="34">
        <f t="shared" ca="1" si="4"/>
        <v>0.82307692307692304</v>
      </c>
      <c r="AC4" s="34">
        <f t="shared" ca="1" si="5"/>
        <v>0</v>
      </c>
      <c r="AD4" s="39">
        <f t="shared" ca="1" si="6"/>
        <v>0.78504672897196248</v>
      </c>
      <c r="AE4" s="35">
        <f ca="1">SUM(AE3:INDIRECT("AF"&amp;ROW()-1))</f>
        <v>1679.9999999999998</v>
      </c>
      <c r="AF4" s="9"/>
      <c r="AG4" s="9"/>
    </row>
    <row r="5" spans="1:33" s="2" customFormat="1"/>
    <row r="6" spans="1:33" s="2" customFormat="1">
      <c r="A6" s="10"/>
      <c r="B6" s="11"/>
      <c r="E6" s="2">
        <v>11</v>
      </c>
      <c r="Q6" s="13"/>
      <c r="AC6" s="25"/>
    </row>
    <row r="7" spans="1:33" s="2" customFormat="1">
      <c r="A7" s="10"/>
      <c r="B7" s="11"/>
      <c r="Q7" s="13"/>
      <c r="AC7" s="25"/>
    </row>
    <row r="8" spans="1:33" s="2" customFormat="1">
      <c r="A8" s="10"/>
      <c r="B8" s="11"/>
      <c r="Q8" s="13"/>
      <c r="AC8" s="25"/>
    </row>
    <row r="9" spans="1:33" s="2" customFormat="1">
      <c r="A9" s="10" t="s">
        <v>91</v>
      </c>
      <c r="B9" s="11">
        <v>25</v>
      </c>
      <c r="P9" s="25"/>
      <c r="Q9" s="13"/>
      <c r="AC9" s="25"/>
    </row>
    <row r="10" spans="1:33" ht="21">
      <c r="A10" s="10" t="s">
        <v>92</v>
      </c>
      <c r="B10" s="12">
        <v>8</v>
      </c>
      <c r="C10" s="2"/>
      <c r="D10" s="2"/>
      <c r="E10" s="2"/>
      <c r="F10" s="2"/>
      <c r="G10" s="2"/>
      <c r="H10" s="2"/>
      <c r="I10" s="2"/>
      <c r="J10" s="25"/>
      <c r="K10" s="25"/>
      <c r="L10" s="2"/>
      <c r="M10" s="2"/>
      <c r="N10" s="2"/>
      <c r="O10" s="2"/>
      <c r="P10" s="2"/>
      <c r="Q10" s="1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42" spans="14:33" ht="15" customHeight="1">
      <c r="N42" s="172" t="s">
        <v>22</v>
      </c>
      <c r="O42" s="172" t="s">
        <v>82</v>
      </c>
      <c r="P42" s="172" t="s">
        <v>60</v>
      </c>
      <c r="Q42" s="172" t="s">
        <v>85</v>
      </c>
      <c r="R42" s="172" t="s">
        <v>74</v>
      </c>
      <c r="S42" s="172" t="s">
        <v>75</v>
      </c>
      <c r="T42" s="173"/>
      <c r="AG42" s="13"/>
    </row>
    <row r="43" spans="14:33">
      <c r="N43" s="172"/>
      <c r="O43" s="172"/>
      <c r="P43" s="172"/>
      <c r="Q43" s="172"/>
      <c r="R43" s="172"/>
      <c r="S43" s="172"/>
      <c r="T43" s="173"/>
      <c r="AG43" s="13"/>
    </row>
    <row r="44" spans="14:33">
      <c r="N44" s="42" t="s">
        <v>93</v>
      </c>
      <c r="O44" s="23" t="s">
        <v>26</v>
      </c>
      <c r="P44" s="26">
        <f>SUMIFS($R$3,$G$3,O44)</f>
        <v>0</v>
      </c>
      <c r="Q44" s="26">
        <f>SUMIFS($Y$3,$G$3,O44)</f>
        <v>0</v>
      </c>
      <c r="R44" s="32">
        <f>IFERROR(Q44/P44,0)</f>
        <v>0</v>
      </c>
      <c r="S44" s="33">
        <f>SUMIFS($AE$3:$AE$3,$G$3:$G$3,O44)</f>
        <v>0</v>
      </c>
      <c r="T44" s="18"/>
      <c r="AG44" s="15"/>
    </row>
    <row r="45" spans="14:33">
      <c r="N45" s="42" t="s">
        <v>93</v>
      </c>
      <c r="O45" s="23" t="s">
        <v>27</v>
      </c>
      <c r="P45" s="26">
        <f t="shared" ref="P45:P55" si="7">SUMIFS($R$3,$G$3,O45)</f>
        <v>0</v>
      </c>
      <c r="Q45" s="26">
        <f t="shared" ref="Q45:Q55" si="8">SUMIFS($Y$3,$G$3,O45)</f>
        <v>0</v>
      </c>
      <c r="R45" s="32">
        <f t="shared" ref="R45:R56" si="9">IFERROR(Q45/P45,0)</f>
        <v>0</v>
      </c>
      <c r="S45" s="33">
        <f t="shared" ref="S45:S55" si="10">SUMIFS($AE$3:$AE$3,$G$3:$G$3,O45)</f>
        <v>0</v>
      </c>
      <c r="T45" s="18"/>
      <c r="AG45" s="15"/>
    </row>
    <row r="46" spans="14:33">
      <c r="N46" s="42" t="s">
        <v>93</v>
      </c>
      <c r="O46" s="23" t="s">
        <v>28</v>
      </c>
      <c r="P46" s="26">
        <f t="shared" si="7"/>
        <v>85.6</v>
      </c>
      <c r="Q46" s="26">
        <f t="shared" si="8"/>
        <v>67.199999999999989</v>
      </c>
      <c r="R46" s="32">
        <f t="shared" si="9"/>
        <v>0.78504672897196248</v>
      </c>
      <c r="S46" s="33">
        <f t="shared" si="10"/>
        <v>1679.9999999999998</v>
      </c>
      <c r="T46" s="18"/>
      <c r="AG46" s="15"/>
    </row>
    <row r="47" spans="14:33">
      <c r="N47" s="42" t="s">
        <v>93</v>
      </c>
      <c r="O47" s="23" t="s">
        <v>29</v>
      </c>
      <c r="P47" s="26">
        <f t="shared" si="7"/>
        <v>0</v>
      </c>
      <c r="Q47" s="26">
        <f t="shared" si="8"/>
        <v>0</v>
      </c>
      <c r="R47" s="32">
        <f t="shared" si="9"/>
        <v>0</v>
      </c>
      <c r="S47" s="33">
        <f t="shared" si="10"/>
        <v>0</v>
      </c>
      <c r="T47" s="18"/>
      <c r="AG47" s="15"/>
    </row>
    <row r="48" spans="14:33">
      <c r="N48" s="42" t="s">
        <v>93</v>
      </c>
      <c r="O48" s="23" t="s">
        <v>30</v>
      </c>
      <c r="P48" s="26">
        <f t="shared" si="7"/>
        <v>0</v>
      </c>
      <c r="Q48" s="26">
        <f t="shared" si="8"/>
        <v>0</v>
      </c>
      <c r="R48" s="32">
        <f t="shared" si="9"/>
        <v>0</v>
      </c>
      <c r="S48" s="33">
        <f t="shared" si="10"/>
        <v>0</v>
      </c>
      <c r="T48" s="18"/>
      <c r="AG48" s="15"/>
    </row>
    <row r="49" spans="1:33">
      <c r="N49" s="42" t="s">
        <v>93</v>
      </c>
      <c r="O49" s="23" t="s">
        <v>31</v>
      </c>
      <c r="P49" s="26">
        <f t="shared" si="7"/>
        <v>0</v>
      </c>
      <c r="Q49" s="26">
        <f t="shared" si="8"/>
        <v>0</v>
      </c>
      <c r="R49" s="32">
        <f t="shared" si="9"/>
        <v>0</v>
      </c>
      <c r="S49" s="33">
        <f t="shared" si="10"/>
        <v>0</v>
      </c>
      <c r="T49" s="18"/>
      <c r="AG49" s="15"/>
    </row>
    <row r="50" spans="1:33" ht="15" customHeight="1">
      <c r="N50" s="42" t="s">
        <v>93</v>
      </c>
      <c r="O50" s="23" t="s">
        <v>32</v>
      </c>
      <c r="P50" s="26">
        <f t="shared" si="7"/>
        <v>0</v>
      </c>
      <c r="Q50" s="26">
        <f t="shared" si="8"/>
        <v>0</v>
      </c>
      <c r="R50" s="32">
        <f t="shared" si="9"/>
        <v>0</v>
      </c>
      <c r="S50" s="33">
        <f t="shared" si="10"/>
        <v>0</v>
      </c>
      <c r="T50" s="18"/>
      <c r="AG50" s="15"/>
    </row>
    <row r="51" spans="1:33">
      <c r="A51" s="173"/>
      <c r="B51" s="173"/>
      <c r="C51" s="173"/>
      <c r="D51" s="173"/>
      <c r="E51" s="173"/>
      <c r="F51" s="173"/>
      <c r="G51" s="173"/>
      <c r="N51" s="42" t="s">
        <v>93</v>
      </c>
      <c r="O51" s="23" t="s">
        <v>33</v>
      </c>
      <c r="P51" s="26">
        <f t="shared" si="7"/>
        <v>0</v>
      </c>
      <c r="Q51" s="26">
        <f t="shared" si="8"/>
        <v>0</v>
      </c>
      <c r="R51" s="32">
        <f t="shared" si="9"/>
        <v>0</v>
      </c>
      <c r="S51" s="33">
        <f t="shared" si="10"/>
        <v>0</v>
      </c>
      <c r="T51" s="18"/>
      <c r="AG51" s="15"/>
    </row>
    <row r="52" spans="1:33">
      <c r="A52" s="173"/>
      <c r="B52" s="173"/>
      <c r="C52" s="173"/>
      <c r="D52" s="173"/>
      <c r="E52" s="173"/>
      <c r="F52" s="173"/>
      <c r="G52" s="173"/>
      <c r="N52" s="42" t="s">
        <v>93</v>
      </c>
      <c r="O52" s="23" t="s">
        <v>34</v>
      </c>
      <c r="P52" s="26">
        <f t="shared" si="7"/>
        <v>0</v>
      </c>
      <c r="Q52" s="26">
        <f t="shared" si="8"/>
        <v>0</v>
      </c>
      <c r="R52" s="32">
        <f t="shared" si="9"/>
        <v>0</v>
      </c>
      <c r="S52" s="33">
        <f t="shared" si="10"/>
        <v>0</v>
      </c>
      <c r="T52" s="18"/>
      <c r="AG52" s="15"/>
    </row>
    <row r="53" spans="1:33">
      <c r="A53" s="14"/>
      <c r="B53" s="15"/>
      <c r="C53" s="15"/>
      <c r="D53" s="16"/>
      <c r="E53" s="16"/>
      <c r="F53" s="17"/>
      <c r="G53" s="18"/>
      <c r="N53" s="42" t="s">
        <v>93</v>
      </c>
      <c r="O53" s="23" t="s">
        <v>35</v>
      </c>
      <c r="P53" s="26">
        <f t="shared" si="7"/>
        <v>0</v>
      </c>
      <c r="Q53" s="26">
        <f t="shared" si="8"/>
        <v>0</v>
      </c>
      <c r="R53" s="32">
        <f t="shared" si="9"/>
        <v>0</v>
      </c>
      <c r="S53" s="33">
        <f t="shared" si="10"/>
        <v>0</v>
      </c>
      <c r="T53" s="18"/>
      <c r="AG53" s="15"/>
    </row>
    <row r="54" spans="1:33">
      <c r="A54" s="14"/>
      <c r="B54" s="15"/>
      <c r="C54" s="15"/>
      <c r="D54" s="16"/>
      <c r="E54" s="16"/>
      <c r="F54" s="17"/>
      <c r="G54" s="18"/>
      <c r="N54" s="42" t="s">
        <v>93</v>
      </c>
      <c r="O54" s="23" t="s">
        <v>36</v>
      </c>
      <c r="P54" s="26">
        <f t="shared" si="7"/>
        <v>0</v>
      </c>
      <c r="Q54" s="26">
        <f t="shared" si="8"/>
        <v>0</v>
      </c>
      <c r="R54" s="32">
        <f t="shared" si="9"/>
        <v>0</v>
      </c>
      <c r="S54" s="33">
        <f t="shared" si="10"/>
        <v>0</v>
      </c>
      <c r="T54" s="18"/>
      <c r="AG54" s="15"/>
    </row>
    <row r="55" spans="1:33">
      <c r="A55" s="14"/>
      <c r="B55" s="15"/>
      <c r="C55" s="15"/>
      <c r="D55" s="16"/>
      <c r="E55" s="16"/>
      <c r="F55" s="17"/>
      <c r="G55" s="18"/>
      <c r="N55" s="42" t="s">
        <v>93</v>
      </c>
      <c r="O55" s="23" t="s">
        <v>37</v>
      </c>
      <c r="P55" s="26">
        <f t="shared" si="7"/>
        <v>0</v>
      </c>
      <c r="Q55" s="26">
        <f t="shared" si="8"/>
        <v>0</v>
      </c>
      <c r="R55" s="32">
        <f t="shared" si="9"/>
        <v>0</v>
      </c>
      <c r="S55" s="33">
        <f t="shared" si="10"/>
        <v>0</v>
      </c>
      <c r="T55" s="18"/>
      <c r="AG55" s="15"/>
    </row>
    <row r="56" spans="1:33">
      <c r="A56" s="14"/>
      <c r="B56" s="15"/>
      <c r="C56" s="15"/>
      <c r="D56" s="16"/>
      <c r="E56" s="16"/>
      <c r="F56" s="17"/>
      <c r="G56" s="18"/>
      <c r="N56" s="8" t="s">
        <v>93</v>
      </c>
      <c r="O56" s="9"/>
      <c r="P56" s="27">
        <f>SUM(P44:P55)</f>
        <v>85.6</v>
      </c>
      <c r="Q56" s="27">
        <f>SUM(Q44:Q55)</f>
        <v>67.199999999999989</v>
      </c>
      <c r="R56" s="34">
        <f t="shared" si="9"/>
        <v>0.78504672897196248</v>
      </c>
      <c r="S56" s="35">
        <f>SUM(S44:S55)</f>
        <v>1679.9999999999998</v>
      </c>
      <c r="T56" s="22"/>
      <c r="AG56" s="13"/>
    </row>
    <row r="57" spans="1:33">
      <c r="A57" s="14"/>
      <c r="B57" s="15"/>
      <c r="C57" s="15"/>
      <c r="D57" s="16"/>
      <c r="E57" s="16"/>
      <c r="F57" s="17"/>
      <c r="G57" s="18"/>
    </row>
    <row r="58" spans="1:33">
      <c r="A58" s="19"/>
      <c r="B58" s="19"/>
      <c r="C58" s="13"/>
      <c r="D58" s="20"/>
      <c r="E58" s="20"/>
      <c r="F58" s="21"/>
      <c r="G58" s="22"/>
    </row>
    <row r="59" spans="1:33">
      <c r="A59" s="10" t="s">
        <v>91</v>
      </c>
      <c r="B59" s="11">
        <v>25</v>
      </c>
      <c r="C59" s="2"/>
      <c r="D59" s="2"/>
      <c r="E59" s="2"/>
      <c r="F59" s="2"/>
      <c r="G59" s="2"/>
    </row>
  </sheetData>
  <sheetProtection formatCells="0" formatColumns="0" formatRows="0"/>
  <mergeCells count="41">
    <mergeCell ref="Y1:Y2"/>
    <mergeCell ref="Z1:Z2"/>
    <mergeCell ref="AF1:AF2"/>
    <mergeCell ref="AG1:AG2"/>
    <mergeCell ref="S42:S43"/>
    <mergeCell ref="T42:T43"/>
    <mergeCell ref="V1:V2"/>
    <mergeCell ref="W1:W2"/>
    <mergeCell ref="X1:X2"/>
    <mergeCell ref="S1:U1"/>
    <mergeCell ref="AA1:AE1"/>
    <mergeCell ref="P1:P2"/>
    <mergeCell ref="P42:P43"/>
    <mergeCell ref="Q1:Q2"/>
    <mergeCell ref="Q42:Q43"/>
    <mergeCell ref="R1:R2"/>
    <mergeCell ref="R42:R43"/>
    <mergeCell ref="M1:M2"/>
    <mergeCell ref="N1:N2"/>
    <mergeCell ref="N42:N43"/>
    <mergeCell ref="O1:O2"/>
    <mergeCell ref="O42:O43"/>
    <mergeCell ref="H1:H2"/>
    <mergeCell ref="I1:I2"/>
    <mergeCell ref="J1:J2"/>
    <mergeCell ref="K1:K2"/>
    <mergeCell ref="L1:L2"/>
    <mergeCell ref="A1:A2"/>
    <mergeCell ref="A51:A52"/>
    <mergeCell ref="B1:B2"/>
    <mergeCell ref="B51:B52"/>
    <mergeCell ref="C1:C2"/>
    <mergeCell ref="C51:C52"/>
    <mergeCell ref="G1:G2"/>
    <mergeCell ref="G51:G52"/>
    <mergeCell ref="D1:D2"/>
    <mergeCell ref="D51:D52"/>
    <mergeCell ref="E1:E2"/>
    <mergeCell ref="E51:E52"/>
    <mergeCell ref="F1:F2"/>
    <mergeCell ref="F51:F52"/>
  </mergeCells>
  <pageMargins left="0.7" right="0.7" top="0.75" bottom="0.75" header="0.3" footer="0.3"/>
  <pageSetup paperSize="9" orientation="portrait"/>
  <headerFooter>
    <oddFooter>&amp;CNBCU Internal</oddFooter>
  </headerFooter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AG71"/>
  <sheetViews>
    <sheetView workbookViewId="0">
      <pane xSplit="2" topLeftCell="M1" activePane="topRight" state="frozen"/>
      <selection pane="topRight" activeCell="T9" sqref="T9"/>
    </sheetView>
  </sheetViews>
  <sheetFormatPr defaultColWidth="8.81640625" defaultRowHeight="14.5"/>
  <cols>
    <col min="1" max="1" width="12.1796875" style="3" customWidth="1"/>
    <col min="2" max="2" width="10.453125" style="3" customWidth="1"/>
    <col min="3" max="3" width="14.1796875" style="3" customWidth="1"/>
    <col min="4" max="4" width="5.453125" style="3" customWidth="1"/>
    <col min="5" max="6" width="9" style="3" customWidth="1"/>
    <col min="7" max="7" width="8.81640625" style="3" customWidth="1"/>
    <col min="8" max="8" width="19.453125" style="3" customWidth="1"/>
    <col min="9" max="9" width="19.81640625" style="3" customWidth="1"/>
    <col min="10" max="10" width="11.453125" style="3" customWidth="1"/>
    <col min="11" max="11" width="13.1796875" style="3" customWidth="1"/>
    <col min="12" max="12" width="11.1796875" style="3" customWidth="1"/>
    <col min="13" max="14" width="13.1796875" style="3" customWidth="1"/>
    <col min="15" max="15" width="13.81640625" style="3" customWidth="1"/>
    <col min="16" max="16" width="22.453125" style="3" customWidth="1"/>
    <col min="17" max="18" width="19.453125" style="3" customWidth="1"/>
    <col min="19" max="19" width="12.1796875" style="3" customWidth="1"/>
    <col min="20" max="20" width="17.453125" style="3" customWidth="1"/>
    <col min="21" max="21" width="9.81640625" style="3" customWidth="1"/>
    <col min="22" max="22" width="18" style="3" customWidth="1"/>
    <col min="23" max="23" width="19.1796875" style="3" customWidth="1"/>
    <col min="24" max="24" width="13.453125" style="3" customWidth="1"/>
    <col min="25" max="25" width="10.1796875" style="3" customWidth="1"/>
    <col min="26" max="26" width="18.1796875" style="3" customWidth="1"/>
    <col min="27" max="27" width="15" style="3" customWidth="1"/>
    <col min="28" max="28" width="9.453125" style="3" customWidth="1"/>
    <col min="29" max="29" width="18" style="3" customWidth="1"/>
    <col min="30" max="30" width="12.1796875" style="3" customWidth="1"/>
    <col min="31" max="31" width="11.453125" style="3" customWidth="1"/>
    <col min="32" max="32" width="15.453125" style="3" hidden="1" customWidth="1"/>
    <col min="33" max="33" width="9.1796875" style="3" hidden="1" customWidth="1"/>
    <col min="34" max="16384" width="8.81640625" style="3"/>
  </cols>
  <sheetData>
    <row r="1" spans="1:33" s="1" customFormat="1" ht="33" customHeight="1">
      <c r="A1" s="172" t="s">
        <v>22</v>
      </c>
      <c r="B1" s="172" t="s">
        <v>47</v>
      </c>
      <c r="C1" s="172" t="s">
        <v>48</v>
      </c>
      <c r="D1" s="172" t="s">
        <v>79</v>
      </c>
      <c r="E1" s="172" t="s">
        <v>80</v>
      </c>
      <c r="F1" s="172" t="s">
        <v>81</v>
      </c>
      <c r="G1" s="172" t="s">
        <v>82</v>
      </c>
      <c r="H1" s="172" t="s">
        <v>50</v>
      </c>
      <c r="I1" s="172" t="s">
        <v>51</v>
      </c>
      <c r="J1" s="172" t="s">
        <v>53</v>
      </c>
      <c r="K1" s="172" t="s">
        <v>54</v>
      </c>
      <c r="L1" s="172" t="s">
        <v>55</v>
      </c>
      <c r="M1" s="172" t="s">
        <v>56</v>
      </c>
      <c r="N1" s="175" t="s">
        <v>57</v>
      </c>
      <c r="O1" s="172" t="s">
        <v>58</v>
      </c>
      <c r="P1" s="172" t="s">
        <v>83</v>
      </c>
      <c r="Q1" s="172" t="s">
        <v>95</v>
      </c>
      <c r="R1" s="172" t="s">
        <v>60</v>
      </c>
      <c r="S1" s="172" t="s">
        <v>61</v>
      </c>
      <c r="T1" s="172"/>
      <c r="U1" s="172"/>
      <c r="V1" s="172" t="s">
        <v>62</v>
      </c>
      <c r="W1" s="172" t="s">
        <v>63</v>
      </c>
      <c r="X1" s="172" t="s">
        <v>64</v>
      </c>
      <c r="Y1" s="172" t="s">
        <v>85</v>
      </c>
      <c r="Z1" s="172" t="s">
        <v>66</v>
      </c>
      <c r="AA1" s="172" t="s">
        <v>67</v>
      </c>
      <c r="AB1" s="172"/>
      <c r="AC1" s="172"/>
      <c r="AD1" s="172"/>
      <c r="AE1" s="172"/>
      <c r="AF1" s="172" t="s">
        <v>3</v>
      </c>
      <c r="AG1" s="172" t="s">
        <v>86</v>
      </c>
    </row>
    <row r="2" spans="1:33" s="1" customFormat="1" ht="55.5" customHeigh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6"/>
      <c r="O2" s="172"/>
      <c r="P2" s="172"/>
      <c r="Q2" s="172"/>
      <c r="R2" s="172"/>
      <c r="S2" s="4" t="s">
        <v>68</v>
      </c>
      <c r="T2" s="4" t="s">
        <v>69</v>
      </c>
      <c r="U2" s="4" t="s">
        <v>70</v>
      </c>
      <c r="V2" s="172"/>
      <c r="W2" s="172"/>
      <c r="X2" s="172"/>
      <c r="Y2" s="172"/>
      <c r="Z2" s="172"/>
      <c r="AA2" s="4" t="s">
        <v>96</v>
      </c>
      <c r="AB2" s="4" t="s">
        <v>97</v>
      </c>
      <c r="AC2" s="4" t="s">
        <v>73</v>
      </c>
      <c r="AD2" s="4" t="s">
        <v>74</v>
      </c>
      <c r="AE2" s="4" t="s">
        <v>75</v>
      </c>
      <c r="AF2" s="172"/>
      <c r="AG2" s="172"/>
    </row>
    <row r="3" spans="1:33">
      <c r="A3" s="5" t="s">
        <v>138</v>
      </c>
      <c r="B3" s="42" t="s">
        <v>139</v>
      </c>
      <c r="C3" s="42" t="s">
        <v>139</v>
      </c>
      <c r="D3" s="23">
        <v>1</v>
      </c>
      <c r="E3" s="44">
        <v>43833</v>
      </c>
      <c r="F3" s="44">
        <v>43861</v>
      </c>
      <c r="G3" s="23" t="s">
        <v>26</v>
      </c>
      <c r="H3" s="23">
        <v>370</v>
      </c>
      <c r="I3" s="23">
        <v>370</v>
      </c>
      <c r="J3" s="23">
        <v>370</v>
      </c>
      <c r="K3" s="24">
        <v>370</v>
      </c>
      <c r="L3" s="23">
        <v>0</v>
      </c>
      <c r="M3" s="23">
        <v>36</v>
      </c>
      <c r="N3" s="23">
        <v>0</v>
      </c>
      <c r="O3" s="24">
        <v>370</v>
      </c>
      <c r="P3" s="23">
        <v>0</v>
      </c>
      <c r="Q3" s="28">
        <v>0</v>
      </c>
      <c r="R3" s="29">
        <v>0</v>
      </c>
      <c r="S3" s="30">
        <v>0</v>
      </c>
      <c r="T3" s="30">
        <v>0</v>
      </c>
      <c r="U3" s="26">
        <v>0</v>
      </c>
      <c r="V3" s="29">
        <f>(($H3-$J3)/$AG3)*8</f>
        <v>0</v>
      </c>
      <c r="W3" s="31">
        <v>0</v>
      </c>
      <c r="X3" s="29">
        <f>SUM(T3,V3,W3)</f>
        <v>0</v>
      </c>
      <c r="Y3" s="29">
        <f t="shared" ref="Y3:Y15" si="0">R3-X3</f>
        <v>0</v>
      </c>
      <c r="Z3" s="36">
        <v>0</v>
      </c>
      <c r="AA3" s="37">
        <f t="shared" ref="AA3:AA16" si="1">J3/I3</f>
        <v>1</v>
      </c>
      <c r="AB3" s="37">
        <f t="shared" ref="AB3:AB16" si="2">J3/H3</f>
        <v>1</v>
      </c>
      <c r="AC3" s="37">
        <f t="shared" ref="AC3:AC16" si="3">P3/(O3*D3)</f>
        <v>0</v>
      </c>
      <c r="AD3" s="37">
        <f t="shared" ref="AD3:AD16" si="4">IFERROR(Y3/R3,0)</f>
        <v>0</v>
      </c>
      <c r="AE3" s="38">
        <f t="shared" ref="AE3:AE14" si="5">Y3*$B$21</f>
        <v>0</v>
      </c>
      <c r="AF3" s="42"/>
      <c r="AG3" s="23">
        <v>12</v>
      </c>
    </row>
    <row r="4" spans="1:33">
      <c r="A4" s="5" t="s">
        <v>138</v>
      </c>
      <c r="B4" s="42" t="s">
        <v>139</v>
      </c>
      <c r="C4" s="42" t="s">
        <v>139</v>
      </c>
      <c r="D4" s="23">
        <v>1</v>
      </c>
      <c r="E4" s="44">
        <v>43864</v>
      </c>
      <c r="F4" s="44">
        <v>43871</v>
      </c>
      <c r="G4" s="23" t="s">
        <v>27</v>
      </c>
      <c r="H4" s="23">
        <v>370</v>
      </c>
      <c r="I4" s="23">
        <v>370</v>
      </c>
      <c r="J4" s="23">
        <v>370</v>
      </c>
      <c r="K4" s="24">
        <v>370</v>
      </c>
      <c r="L4" s="23">
        <v>0</v>
      </c>
      <c r="M4" s="23">
        <v>0</v>
      </c>
      <c r="N4" s="23">
        <v>0</v>
      </c>
      <c r="O4" s="24">
        <v>370</v>
      </c>
      <c r="P4" s="23">
        <v>314</v>
      </c>
      <c r="Q4" s="28">
        <v>0</v>
      </c>
      <c r="R4" s="29">
        <f t="shared" ref="R4:R15" si="6">($P4/$AG4)*8</f>
        <v>209.33333333333334</v>
      </c>
      <c r="S4" s="30">
        <v>30</v>
      </c>
      <c r="T4" s="30">
        <v>12</v>
      </c>
      <c r="U4" s="26">
        <v>0</v>
      </c>
      <c r="V4" s="29">
        <f t="shared" ref="V4:V15" si="7">(($H4-$J4)/$AG4)*8</f>
        <v>0</v>
      </c>
      <c r="W4" s="31">
        <v>0</v>
      </c>
      <c r="X4" s="29">
        <f>SUM(S4,T4,V4,W4)</f>
        <v>42</v>
      </c>
      <c r="Y4" s="29">
        <f t="shared" si="0"/>
        <v>167.33333333333334</v>
      </c>
      <c r="Z4" s="36">
        <v>3</v>
      </c>
      <c r="AA4" s="37">
        <f t="shared" si="1"/>
        <v>1</v>
      </c>
      <c r="AB4" s="37">
        <f t="shared" si="2"/>
        <v>1</v>
      </c>
      <c r="AC4" s="37">
        <f t="shared" si="3"/>
        <v>0.84864864864864864</v>
      </c>
      <c r="AD4" s="37">
        <f t="shared" si="4"/>
        <v>0.79936305732484081</v>
      </c>
      <c r="AE4" s="38">
        <f t="shared" si="5"/>
        <v>4183.3333333333339</v>
      </c>
      <c r="AF4" s="42"/>
      <c r="AG4" s="23">
        <v>12</v>
      </c>
    </row>
    <row r="5" spans="1:33">
      <c r="A5" s="5" t="s">
        <v>138</v>
      </c>
      <c r="B5" s="42" t="s">
        <v>140</v>
      </c>
      <c r="C5" s="42" t="s">
        <v>140</v>
      </c>
      <c r="D5" s="23">
        <v>1</v>
      </c>
      <c r="E5" s="44">
        <v>43882</v>
      </c>
      <c r="F5" s="44">
        <v>43889</v>
      </c>
      <c r="G5" s="23" t="s">
        <v>27</v>
      </c>
      <c r="H5" s="23">
        <v>400</v>
      </c>
      <c r="I5" s="23">
        <v>400</v>
      </c>
      <c r="J5" s="23">
        <v>374</v>
      </c>
      <c r="K5" s="24">
        <v>374</v>
      </c>
      <c r="L5" s="23">
        <v>0</v>
      </c>
      <c r="M5" s="23">
        <v>4</v>
      </c>
      <c r="N5" s="23">
        <v>0</v>
      </c>
      <c r="O5" s="24">
        <v>374</v>
      </c>
      <c r="P5" s="23">
        <v>0</v>
      </c>
      <c r="Q5" s="28">
        <v>42</v>
      </c>
      <c r="R5" s="29">
        <f t="shared" si="6"/>
        <v>0</v>
      </c>
      <c r="S5" s="30">
        <v>0</v>
      </c>
      <c r="T5" s="30">
        <v>0</v>
      </c>
      <c r="U5" s="26">
        <v>0</v>
      </c>
      <c r="V5" s="29">
        <f t="shared" si="7"/>
        <v>17.333333333333332</v>
      </c>
      <c r="W5" s="31">
        <v>0</v>
      </c>
      <c r="X5" s="29">
        <v>0</v>
      </c>
      <c r="Y5" s="29">
        <f t="shared" si="0"/>
        <v>0</v>
      </c>
      <c r="Z5" s="36">
        <v>0</v>
      </c>
      <c r="AA5" s="37">
        <f t="shared" si="1"/>
        <v>0.93500000000000005</v>
      </c>
      <c r="AB5" s="37">
        <f t="shared" si="2"/>
        <v>0.93500000000000005</v>
      </c>
      <c r="AC5" s="37">
        <f t="shared" si="3"/>
        <v>0</v>
      </c>
      <c r="AD5" s="37">
        <f t="shared" si="4"/>
        <v>0</v>
      </c>
      <c r="AE5" s="38">
        <f t="shared" si="5"/>
        <v>0</v>
      </c>
      <c r="AF5" s="42"/>
      <c r="AG5" s="23">
        <v>12</v>
      </c>
    </row>
    <row r="6" spans="1:33">
      <c r="A6" s="5" t="s">
        <v>138</v>
      </c>
      <c r="B6" s="42" t="s">
        <v>140</v>
      </c>
      <c r="C6" s="42" t="s">
        <v>140</v>
      </c>
      <c r="D6" s="23">
        <v>1</v>
      </c>
      <c r="E6" s="44">
        <v>43892</v>
      </c>
      <c r="F6" s="44">
        <v>43909</v>
      </c>
      <c r="G6" s="23" t="s">
        <v>28</v>
      </c>
      <c r="H6" s="23">
        <v>400</v>
      </c>
      <c r="I6" s="23">
        <v>400</v>
      </c>
      <c r="J6" s="23">
        <v>384</v>
      </c>
      <c r="K6" s="24">
        <v>384</v>
      </c>
      <c r="L6" s="23">
        <v>0</v>
      </c>
      <c r="M6" s="23">
        <v>10</v>
      </c>
      <c r="N6" s="23">
        <v>0</v>
      </c>
      <c r="O6" s="24">
        <v>384</v>
      </c>
      <c r="P6" s="23">
        <v>0</v>
      </c>
      <c r="Q6" s="28">
        <v>104</v>
      </c>
      <c r="R6" s="29">
        <f t="shared" si="6"/>
        <v>0</v>
      </c>
      <c r="S6" s="30">
        <v>0</v>
      </c>
      <c r="T6" s="30">
        <v>0</v>
      </c>
      <c r="U6" s="26">
        <v>0</v>
      </c>
      <c r="V6" s="29">
        <f t="shared" si="7"/>
        <v>10.666666666666666</v>
      </c>
      <c r="W6" s="31">
        <v>0</v>
      </c>
      <c r="X6" s="29">
        <v>0</v>
      </c>
      <c r="Y6" s="29">
        <f t="shared" si="0"/>
        <v>0</v>
      </c>
      <c r="Z6" s="36">
        <v>0</v>
      </c>
      <c r="AA6" s="37">
        <f t="shared" si="1"/>
        <v>0.96</v>
      </c>
      <c r="AB6" s="37">
        <f t="shared" si="2"/>
        <v>0.96</v>
      </c>
      <c r="AC6" s="37">
        <f t="shared" si="3"/>
        <v>0</v>
      </c>
      <c r="AD6" s="37">
        <f t="shared" si="4"/>
        <v>0</v>
      </c>
      <c r="AE6" s="38">
        <f t="shared" si="5"/>
        <v>0</v>
      </c>
      <c r="AF6" s="42"/>
      <c r="AG6" s="23">
        <v>12</v>
      </c>
    </row>
    <row r="7" spans="1:33">
      <c r="A7" s="5" t="s">
        <v>138</v>
      </c>
      <c r="B7" s="42" t="s">
        <v>140</v>
      </c>
      <c r="C7" s="42" t="s">
        <v>140</v>
      </c>
      <c r="D7" s="23">
        <v>1</v>
      </c>
      <c r="E7" s="44">
        <v>43910</v>
      </c>
      <c r="F7" s="44">
        <v>43921</v>
      </c>
      <c r="G7" s="23" t="s">
        <v>28</v>
      </c>
      <c r="H7" s="23">
        <v>400</v>
      </c>
      <c r="I7" s="23">
        <v>400</v>
      </c>
      <c r="J7" s="23">
        <v>390</v>
      </c>
      <c r="K7" s="24">
        <v>390</v>
      </c>
      <c r="L7" s="23">
        <v>0</v>
      </c>
      <c r="M7" s="23">
        <v>6</v>
      </c>
      <c r="N7" s="23">
        <v>0</v>
      </c>
      <c r="O7" s="24">
        <v>390</v>
      </c>
      <c r="P7" s="23">
        <v>14</v>
      </c>
      <c r="Q7" s="28">
        <v>64</v>
      </c>
      <c r="R7" s="29">
        <f t="shared" si="6"/>
        <v>9.3333333333333339</v>
      </c>
      <c r="S7" s="30">
        <v>1</v>
      </c>
      <c r="T7" s="30">
        <v>0.5</v>
      </c>
      <c r="U7" s="26">
        <v>0</v>
      </c>
      <c r="V7" s="29">
        <f t="shared" si="7"/>
        <v>6.666666666666667</v>
      </c>
      <c r="W7" s="31">
        <v>0</v>
      </c>
      <c r="X7" s="29">
        <f>SUM(S7,T7,V7,W7)</f>
        <v>8.1666666666666679</v>
      </c>
      <c r="Y7" s="29">
        <f t="shared" si="0"/>
        <v>1.1666666666666661</v>
      </c>
      <c r="Z7" s="36">
        <v>1</v>
      </c>
      <c r="AA7" s="37">
        <f t="shared" si="1"/>
        <v>0.97499999999999998</v>
      </c>
      <c r="AB7" s="37">
        <f t="shared" si="2"/>
        <v>0.97499999999999998</v>
      </c>
      <c r="AC7" s="37">
        <f t="shared" si="3"/>
        <v>3.5897435897435895E-2</v>
      </c>
      <c r="AD7" s="37">
        <f t="shared" si="4"/>
        <v>0.12499999999999993</v>
      </c>
      <c r="AE7" s="38">
        <f t="shared" si="5"/>
        <v>29.16666666666665</v>
      </c>
      <c r="AF7" s="42"/>
      <c r="AG7" s="23">
        <v>12</v>
      </c>
    </row>
    <row r="8" spans="1:33">
      <c r="A8" s="5" t="s">
        <v>138</v>
      </c>
      <c r="B8" s="42" t="s">
        <v>140</v>
      </c>
      <c r="C8" s="42" t="s">
        <v>140</v>
      </c>
      <c r="D8" s="23">
        <v>1</v>
      </c>
      <c r="E8" s="44">
        <v>43922</v>
      </c>
      <c r="F8" s="44">
        <v>43951</v>
      </c>
      <c r="G8" s="23" t="s">
        <v>29</v>
      </c>
      <c r="H8" s="23">
        <v>406</v>
      </c>
      <c r="I8" s="23">
        <v>406</v>
      </c>
      <c r="J8" s="23">
        <v>406</v>
      </c>
      <c r="K8" s="24">
        <v>406</v>
      </c>
      <c r="L8" s="23">
        <v>0</v>
      </c>
      <c r="M8" s="23">
        <v>18</v>
      </c>
      <c r="N8" s="23">
        <v>18</v>
      </c>
      <c r="O8" s="24">
        <v>406</v>
      </c>
      <c r="P8" s="23">
        <v>300</v>
      </c>
      <c r="Q8" s="28">
        <v>205</v>
      </c>
      <c r="R8" s="29">
        <f t="shared" si="6"/>
        <v>200</v>
      </c>
      <c r="S8" s="30">
        <v>28</v>
      </c>
      <c r="T8" s="30">
        <v>8</v>
      </c>
      <c r="U8" s="26">
        <v>16</v>
      </c>
      <c r="V8" s="29">
        <f t="shared" si="7"/>
        <v>0</v>
      </c>
      <c r="W8" s="31">
        <v>0</v>
      </c>
      <c r="X8" s="29">
        <f>SUM(S8,T8,V8,W8)</f>
        <v>36</v>
      </c>
      <c r="Y8" s="29">
        <f t="shared" ref="Y8:Y10" si="8">R8-X8</f>
        <v>164</v>
      </c>
      <c r="Z8" s="36">
        <v>2</v>
      </c>
      <c r="AA8" s="37">
        <f t="shared" si="1"/>
        <v>1</v>
      </c>
      <c r="AB8" s="37">
        <f t="shared" si="2"/>
        <v>1</v>
      </c>
      <c r="AC8" s="37">
        <f t="shared" si="3"/>
        <v>0.73891625615763545</v>
      </c>
      <c r="AD8" s="37">
        <f t="shared" si="4"/>
        <v>0.82</v>
      </c>
      <c r="AE8" s="38">
        <f t="shared" si="5"/>
        <v>4100</v>
      </c>
      <c r="AF8" s="42"/>
      <c r="AG8" s="23">
        <v>12</v>
      </c>
    </row>
    <row r="9" spans="1:33">
      <c r="A9" s="5" t="s">
        <v>138</v>
      </c>
      <c r="B9" s="42" t="s">
        <v>141</v>
      </c>
      <c r="C9" s="42" t="s">
        <v>141</v>
      </c>
      <c r="D9" s="23">
        <v>1</v>
      </c>
      <c r="E9" s="44">
        <v>43963</v>
      </c>
      <c r="F9" s="44">
        <v>43965</v>
      </c>
      <c r="G9" s="23" t="s">
        <v>30</v>
      </c>
      <c r="H9" s="23">
        <v>406</v>
      </c>
      <c r="I9" s="23">
        <v>406</v>
      </c>
      <c r="J9" s="23">
        <v>406</v>
      </c>
      <c r="K9" s="24">
        <v>406</v>
      </c>
      <c r="L9" s="23">
        <v>0</v>
      </c>
      <c r="M9" s="23">
        <v>0</v>
      </c>
      <c r="N9" s="23">
        <v>2</v>
      </c>
      <c r="O9" s="24">
        <v>406</v>
      </c>
      <c r="P9" s="23">
        <v>171</v>
      </c>
      <c r="Q9" s="28">
        <v>0</v>
      </c>
      <c r="R9" s="29">
        <f t="shared" si="6"/>
        <v>114</v>
      </c>
      <c r="S9" s="30">
        <v>22</v>
      </c>
      <c r="T9" s="30">
        <v>6</v>
      </c>
      <c r="U9" s="26">
        <v>16</v>
      </c>
      <c r="V9" s="29">
        <f t="shared" si="7"/>
        <v>0</v>
      </c>
      <c r="W9" s="31">
        <v>0</v>
      </c>
      <c r="X9" s="29">
        <f>SUM(S9,T9,V9,W9)</f>
        <v>28</v>
      </c>
      <c r="Y9" s="29">
        <f t="shared" si="8"/>
        <v>86</v>
      </c>
      <c r="Z9" s="36">
        <v>1</v>
      </c>
      <c r="AA9" s="37">
        <f t="shared" si="1"/>
        <v>1</v>
      </c>
      <c r="AB9" s="37">
        <f t="shared" si="2"/>
        <v>1</v>
      </c>
      <c r="AC9" s="37">
        <f t="shared" si="3"/>
        <v>0.4211822660098522</v>
      </c>
      <c r="AD9" s="37">
        <f t="shared" si="4"/>
        <v>0.75438596491228072</v>
      </c>
      <c r="AE9" s="38">
        <f t="shared" si="5"/>
        <v>2150</v>
      </c>
      <c r="AF9" s="42"/>
      <c r="AG9" s="23">
        <v>12</v>
      </c>
    </row>
    <row r="10" spans="1:33">
      <c r="A10" s="5" t="s">
        <v>138</v>
      </c>
      <c r="B10" s="42" t="s">
        <v>142</v>
      </c>
      <c r="C10" s="42" t="s">
        <v>142</v>
      </c>
      <c r="D10" s="23">
        <v>1</v>
      </c>
      <c r="E10" s="44">
        <v>44022</v>
      </c>
      <c r="F10" s="44">
        <v>44025</v>
      </c>
      <c r="G10" s="23" t="s">
        <v>32</v>
      </c>
      <c r="H10" s="23">
        <v>406</v>
      </c>
      <c r="I10" s="23">
        <v>406</v>
      </c>
      <c r="J10" s="23">
        <v>406</v>
      </c>
      <c r="K10" s="24">
        <v>406</v>
      </c>
      <c r="L10" s="23">
        <v>0</v>
      </c>
      <c r="M10" s="23">
        <v>0</v>
      </c>
      <c r="N10" s="23">
        <v>0</v>
      </c>
      <c r="O10" s="24">
        <v>406</v>
      </c>
      <c r="P10" s="23">
        <v>171</v>
      </c>
      <c r="Q10" s="28">
        <v>0</v>
      </c>
      <c r="R10" s="29">
        <f t="shared" si="6"/>
        <v>114</v>
      </c>
      <c r="S10" s="30">
        <v>28</v>
      </c>
      <c r="T10" s="30">
        <v>2</v>
      </c>
      <c r="U10" s="26">
        <v>4</v>
      </c>
      <c r="V10" s="29">
        <f t="shared" si="7"/>
        <v>0</v>
      </c>
      <c r="W10" s="31">
        <v>0</v>
      </c>
      <c r="X10" s="29">
        <f>SUM(S10,T10,V10,W10)</f>
        <v>30</v>
      </c>
      <c r="Y10" s="29">
        <f t="shared" si="8"/>
        <v>84</v>
      </c>
      <c r="Z10" s="36">
        <v>1</v>
      </c>
      <c r="AA10" s="37">
        <f t="shared" si="1"/>
        <v>1</v>
      </c>
      <c r="AB10" s="37">
        <f t="shared" si="2"/>
        <v>1</v>
      </c>
      <c r="AC10" s="37">
        <f t="shared" si="3"/>
        <v>0.4211822660098522</v>
      </c>
      <c r="AD10" s="37">
        <f t="shared" si="4"/>
        <v>0.73684210526315785</v>
      </c>
      <c r="AE10" s="38">
        <f t="shared" si="5"/>
        <v>2100</v>
      </c>
      <c r="AF10" s="42"/>
      <c r="AG10" s="23">
        <v>12</v>
      </c>
    </row>
    <row r="11" spans="1:33">
      <c r="A11" s="5" t="s">
        <v>138</v>
      </c>
      <c r="B11" s="42" t="s">
        <v>143</v>
      </c>
      <c r="C11" s="42" t="s">
        <v>143</v>
      </c>
      <c r="D11" s="23">
        <v>1</v>
      </c>
      <c r="E11" s="44">
        <v>44057</v>
      </c>
      <c r="F11" s="44">
        <v>44064</v>
      </c>
      <c r="G11" s="23" t="s">
        <v>33</v>
      </c>
      <c r="H11" s="23">
        <v>406</v>
      </c>
      <c r="I11" s="23">
        <v>406</v>
      </c>
      <c r="J11" s="23">
        <v>406</v>
      </c>
      <c r="K11" s="24">
        <v>406</v>
      </c>
      <c r="L11" s="23">
        <v>0</v>
      </c>
      <c r="M11" s="23">
        <v>0</v>
      </c>
      <c r="N11" s="23">
        <v>0</v>
      </c>
      <c r="O11" s="24">
        <v>406</v>
      </c>
      <c r="P11" s="23">
        <v>171</v>
      </c>
      <c r="Q11" s="28">
        <v>0</v>
      </c>
      <c r="R11" s="29">
        <f t="shared" si="6"/>
        <v>114</v>
      </c>
      <c r="S11" s="30">
        <v>28</v>
      </c>
      <c r="T11" s="30">
        <v>2</v>
      </c>
      <c r="U11" s="26">
        <v>5</v>
      </c>
      <c r="V11" s="29">
        <f t="shared" si="7"/>
        <v>0</v>
      </c>
      <c r="W11" s="31">
        <v>0</v>
      </c>
      <c r="X11" s="29">
        <f>SUM(S11,T11,V11,W11)</f>
        <v>30</v>
      </c>
      <c r="Y11" s="29">
        <f t="shared" si="0"/>
        <v>84</v>
      </c>
      <c r="Z11" s="36">
        <v>1</v>
      </c>
      <c r="AA11" s="37">
        <f t="shared" ref="AA11:AA15" si="9">J11/I11</f>
        <v>1</v>
      </c>
      <c r="AB11" s="37">
        <f t="shared" ref="AB11:AB15" si="10">J11/H11</f>
        <v>1</v>
      </c>
      <c r="AC11" s="37">
        <f t="shared" ref="AC11:AC15" si="11">P11/(O11*D11)</f>
        <v>0.4211822660098522</v>
      </c>
      <c r="AD11" s="37">
        <f t="shared" ref="AD11:AD15" si="12">IFERROR(Y11/R11,0)</f>
        <v>0.73684210526315785</v>
      </c>
      <c r="AE11" s="38">
        <f t="shared" si="5"/>
        <v>2100</v>
      </c>
      <c r="AF11" s="42"/>
      <c r="AG11" s="23">
        <v>12</v>
      </c>
    </row>
    <row r="12" spans="1:33">
      <c r="A12" s="5" t="s">
        <v>138</v>
      </c>
      <c r="B12" s="42" t="s">
        <v>144</v>
      </c>
      <c r="C12" s="42" t="s">
        <v>144</v>
      </c>
      <c r="D12" s="23">
        <v>1</v>
      </c>
      <c r="E12" s="44">
        <v>44125</v>
      </c>
      <c r="F12" s="44">
        <v>44131</v>
      </c>
      <c r="G12" s="23" t="s">
        <v>35</v>
      </c>
      <c r="H12" s="23">
        <v>406</v>
      </c>
      <c r="I12" s="23">
        <v>406</v>
      </c>
      <c r="J12" s="23">
        <v>406</v>
      </c>
      <c r="K12" s="24">
        <v>406</v>
      </c>
      <c r="L12" s="23">
        <v>0</v>
      </c>
      <c r="M12" s="23">
        <v>0</v>
      </c>
      <c r="N12" s="23">
        <v>26</v>
      </c>
      <c r="O12" s="24">
        <v>406</v>
      </c>
      <c r="P12" s="23">
        <v>171</v>
      </c>
      <c r="Q12" s="28">
        <v>0</v>
      </c>
      <c r="R12" s="29">
        <f t="shared" si="6"/>
        <v>114</v>
      </c>
      <c r="S12" s="30">
        <v>28</v>
      </c>
      <c r="T12" s="30">
        <v>4</v>
      </c>
      <c r="U12" s="26">
        <v>12</v>
      </c>
      <c r="V12" s="29">
        <f t="shared" si="7"/>
        <v>0</v>
      </c>
      <c r="W12" s="31">
        <v>0</v>
      </c>
      <c r="X12" s="29">
        <f t="shared" ref="X12:X15" si="13">SUM(S12,T12,V12,W12)</f>
        <v>32</v>
      </c>
      <c r="Y12" s="29">
        <f t="shared" si="0"/>
        <v>82</v>
      </c>
      <c r="Z12" s="36">
        <v>1</v>
      </c>
      <c r="AA12" s="37">
        <f t="shared" si="9"/>
        <v>1</v>
      </c>
      <c r="AB12" s="37">
        <f t="shared" si="10"/>
        <v>1</v>
      </c>
      <c r="AC12" s="37">
        <f t="shared" si="11"/>
        <v>0.4211822660098522</v>
      </c>
      <c r="AD12" s="37">
        <f t="shared" si="12"/>
        <v>0.7192982456140351</v>
      </c>
      <c r="AE12" s="38">
        <f t="shared" si="5"/>
        <v>2050</v>
      </c>
      <c r="AF12" s="42"/>
      <c r="AG12" s="23">
        <v>12</v>
      </c>
    </row>
    <row r="13" spans="1:33">
      <c r="A13" s="5" t="s">
        <v>138</v>
      </c>
      <c r="B13" s="42" t="s">
        <v>145</v>
      </c>
      <c r="C13" s="42" t="s">
        <v>145</v>
      </c>
      <c r="D13" s="23">
        <v>1</v>
      </c>
      <c r="E13" s="44">
        <v>44152</v>
      </c>
      <c r="F13" s="44">
        <v>44155</v>
      </c>
      <c r="G13" s="23" t="s">
        <v>36</v>
      </c>
      <c r="H13" s="23">
        <v>406</v>
      </c>
      <c r="I13" s="23">
        <v>406</v>
      </c>
      <c r="J13" s="23">
        <v>406</v>
      </c>
      <c r="K13" s="24">
        <v>406</v>
      </c>
      <c r="L13" s="23">
        <v>0</v>
      </c>
      <c r="M13" s="23">
        <v>0</v>
      </c>
      <c r="N13" s="23">
        <v>26</v>
      </c>
      <c r="O13" s="24">
        <v>406</v>
      </c>
      <c r="P13" s="23">
        <v>90</v>
      </c>
      <c r="Q13" s="28">
        <v>0</v>
      </c>
      <c r="R13" s="29">
        <f t="shared" si="6"/>
        <v>60</v>
      </c>
      <c r="S13" s="30">
        <v>28</v>
      </c>
      <c r="T13" s="30">
        <v>4</v>
      </c>
      <c r="U13" s="26">
        <v>4</v>
      </c>
      <c r="V13" s="29">
        <f t="shared" si="7"/>
        <v>0</v>
      </c>
      <c r="W13" s="31">
        <v>0</v>
      </c>
      <c r="X13" s="29">
        <f t="shared" si="13"/>
        <v>32</v>
      </c>
      <c r="Y13" s="29">
        <f t="shared" si="0"/>
        <v>28</v>
      </c>
      <c r="Z13" s="36">
        <v>1</v>
      </c>
      <c r="AA13" s="37">
        <f t="shared" si="9"/>
        <v>1</v>
      </c>
      <c r="AB13" s="37">
        <f t="shared" si="10"/>
        <v>1</v>
      </c>
      <c r="AC13" s="37">
        <f t="shared" si="11"/>
        <v>0.22167487684729065</v>
      </c>
      <c r="AD13" s="37">
        <f t="shared" si="12"/>
        <v>0.46666666666666667</v>
      </c>
      <c r="AE13" s="38">
        <f t="shared" si="5"/>
        <v>700</v>
      </c>
      <c r="AF13" s="42"/>
      <c r="AG13" s="23">
        <v>12</v>
      </c>
    </row>
    <row r="14" spans="1:33">
      <c r="A14" s="5" t="s">
        <v>138</v>
      </c>
      <c r="B14" s="42" t="s">
        <v>146</v>
      </c>
      <c r="C14" s="42" t="s">
        <v>146</v>
      </c>
      <c r="D14" s="23">
        <v>1</v>
      </c>
      <c r="E14" s="44">
        <v>43878</v>
      </c>
      <c r="F14" s="44">
        <v>43886</v>
      </c>
      <c r="G14" s="23" t="s">
        <v>27</v>
      </c>
      <c r="H14" s="23">
        <v>406</v>
      </c>
      <c r="I14" s="23">
        <v>406</v>
      </c>
      <c r="J14" s="23">
        <v>406</v>
      </c>
      <c r="K14" s="24">
        <v>406</v>
      </c>
      <c r="L14" s="23">
        <v>0</v>
      </c>
      <c r="M14" s="23">
        <v>0</v>
      </c>
      <c r="N14" s="23">
        <v>0</v>
      </c>
      <c r="O14" s="24">
        <v>406</v>
      </c>
      <c r="P14" s="23">
        <v>0</v>
      </c>
      <c r="Q14" s="28">
        <v>0</v>
      </c>
      <c r="R14" s="29">
        <f t="shared" si="6"/>
        <v>0</v>
      </c>
      <c r="S14" s="30">
        <v>0</v>
      </c>
      <c r="T14" s="30">
        <v>0</v>
      </c>
      <c r="U14" s="26">
        <v>26</v>
      </c>
      <c r="V14" s="29">
        <f t="shared" si="7"/>
        <v>0</v>
      </c>
      <c r="W14" s="31">
        <v>0</v>
      </c>
      <c r="X14" s="29">
        <f t="shared" si="13"/>
        <v>0</v>
      </c>
      <c r="Y14" s="29">
        <f t="shared" si="0"/>
        <v>0</v>
      </c>
      <c r="Z14" s="36">
        <v>0</v>
      </c>
      <c r="AA14" s="37">
        <f t="shared" si="9"/>
        <v>1</v>
      </c>
      <c r="AB14" s="37">
        <f t="shared" si="10"/>
        <v>1</v>
      </c>
      <c r="AC14" s="37">
        <f t="shared" si="11"/>
        <v>0</v>
      </c>
      <c r="AD14" s="37">
        <f t="shared" si="12"/>
        <v>0</v>
      </c>
      <c r="AE14" s="38">
        <f t="shared" si="5"/>
        <v>0</v>
      </c>
      <c r="AF14" s="42"/>
      <c r="AG14" s="23">
        <v>12</v>
      </c>
    </row>
    <row r="15" spans="1:33">
      <c r="A15" s="5" t="s">
        <v>138</v>
      </c>
      <c r="B15" s="42" t="s">
        <v>147</v>
      </c>
      <c r="C15" s="42" t="s">
        <v>147</v>
      </c>
      <c r="D15" s="23">
        <v>1</v>
      </c>
      <c r="E15" s="44">
        <v>44256</v>
      </c>
      <c r="F15" s="44">
        <v>44267</v>
      </c>
      <c r="G15" s="23" t="s">
        <v>28</v>
      </c>
      <c r="H15" s="23">
        <v>406</v>
      </c>
      <c r="I15" s="23">
        <v>406</v>
      </c>
      <c r="J15" s="23">
        <v>406</v>
      </c>
      <c r="K15" s="24">
        <v>406</v>
      </c>
      <c r="L15" s="23">
        <v>0</v>
      </c>
      <c r="M15" s="23">
        <v>0</v>
      </c>
      <c r="N15" s="23">
        <v>20</v>
      </c>
      <c r="O15" s="24">
        <v>406</v>
      </c>
      <c r="P15" s="23">
        <v>143</v>
      </c>
      <c r="Q15" s="28">
        <v>0</v>
      </c>
      <c r="R15" s="29">
        <f t="shared" si="6"/>
        <v>95.333333333333329</v>
      </c>
      <c r="S15" s="30">
        <v>0</v>
      </c>
      <c r="T15" s="30">
        <v>6</v>
      </c>
      <c r="U15" s="26">
        <v>10</v>
      </c>
      <c r="V15" s="29">
        <f t="shared" si="7"/>
        <v>0</v>
      </c>
      <c r="W15" s="31">
        <v>0</v>
      </c>
      <c r="X15" s="29">
        <f t="shared" si="13"/>
        <v>6</v>
      </c>
      <c r="Y15" s="29">
        <f t="shared" si="0"/>
        <v>89.333333333333329</v>
      </c>
      <c r="Z15" s="36">
        <v>0</v>
      </c>
      <c r="AA15" s="37">
        <f t="shared" si="9"/>
        <v>1</v>
      </c>
      <c r="AB15" s="37">
        <f t="shared" si="10"/>
        <v>1</v>
      </c>
      <c r="AC15" s="37">
        <f t="shared" si="11"/>
        <v>0.35221674876847292</v>
      </c>
      <c r="AD15" s="37">
        <f t="shared" si="12"/>
        <v>0.93706293706293708</v>
      </c>
      <c r="AE15" s="38">
        <f t="shared" ref="AE15" si="14">Y15*$B$21</f>
        <v>2233.333333333333</v>
      </c>
      <c r="AF15" s="42"/>
      <c r="AG15" s="23">
        <v>12</v>
      </c>
    </row>
    <row r="16" spans="1:33" s="2" customFormat="1">
      <c r="A16" s="8" t="s">
        <v>138</v>
      </c>
      <c r="B16" s="8" t="s">
        <v>90</v>
      </c>
      <c r="C16" s="9" t="s">
        <v>90</v>
      </c>
      <c r="D16" s="9">
        <f ca="1">SUM(D3:INDIRECT("D"&amp;ROW()-1))</f>
        <v>13</v>
      </c>
      <c r="E16" s="9"/>
      <c r="F16" s="9"/>
      <c r="G16" s="9"/>
      <c r="H16" s="9">
        <f ca="1">INDIRECT("H"&amp;ROW()-1)</f>
        <v>406</v>
      </c>
      <c r="I16" s="9">
        <f ca="1">INDIRECT("I"&amp;ROW()-1)</f>
        <v>406</v>
      </c>
      <c r="J16" s="9">
        <f ca="1">INDIRECT("J"&amp;ROW()-1)</f>
        <v>406</v>
      </c>
      <c r="K16" s="9">
        <f ca="1">INDIRECT("K"&amp;ROW()-1)</f>
        <v>406</v>
      </c>
      <c r="L16" s="9">
        <f ca="1">SUM(L3:INDIRECT("L"&amp;ROW()-1))</f>
        <v>0</v>
      </c>
      <c r="M16" s="9">
        <f ca="1">SUM(M3:INDIRECT("M"&amp;ROW()-1))</f>
        <v>74</v>
      </c>
      <c r="N16" s="9">
        <f ca="1">SUM(N3:INDIRECT("N"&amp;ROW()-1))</f>
        <v>92</v>
      </c>
      <c r="O16" s="9">
        <f ca="1">INDIRECT("O"&amp;ROW()-1)</f>
        <v>406</v>
      </c>
      <c r="P16" s="9">
        <f ca="1">SUM(P3:INDIRECT("P"&amp;ROW()-1))</f>
        <v>1545</v>
      </c>
      <c r="Q16" s="9">
        <f ca="1">SUM(Q3:INDIRECT("Q"&amp;ROW()-1))</f>
        <v>415</v>
      </c>
      <c r="R16" s="27">
        <f ca="1">SUM(R3:INDIRECT("R"&amp;ROW()-1))</f>
        <v>1030</v>
      </c>
      <c r="S16" s="9">
        <f ca="1">SUM(S3:INDIRECT("S"&amp;ROW()-1))</f>
        <v>193</v>
      </c>
      <c r="T16" s="9">
        <f ca="1">SUM(T3:INDIRECT("T"&amp;ROW()-1))</f>
        <v>44.5</v>
      </c>
      <c r="U16" s="9">
        <f ca="1">SUM(U3:INDIRECT("U"&amp;ROW()-1))</f>
        <v>93</v>
      </c>
      <c r="V16" s="9">
        <f ca="1">SUM(V3:INDIRECT("V"&amp;ROW()-1))</f>
        <v>34.666666666666664</v>
      </c>
      <c r="W16" s="9">
        <f ca="1">SUM(W3:INDIRECT("W"&amp;ROW()-1))</f>
        <v>0</v>
      </c>
      <c r="X16" s="9">
        <f ca="1">SUM(X3:INDIRECT("X"&amp;ROW()-1))</f>
        <v>244.16666666666669</v>
      </c>
      <c r="Y16" s="27">
        <f ca="1">SUM(Y3:INDIRECT("Y"&amp;ROW()-1))</f>
        <v>785.83333333333337</v>
      </c>
      <c r="Z16" s="9">
        <f ca="1">SUM(Z3:INDIRECT("z"&amp;ROW()-1))</f>
        <v>11</v>
      </c>
      <c r="AA16" s="34">
        <f t="shared" ca="1" si="1"/>
        <v>1</v>
      </c>
      <c r="AB16" s="34">
        <f t="shared" ca="1" si="2"/>
        <v>1</v>
      </c>
      <c r="AC16" s="34">
        <f t="shared" ca="1" si="3"/>
        <v>0.29272451686244788</v>
      </c>
      <c r="AD16" s="39">
        <f t="shared" ca="1" si="4"/>
        <v>0.76294498381877029</v>
      </c>
      <c r="AE16" s="35">
        <f ca="1">SUM(AE3:INDIRECT("AF"&amp;ROW()-1))</f>
        <v>19645.833333333332</v>
      </c>
      <c r="AF16" s="9"/>
      <c r="AG16" s="9"/>
    </row>
    <row r="17" spans="1:33" s="2" customFormat="1"/>
    <row r="18" spans="1:33" s="2" customFormat="1">
      <c r="A18" s="10"/>
      <c r="B18" s="11"/>
      <c r="E18" s="2">
        <v>11</v>
      </c>
      <c r="Q18" s="13"/>
      <c r="AC18" s="25"/>
    </row>
    <row r="19" spans="1:33" s="2" customFormat="1">
      <c r="A19" s="10"/>
      <c r="B19" s="11"/>
      <c r="Q19" s="13"/>
      <c r="AC19" s="25"/>
    </row>
    <row r="20" spans="1:33" s="2" customFormat="1">
      <c r="A20" s="10"/>
      <c r="B20" s="11"/>
      <c r="Q20" s="13"/>
      <c r="AC20" s="25"/>
    </row>
    <row r="21" spans="1:33" s="2" customFormat="1">
      <c r="A21" s="10" t="s">
        <v>91</v>
      </c>
      <c r="B21" s="11">
        <v>25</v>
      </c>
      <c r="P21" s="25"/>
      <c r="Q21" s="13"/>
      <c r="AC21" s="25"/>
    </row>
    <row r="22" spans="1:33" ht="21">
      <c r="A22" s="10" t="s">
        <v>92</v>
      </c>
      <c r="B22" s="12">
        <v>8</v>
      </c>
      <c r="C22" s="2"/>
      <c r="D22" s="2"/>
      <c r="E22" s="2"/>
      <c r="F22" s="2"/>
      <c r="G22" s="2"/>
      <c r="H22" s="2"/>
      <c r="I22" s="2"/>
      <c r="J22" s="25"/>
      <c r="K22" s="25"/>
      <c r="L22" s="2"/>
      <c r="M22" s="2"/>
      <c r="N22" s="2"/>
      <c r="O22" s="2"/>
      <c r="P22" s="2"/>
      <c r="Q22" s="1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54" spans="1:33">
      <c r="N54" s="172" t="s">
        <v>22</v>
      </c>
      <c r="O54" s="172" t="s">
        <v>82</v>
      </c>
      <c r="P54" s="172" t="s">
        <v>60</v>
      </c>
      <c r="Q54" s="172" t="s">
        <v>85</v>
      </c>
      <c r="R54" s="172" t="s">
        <v>74</v>
      </c>
      <c r="S54" s="172" t="s">
        <v>75</v>
      </c>
      <c r="T54" s="173"/>
      <c r="AG54" s="13"/>
    </row>
    <row r="55" spans="1:33">
      <c r="N55" s="172"/>
      <c r="O55" s="172"/>
      <c r="P55" s="172"/>
      <c r="Q55" s="172"/>
      <c r="R55" s="172"/>
      <c r="S55" s="172"/>
      <c r="T55" s="173"/>
      <c r="AG55" s="13"/>
    </row>
    <row r="56" spans="1:33">
      <c r="N56" s="42" t="s">
        <v>138</v>
      </c>
      <c r="O56" s="23" t="s">
        <v>26</v>
      </c>
      <c r="P56" s="26">
        <f>SUMIFS($R$3:$R$3,$G$3:$G$3,O56)</f>
        <v>0</v>
      </c>
      <c r="Q56" s="26">
        <f>SUMIFS($Y$3:$Y$3,$G$3:$G$3,O56)</f>
        <v>0</v>
      </c>
      <c r="R56" s="32">
        <f t="shared" ref="R56:R68" si="15">IFERROR(Q56/P56,0)</f>
        <v>0</v>
      </c>
      <c r="S56" s="33">
        <f t="shared" ref="S56:S67" si="16">SUMIFS($AE$3:$AE$3,$G$3:$G$3,O56)</f>
        <v>0</v>
      </c>
      <c r="T56" s="18"/>
      <c r="AG56" s="15"/>
    </row>
    <row r="57" spans="1:33">
      <c r="N57" s="42" t="s">
        <v>138</v>
      </c>
      <c r="O57" s="23" t="s">
        <v>27</v>
      </c>
      <c r="P57" s="26">
        <f>SUMIFS($R$4:$R$5,$G$4:$G$5,O57)</f>
        <v>209.33333333333334</v>
      </c>
      <c r="Q57" s="26">
        <f>SUMIFS($Y$4:$Y$5,$G$4:$G$5,O57)</f>
        <v>167.33333333333334</v>
      </c>
      <c r="R57" s="32">
        <f t="shared" si="15"/>
        <v>0.79936305732484081</v>
      </c>
      <c r="S57" s="33">
        <f>SUMIFS($AE$4:$AE$5,$G$4:$G$5,O57)</f>
        <v>4183.3333333333339</v>
      </c>
      <c r="T57" s="18"/>
      <c r="AG57" s="15"/>
    </row>
    <row r="58" spans="1:33">
      <c r="N58" s="42" t="s">
        <v>138</v>
      </c>
      <c r="O58" s="23" t="s">
        <v>28</v>
      </c>
      <c r="P58" s="26">
        <f>SUMIFS($R$6:$R$7,$G$6:$G$7,O58)</f>
        <v>9.3333333333333339</v>
      </c>
      <c r="Q58" s="26">
        <f>SUMIFS($Y$6:$Y$7,$G$6:$G$7,O58)</f>
        <v>1.1666666666666661</v>
      </c>
      <c r="R58" s="32">
        <f t="shared" si="15"/>
        <v>0.12499999999999993</v>
      </c>
      <c r="S58" s="33">
        <f>SUMIFS($AE$6:$AE$7,$G$6:$G$7,O58)</f>
        <v>29.16666666666665</v>
      </c>
      <c r="T58" s="18"/>
      <c r="AG58" s="15"/>
    </row>
    <row r="59" spans="1:33">
      <c r="N59" s="42" t="s">
        <v>138</v>
      </c>
      <c r="O59" s="23" t="s">
        <v>29</v>
      </c>
      <c r="P59" s="26">
        <f>SUMIFS($R$8:$R$8,$G$8:$G$8,O59)</f>
        <v>200</v>
      </c>
      <c r="Q59" s="26">
        <f>SUMIFS($Y$8:$Y$8,$G$8:$G$8,O59)</f>
        <v>164</v>
      </c>
      <c r="R59" s="32">
        <f t="shared" si="15"/>
        <v>0.82</v>
      </c>
      <c r="S59" s="33">
        <f>SUMIFS($AE$8:$AE$8,$G$8:$G$8,O59)</f>
        <v>4100</v>
      </c>
      <c r="T59" s="18"/>
      <c r="AG59" s="15"/>
    </row>
    <row r="60" spans="1:33">
      <c r="N60" s="42" t="s">
        <v>138</v>
      </c>
      <c r="O60" s="23" t="s">
        <v>30</v>
      </c>
      <c r="P60" s="26">
        <f>SUMIFS($R$9,$G$9,O60)</f>
        <v>114</v>
      </c>
      <c r="Q60" s="26">
        <f>SUMIFS($Y$9,$G$9,O60)</f>
        <v>86</v>
      </c>
      <c r="R60" s="32">
        <f t="shared" si="15"/>
        <v>0.75438596491228072</v>
      </c>
      <c r="S60" s="33">
        <f>SUMIFS($AE$9,$G$9,O60)</f>
        <v>2150</v>
      </c>
      <c r="T60" s="18"/>
      <c r="AG60" s="15"/>
    </row>
    <row r="61" spans="1:33">
      <c r="N61" s="42" t="s">
        <v>138</v>
      </c>
      <c r="O61" s="23" t="s">
        <v>31</v>
      </c>
      <c r="P61" s="26">
        <f t="shared" ref="P61:P67" si="17">SUMIFS($R$3:$R$3,$G$3:$G$3,O61)</f>
        <v>0</v>
      </c>
      <c r="Q61" s="26">
        <f t="shared" ref="Q61:Q67" si="18">SUMIFS($Y$3:$Y$3,$G$3:$G$3,O61)</f>
        <v>0</v>
      </c>
      <c r="R61" s="32">
        <f t="shared" si="15"/>
        <v>0</v>
      </c>
      <c r="S61" s="33">
        <f>SUMIFS($AE$9,$G$9,O61)</f>
        <v>0</v>
      </c>
      <c r="T61" s="18"/>
      <c r="AG61" s="15"/>
    </row>
    <row r="62" spans="1:33" ht="15" customHeight="1">
      <c r="N62" s="42" t="s">
        <v>138</v>
      </c>
      <c r="O62" s="23" t="s">
        <v>32</v>
      </c>
      <c r="P62" s="26">
        <f>SUMIFS($R$11,$G$11,O62)</f>
        <v>0</v>
      </c>
      <c r="Q62" s="26">
        <f>SUMIFS($Y$11,$G$11,O62)</f>
        <v>0</v>
      </c>
      <c r="R62" s="32">
        <f t="shared" si="15"/>
        <v>0</v>
      </c>
      <c r="S62" s="33">
        <f>SUMIFS($AE$11,$G$11,O62)</f>
        <v>0</v>
      </c>
      <c r="T62" s="18"/>
      <c r="AG62" s="15"/>
    </row>
    <row r="63" spans="1:33">
      <c r="A63" s="173"/>
      <c r="B63" s="173"/>
      <c r="C63" s="173"/>
      <c r="D63" s="173"/>
      <c r="E63" s="173"/>
      <c r="F63" s="173"/>
      <c r="G63" s="173"/>
      <c r="N63" s="42" t="s">
        <v>138</v>
      </c>
      <c r="O63" s="23" t="s">
        <v>33</v>
      </c>
      <c r="P63" s="26">
        <f t="shared" si="17"/>
        <v>0</v>
      </c>
      <c r="Q63" s="26">
        <f t="shared" si="18"/>
        <v>0</v>
      </c>
      <c r="R63" s="32">
        <f t="shared" si="15"/>
        <v>0</v>
      </c>
      <c r="S63" s="33">
        <f t="shared" si="16"/>
        <v>0</v>
      </c>
      <c r="T63" s="18"/>
      <c r="AG63" s="15"/>
    </row>
    <row r="64" spans="1:33">
      <c r="A64" s="173"/>
      <c r="B64" s="173"/>
      <c r="C64" s="173"/>
      <c r="D64" s="173"/>
      <c r="E64" s="173"/>
      <c r="F64" s="173"/>
      <c r="G64" s="173"/>
      <c r="N64" s="42" t="s">
        <v>138</v>
      </c>
      <c r="O64" s="23" t="s">
        <v>34</v>
      </c>
      <c r="P64" s="26">
        <f t="shared" si="17"/>
        <v>0</v>
      </c>
      <c r="Q64" s="26">
        <f t="shared" si="18"/>
        <v>0</v>
      </c>
      <c r="R64" s="32">
        <f t="shared" si="15"/>
        <v>0</v>
      </c>
      <c r="S64" s="33">
        <f t="shared" si="16"/>
        <v>0</v>
      </c>
      <c r="T64" s="18"/>
      <c r="AG64" s="15"/>
    </row>
    <row r="65" spans="1:33">
      <c r="A65" s="14"/>
      <c r="B65" s="15"/>
      <c r="C65" s="15"/>
      <c r="D65" s="16"/>
      <c r="E65" s="16"/>
      <c r="F65" s="17"/>
      <c r="G65" s="18"/>
      <c r="N65" s="42" t="s">
        <v>138</v>
      </c>
      <c r="O65" s="23" t="s">
        <v>35</v>
      </c>
      <c r="P65" s="26">
        <f t="shared" si="17"/>
        <v>0</v>
      </c>
      <c r="Q65" s="26">
        <f t="shared" si="18"/>
        <v>0</v>
      </c>
      <c r="R65" s="32">
        <f t="shared" si="15"/>
        <v>0</v>
      </c>
      <c r="S65" s="33">
        <f t="shared" si="16"/>
        <v>0</v>
      </c>
      <c r="T65" s="18"/>
      <c r="AG65" s="15"/>
    </row>
    <row r="66" spans="1:33">
      <c r="A66" s="14"/>
      <c r="B66" s="15"/>
      <c r="C66" s="15"/>
      <c r="D66" s="16"/>
      <c r="E66" s="16"/>
      <c r="F66" s="17"/>
      <c r="G66" s="18"/>
      <c r="N66" s="42" t="s">
        <v>138</v>
      </c>
      <c r="O66" s="23" t="s">
        <v>36</v>
      </c>
      <c r="P66" s="26">
        <f t="shared" si="17"/>
        <v>0</v>
      </c>
      <c r="Q66" s="26">
        <f t="shared" si="18"/>
        <v>0</v>
      </c>
      <c r="R66" s="32">
        <f t="shared" si="15"/>
        <v>0</v>
      </c>
      <c r="S66" s="33">
        <f t="shared" si="16"/>
        <v>0</v>
      </c>
      <c r="T66" s="18"/>
      <c r="AG66" s="15"/>
    </row>
    <row r="67" spans="1:33">
      <c r="A67" s="14"/>
      <c r="B67" s="15"/>
      <c r="C67" s="15"/>
      <c r="D67" s="16"/>
      <c r="E67" s="16"/>
      <c r="F67" s="17"/>
      <c r="G67" s="18"/>
      <c r="N67" s="42" t="s">
        <v>138</v>
      </c>
      <c r="O67" s="23" t="s">
        <v>37</v>
      </c>
      <c r="P67" s="26">
        <f t="shared" si="17"/>
        <v>0</v>
      </c>
      <c r="Q67" s="26">
        <f t="shared" si="18"/>
        <v>0</v>
      </c>
      <c r="R67" s="32">
        <f t="shared" si="15"/>
        <v>0</v>
      </c>
      <c r="S67" s="33">
        <f t="shared" si="16"/>
        <v>0</v>
      </c>
      <c r="T67" s="18"/>
      <c r="AG67" s="15"/>
    </row>
    <row r="68" spans="1:33">
      <c r="A68" s="14"/>
      <c r="B68" s="15"/>
      <c r="C68" s="15"/>
      <c r="D68" s="16"/>
      <c r="E68" s="16"/>
      <c r="F68" s="17"/>
      <c r="G68" s="18"/>
      <c r="N68" s="8" t="s">
        <v>138</v>
      </c>
      <c r="O68" s="9"/>
      <c r="P68" s="27">
        <f>SUM(P56:P67)</f>
        <v>532.66666666666674</v>
      </c>
      <c r="Q68" s="27">
        <f>SUM(Q56:Q67)</f>
        <v>418.5</v>
      </c>
      <c r="R68" s="34">
        <f t="shared" si="15"/>
        <v>0.78566958698372957</v>
      </c>
      <c r="S68" s="35">
        <f>SUM(S56:S67)</f>
        <v>10462.5</v>
      </c>
      <c r="T68" s="22"/>
      <c r="AG68" s="13"/>
    </row>
    <row r="69" spans="1:33">
      <c r="A69" s="14"/>
      <c r="B69" s="15"/>
      <c r="C69" s="15"/>
      <c r="D69" s="16"/>
      <c r="E69" s="16"/>
      <c r="F69" s="17"/>
      <c r="G69" s="18"/>
    </row>
    <row r="70" spans="1:33">
      <c r="A70" s="19"/>
      <c r="B70" s="19"/>
      <c r="C70" s="13"/>
      <c r="D70" s="20"/>
      <c r="E70" s="20"/>
      <c r="F70" s="21"/>
      <c r="G70" s="22"/>
    </row>
    <row r="71" spans="1:33">
      <c r="A71" s="10" t="s">
        <v>91</v>
      </c>
      <c r="B71" s="11">
        <v>25</v>
      </c>
      <c r="C71" s="2"/>
      <c r="D71" s="2"/>
      <c r="E71" s="2"/>
      <c r="F71" s="2"/>
      <c r="G71" s="2"/>
    </row>
  </sheetData>
  <sheetProtection formatCells="0" formatColumns="0" formatRows="0"/>
  <mergeCells count="41">
    <mergeCell ref="Y1:Y2"/>
    <mergeCell ref="Z1:Z2"/>
    <mergeCell ref="AF1:AF2"/>
    <mergeCell ref="AG1:AG2"/>
    <mergeCell ref="S54:S55"/>
    <mergeCell ref="T54:T55"/>
    <mergeCell ref="V1:V2"/>
    <mergeCell ref="W1:W2"/>
    <mergeCell ref="X1:X2"/>
    <mergeCell ref="S1:U1"/>
    <mergeCell ref="AA1:AE1"/>
    <mergeCell ref="P1:P2"/>
    <mergeCell ref="P54:P55"/>
    <mergeCell ref="Q1:Q2"/>
    <mergeCell ref="Q54:Q55"/>
    <mergeCell ref="R1:R2"/>
    <mergeCell ref="R54:R55"/>
    <mergeCell ref="M1:M2"/>
    <mergeCell ref="N1:N2"/>
    <mergeCell ref="N54:N55"/>
    <mergeCell ref="O1:O2"/>
    <mergeCell ref="O54:O55"/>
    <mergeCell ref="H1:H2"/>
    <mergeCell ref="I1:I2"/>
    <mergeCell ref="J1:J2"/>
    <mergeCell ref="K1:K2"/>
    <mergeCell ref="L1:L2"/>
    <mergeCell ref="A1:A2"/>
    <mergeCell ref="A63:A64"/>
    <mergeCell ref="B1:B2"/>
    <mergeCell ref="B63:B64"/>
    <mergeCell ref="C1:C2"/>
    <mergeCell ref="C63:C64"/>
    <mergeCell ref="G1:G2"/>
    <mergeCell ref="G63:G64"/>
    <mergeCell ref="D1:D2"/>
    <mergeCell ref="D63:D64"/>
    <mergeCell ref="E1:E2"/>
    <mergeCell ref="E63:E64"/>
    <mergeCell ref="F1:F2"/>
    <mergeCell ref="F63:F64"/>
  </mergeCells>
  <pageMargins left="0.7" right="0.7" top="0.75" bottom="0.75" header="0.3" footer="0.3"/>
  <pageSetup paperSize="9" orientation="portrait"/>
  <headerFooter>
    <oddFooter>&amp;CNBCU Internal</oddFooter>
  </headerFooter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A1:AG66"/>
  <sheetViews>
    <sheetView workbookViewId="0">
      <selection activeCell="A11" sqref="A11"/>
    </sheetView>
  </sheetViews>
  <sheetFormatPr defaultColWidth="8.81640625" defaultRowHeight="14.5"/>
  <cols>
    <col min="1" max="1" width="9.81640625" style="3" customWidth="1"/>
    <col min="2" max="2" width="10.453125" style="3" customWidth="1"/>
    <col min="3" max="3" width="14.1796875" style="3" customWidth="1"/>
    <col min="4" max="4" width="5.453125" style="3" customWidth="1"/>
    <col min="5" max="6" width="9" style="3" customWidth="1"/>
    <col min="7" max="7" width="8.81640625" style="3" customWidth="1"/>
    <col min="8" max="8" width="19.453125" style="3" customWidth="1"/>
    <col min="9" max="9" width="19.81640625" style="3" customWidth="1"/>
    <col min="10" max="10" width="11.453125" style="3" customWidth="1"/>
    <col min="11" max="11" width="13.1796875" style="3" customWidth="1"/>
    <col min="12" max="12" width="11.1796875" style="3" customWidth="1"/>
    <col min="13" max="14" width="13.1796875" style="3" customWidth="1"/>
    <col min="15" max="15" width="13.81640625" style="3" customWidth="1"/>
    <col min="16" max="16" width="22.453125" style="3" customWidth="1"/>
    <col min="17" max="18" width="19.453125" style="3" customWidth="1"/>
    <col min="19" max="19" width="12.1796875" style="3" customWidth="1"/>
    <col min="20" max="20" width="17.453125" style="3" customWidth="1"/>
    <col min="21" max="21" width="9.81640625" style="3" customWidth="1"/>
    <col min="22" max="22" width="18" style="3" customWidth="1"/>
    <col min="23" max="23" width="19.1796875" style="3" customWidth="1"/>
    <col min="24" max="24" width="13.453125" style="3" customWidth="1"/>
    <col min="25" max="25" width="10.1796875" style="3" customWidth="1"/>
    <col min="26" max="26" width="18.1796875" style="3" customWidth="1"/>
    <col min="27" max="27" width="6.453125" style="3" customWidth="1"/>
    <col min="28" max="28" width="15" style="3" customWidth="1"/>
    <col min="29" max="29" width="9.453125" style="3" customWidth="1"/>
    <col min="30" max="30" width="18" style="3" customWidth="1"/>
    <col min="31" max="31" width="12.1796875" style="3" customWidth="1"/>
    <col min="32" max="32" width="11.453125" style="3" customWidth="1"/>
    <col min="33" max="33" width="13.81640625" style="3" hidden="1" customWidth="1"/>
    <col min="34" max="16384" width="8.81640625" style="3"/>
  </cols>
  <sheetData>
    <row r="1" spans="1:33" s="1" customFormat="1" ht="33" customHeight="1">
      <c r="A1" s="172" t="s">
        <v>22</v>
      </c>
      <c r="B1" s="172" t="s">
        <v>47</v>
      </c>
      <c r="C1" s="172" t="s">
        <v>48</v>
      </c>
      <c r="D1" s="172" t="s">
        <v>79</v>
      </c>
      <c r="E1" s="172" t="s">
        <v>80</v>
      </c>
      <c r="F1" s="172" t="s">
        <v>81</v>
      </c>
      <c r="G1" s="172" t="s">
        <v>82</v>
      </c>
      <c r="H1" s="172" t="s">
        <v>50</v>
      </c>
      <c r="I1" s="172" t="s">
        <v>51</v>
      </c>
      <c r="J1" s="172" t="s">
        <v>53</v>
      </c>
      <c r="K1" s="172" t="s">
        <v>54</v>
      </c>
      <c r="L1" s="172" t="s">
        <v>55</v>
      </c>
      <c r="M1" s="172" t="s">
        <v>56</v>
      </c>
      <c r="N1" s="175" t="s">
        <v>57</v>
      </c>
      <c r="O1" s="172" t="s">
        <v>58</v>
      </c>
      <c r="P1" s="172" t="s">
        <v>83</v>
      </c>
      <c r="Q1" s="172" t="s">
        <v>95</v>
      </c>
      <c r="R1" s="172" t="s">
        <v>60</v>
      </c>
      <c r="S1" s="172" t="s">
        <v>61</v>
      </c>
      <c r="T1" s="172"/>
      <c r="U1" s="172"/>
      <c r="V1" s="172" t="s">
        <v>62</v>
      </c>
      <c r="W1" s="172" t="s">
        <v>63</v>
      </c>
      <c r="X1" s="172" t="s">
        <v>64</v>
      </c>
      <c r="Y1" s="172" t="s">
        <v>85</v>
      </c>
      <c r="Z1" s="172" t="s">
        <v>66</v>
      </c>
      <c r="AA1" s="172" t="s">
        <v>3</v>
      </c>
      <c r="AB1" s="172" t="s">
        <v>67</v>
      </c>
      <c r="AC1" s="172"/>
      <c r="AD1" s="172"/>
      <c r="AE1" s="172"/>
      <c r="AF1" s="172"/>
      <c r="AG1" s="174" t="s">
        <v>86</v>
      </c>
    </row>
    <row r="2" spans="1:33" s="1" customFormat="1" ht="55.5" customHeigh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6"/>
      <c r="O2" s="172"/>
      <c r="P2" s="172"/>
      <c r="Q2" s="172"/>
      <c r="R2" s="172"/>
      <c r="S2" s="4" t="s">
        <v>68</v>
      </c>
      <c r="T2" s="4" t="s">
        <v>69</v>
      </c>
      <c r="U2" s="4" t="s">
        <v>70</v>
      </c>
      <c r="V2" s="172"/>
      <c r="W2" s="172"/>
      <c r="X2" s="172"/>
      <c r="Y2" s="172"/>
      <c r="Z2" s="172"/>
      <c r="AA2" s="172"/>
      <c r="AB2" s="4" t="s">
        <v>96</v>
      </c>
      <c r="AC2" s="4" t="s">
        <v>97</v>
      </c>
      <c r="AD2" s="4" t="s">
        <v>73</v>
      </c>
      <c r="AE2" s="4" t="s">
        <v>74</v>
      </c>
      <c r="AF2" s="4" t="s">
        <v>75</v>
      </c>
      <c r="AG2" s="174"/>
    </row>
    <row r="3" spans="1:33" ht="17.25" customHeight="1">
      <c r="A3" s="42" t="s">
        <v>148</v>
      </c>
      <c r="B3" s="42" t="s">
        <v>149</v>
      </c>
      <c r="C3" s="43" t="s">
        <v>89</v>
      </c>
      <c r="D3" s="23">
        <v>1</v>
      </c>
      <c r="E3" s="44">
        <v>44197</v>
      </c>
      <c r="F3" s="44">
        <v>44225</v>
      </c>
      <c r="G3" s="23" t="s">
        <v>26</v>
      </c>
      <c r="H3" s="23">
        <v>1436</v>
      </c>
      <c r="I3" s="23">
        <f t="shared" ref="I3:I10" si="0">H3</f>
        <v>1436</v>
      </c>
      <c r="J3" s="55">
        <v>471</v>
      </c>
      <c r="K3" s="24">
        <v>471</v>
      </c>
      <c r="L3" s="23">
        <v>0</v>
      </c>
      <c r="M3" s="23">
        <v>0</v>
      </c>
      <c r="N3" s="23">
        <v>0</v>
      </c>
      <c r="O3" s="24">
        <f t="shared" ref="O3:O10" si="1">K3</f>
        <v>471</v>
      </c>
      <c r="P3" s="23">
        <v>282</v>
      </c>
      <c r="Q3" s="28">
        <v>0</v>
      </c>
      <c r="R3" s="29">
        <v>64</v>
      </c>
      <c r="S3" s="30">
        <v>20</v>
      </c>
      <c r="T3" s="30">
        <v>0</v>
      </c>
      <c r="U3" s="26">
        <v>0</v>
      </c>
      <c r="V3" s="29">
        <v>0</v>
      </c>
      <c r="W3" s="31">
        <v>0</v>
      </c>
      <c r="X3" s="29">
        <f t="shared" ref="X3:X10" si="2">SUM(S3,T3,V3,W3)</f>
        <v>20</v>
      </c>
      <c r="Y3" s="29">
        <f>R3-X3</f>
        <v>44</v>
      </c>
      <c r="Z3" s="36">
        <v>0</v>
      </c>
      <c r="AA3" s="23"/>
      <c r="AB3" s="37">
        <f t="shared" ref="AB3:AB11" si="3">J3/I3</f>
        <v>0.32799442896935932</v>
      </c>
      <c r="AC3" s="37">
        <f t="shared" ref="AC3:AC11" si="4">J3/H3</f>
        <v>0.32799442896935932</v>
      </c>
      <c r="AD3" s="37">
        <f t="shared" ref="AD3:AD11" si="5">P3/(O3*D3)</f>
        <v>0.59872611464968151</v>
      </c>
      <c r="AE3" s="37">
        <f t="shared" ref="AE3:AE11" si="6">IFERROR(Y3/R3,0)</f>
        <v>0.6875</v>
      </c>
      <c r="AF3" s="46">
        <f t="shared" ref="AF3:AF10" si="7">Y3*$B$16</f>
        <v>1100</v>
      </c>
      <c r="AG3" s="23">
        <v>8</v>
      </c>
    </row>
    <row r="4" spans="1:33" ht="17.25" customHeight="1">
      <c r="A4" s="42" t="s">
        <v>148</v>
      </c>
      <c r="B4" s="42" t="s">
        <v>149</v>
      </c>
      <c r="C4" s="43" t="s">
        <v>27</v>
      </c>
      <c r="D4" s="23">
        <v>1</v>
      </c>
      <c r="E4" s="44">
        <v>44228</v>
      </c>
      <c r="F4" s="44">
        <v>44253</v>
      </c>
      <c r="G4" s="23" t="s">
        <v>27</v>
      </c>
      <c r="H4" s="23">
        <v>1436</v>
      </c>
      <c r="I4" s="23">
        <f t="shared" si="0"/>
        <v>1436</v>
      </c>
      <c r="J4" s="55">
        <v>471</v>
      </c>
      <c r="K4" s="24">
        <v>471</v>
      </c>
      <c r="L4" s="23">
        <v>0</v>
      </c>
      <c r="M4" s="23">
        <v>0</v>
      </c>
      <c r="N4" s="23">
        <v>0</v>
      </c>
      <c r="O4" s="24">
        <f t="shared" si="1"/>
        <v>471</v>
      </c>
      <c r="P4" s="23">
        <v>282</v>
      </c>
      <c r="Q4" s="28">
        <v>0</v>
      </c>
      <c r="R4" s="29">
        <v>64</v>
      </c>
      <c r="S4" s="30">
        <v>16</v>
      </c>
      <c r="T4" s="30">
        <v>0</v>
      </c>
      <c r="U4" s="26">
        <v>0</v>
      </c>
      <c r="V4" s="29">
        <v>0</v>
      </c>
      <c r="W4" s="31">
        <v>0</v>
      </c>
      <c r="X4" s="29">
        <f t="shared" si="2"/>
        <v>16</v>
      </c>
      <c r="Y4" s="29">
        <f>R4-X4</f>
        <v>48</v>
      </c>
      <c r="Z4" s="36">
        <v>0</v>
      </c>
      <c r="AA4" s="23"/>
      <c r="AB4" s="37">
        <f t="shared" si="3"/>
        <v>0.32799442896935932</v>
      </c>
      <c r="AC4" s="37">
        <f t="shared" si="4"/>
        <v>0.32799442896935932</v>
      </c>
      <c r="AD4" s="37">
        <f t="shared" si="5"/>
        <v>0.59872611464968151</v>
      </c>
      <c r="AE4" s="37">
        <f t="shared" si="6"/>
        <v>0.75</v>
      </c>
      <c r="AF4" s="46">
        <f t="shared" si="7"/>
        <v>1200</v>
      </c>
      <c r="AG4" s="23">
        <v>8</v>
      </c>
    </row>
    <row r="5" spans="1:33" ht="17.25" customHeight="1">
      <c r="A5" s="42" t="s">
        <v>148</v>
      </c>
      <c r="B5" s="42" t="s">
        <v>149</v>
      </c>
      <c r="C5" s="43" t="s">
        <v>28</v>
      </c>
      <c r="D5" s="23">
        <v>1</v>
      </c>
      <c r="E5" s="44">
        <v>44256</v>
      </c>
      <c r="F5" s="44">
        <v>44286</v>
      </c>
      <c r="G5" s="23" t="s">
        <v>28</v>
      </c>
      <c r="H5" s="23">
        <v>1436</v>
      </c>
      <c r="I5" s="23">
        <f t="shared" si="0"/>
        <v>1436</v>
      </c>
      <c r="J5" s="55">
        <v>471</v>
      </c>
      <c r="K5" s="24">
        <v>471</v>
      </c>
      <c r="L5" s="23">
        <v>0</v>
      </c>
      <c r="M5" s="23">
        <v>0</v>
      </c>
      <c r="N5" s="23">
        <v>0</v>
      </c>
      <c r="O5" s="24">
        <f t="shared" si="1"/>
        <v>471</v>
      </c>
      <c r="P5" s="23">
        <v>277</v>
      </c>
      <c r="Q5" s="28">
        <v>0</v>
      </c>
      <c r="R5" s="29">
        <v>48</v>
      </c>
      <c r="S5" s="30">
        <v>24</v>
      </c>
      <c r="T5" s="30">
        <v>0</v>
      </c>
      <c r="U5" s="26">
        <v>0</v>
      </c>
      <c r="V5" s="29">
        <v>0</v>
      </c>
      <c r="W5" s="31">
        <v>0</v>
      </c>
      <c r="X5" s="29">
        <f t="shared" si="2"/>
        <v>24</v>
      </c>
      <c r="Y5" s="29">
        <f>R5-X5</f>
        <v>24</v>
      </c>
      <c r="Z5" s="36">
        <v>0</v>
      </c>
      <c r="AA5" s="23"/>
      <c r="AB5" s="37">
        <f t="shared" si="3"/>
        <v>0.32799442896935932</v>
      </c>
      <c r="AC5" s="37">
        <f t="shared" si="4"/>
        <v>0.32799442896935932</v>
      </c>
      <c r="AD5" s="37">
        <f t="shared" si="5"/>
        <v>0.58811040339702758</v>
      </c>
      <c r="AE5" s="37">
        <f t="shared" si="6"/>
        <v>0.5</v>
      </c>
      <c r="AF5" s="46">
        <f t="shared" si="7"/>
        <v>600</v>
      </c>
      <c r="AG5" s="23">
        <v>8</v>
      </c>
    </row>
    <row r="6" spans="1:33" ht="17.25" customHeight="1">
      <c r="A6" s="42" t="s">
        <v>148</v>
      </c>
      <c r="B6" s="42" t="s">
        <v>149</v>
      </c>
      <c r="C6" s="43" t="s">
        <v>29</v>
      </c>
      <c r="D6" s="23">
        <v>1</v>
      </c>
      <c r="E6" s="44">
        <v>44287</v>
      </c>
      <c r="F6" s="44">
        <v>44316</v>
      </c>
      <c r="G6" s="23" t="s">
        <v>29</v>
      </c>
      <c r="H6" s="23">
        <v>1436</v>
      </c>
      <c r="I6" s="23">
        <f t="shared" si="0"/>
        <v>1436</v>
      </c>
      <c r="J6" s="55">
        <v>471</v>
      </c>
      <c r="K6" s="24">
        <v>471</v>
      </c>
      <c r="L6" s="23">
        <v>0</v>
      </c>
      <c r="M6" s="23">
        <v>0</v>
      </c>
      <c r="N6" s="23">
        <v>0</v>
      </c>
      <c r="O6" s="24">
        <f t="shared" si="1"/>
        <v>471</v>
      </c>
      <c r="P6" s="23">
        <v>277</v>
      </c>
      <c r="Q6" s="28">
        <v>0</v>
      </c>
      <c r="R6" s="29">
        <v>48</v>
      </c>
      <c r="S6" s="30">
        <v>24</v>
      </c>
      <c r="T6" s="30">
        <v>0</v>
      </c>
      <c r="U6" s="26">
        <v>0</v>
      </c>
      <c r="V6" s="29">
        <v>0</v>
      </c>
      <c r="W6" s="31">
        <v>0</v>
      </c>
      <c r="X6" s="29">
        <f t="shared" si="2"/>
        <v>24</v>
      </c>
      <c r="Y6" s="29">
        <f>R6-X6</f>
        <v>24</v>
      </c>
      <c r="Z6" s="36">
        <v>0</v>
      </c>
      <c r="AA6" s="23"/>
      <c r="AB6" s="37">
        <f t="shared" si="3"/>
        <v>0.32799442896935932</v>
      </c>
      <c r="AC6" s="37">
        <f t="shared" si="4"/>
        <v>0.32799442896935932</v>
      </c>
      <c r="AD6" s="37">
        <f t="shared" si="5"/>
        <v>0.58811040339702758</v>
      </c>
      <c r="AE6" s="37">
        <f t="shared" si="6"/>
        <v>0.5</v>
      </c>
      <c r="AF6" s="46">
        <f t="shared" si="7"/>
        <v>600</v>
      </c>
      <c r="AG6" s="23">
        <v>8</v>
      </c>
    </row>
    <row r="7" spans="1:33" ht="17.25" customHeight="1">
      <c r="A7" s="42" t="s">
        <v>148</v>
      </c>
      <c r="B7" s="42" t="s">
        <v>149</v>
      </c>
      <c r="C7" s="43" t="s">
        <v>30</v>
      </c>
      <c r="D7" s="23">
        <v>2</v>
      </c>
      <c r="E7" s="44">
        <v>44317</v>
      </c>
      <c r="F7" s="44">
        <v>44347</v>
      </c>
      <c r="G7" s="23" t="s">
        <v>30</v>
      </c>
      <c r="H7" s="23">
        <v>1436</v>
      </c>
      <c r="I7" s="23">
        <f t="shared" si="0"/>
        <v>1436</v>
      </c>
      <c r="J7" s="55">
        <v>471</v>
      </c>
      <c r="K7" s="24">
        <v>471</v>
      </c>
      <c r="L7" s="23">
        <v>0</v>
      </c>
      <c r="M7" s="23">
        <v>0</v>
      </c>
      <c r="N7" s="23">
        <v>0</v>
      </c>
      <c r="O7" s="24">
        <f t="shared" si="1"/>
        <v>471</v>
      </c>
      <c r="P7" s="23">
        <v>277</v>
      </c>
      <c r="Q7" s="28">
        <v>0</v>
      </c>
      <c r="R7" s="29">
        <v>48</v>
      </c>
      <c r="S7" s="30">
        <v>24</v>
      </c>
      <c r="T7" s="30">
        <v>0</v>
      </c>
      <c r="U7" s="26">
        <v>0</v>
      </c>
      <c r="V7" s="29">
        <v>0</v>
      </c>
      <c r="W7" s="31">
        <v>0</v>
      </c>
      <c r="X7" s="29">
        <f t="shared" si="2"/>
        <v>24</v>
      </c>
      <c r="Y7" s="29">
        <f>R6-X6</f>
        <v>24</v>
      </c>
      <c r="Z7" s="36">
        <v>0</v>
      </c>
      <c r="AA7" s="23"/>
      <c r="AB7" s="37">
        <f t="shared" si="3"/>
        <v>0.32799442896935932</v>
      </c>
      <c r="AC7" s="37">
        <f t="shared" si="4"/>
        <v>0.32799442896935932</v>
      </c>
      <c r="AD7" s="37">
        <f t="shared" si="5"/>
        <v>0.29405520169851379</v>
      </c>
      <c r="AE7" s="37">
        <f t="shared" si="6"/>
        <v>0.5</v>
      </c>
      <c r="AF7" s="46">
        <f t="shared" si="7"/>
        <v>600</v>
      </c>
      <c r="AG7" s="23">
        <v>8</v>
      </c>
    </row>
    <row r="8" spans="1:33" ht="17.25" customHeight="1">
      <c r="A8" s="42" t="s">
        <v>148</v>
      </c>
      <c r="B8" s="42" t="s">
        <v>149</v>
      </c>
      <c r="C8" s="43" t="s">
        <v>31</v>
      </c>
      <c r="D8" s="23">
        <v>1</v>
      </c>
      <c r="E8" s="44">
        <v>44348</v>
      </c>
      <c r="F8" s="44">
        <v>44377</v>
      </c>
      <c r="G8" s="23" t="s">
        <v>31</v>
      </c>
      <c r="H8" s="23">
        <v>1436</v>
      </c>
      <c r="I8" s="23">
        <f t="shared" si="0"/>
        <v>1436</v>
      </c>
      <c r="J8" s="55">
        <v>471</v>
      </c>
      <c r="K8" s="24">
        <v>471</v>
      </c>
      <c r="L8" s="23">
        <v>0</v>
      </c>
      <c r="M8" s="23">
        <v>0</v>
      </c>
      <c r="N8" s="23">
        <v>0</v>
      </c>
      <c r="O8" s="24">
        <f t="shared" si="1"/>
        <v>471</v>
      </c>
      <c r="P8" s="23">
        <v>0</v>
      </c>
      <c r="Q8" s="28">
        <v>0</v>
      </c>
      <c r="R8" s="29">
        <v>0</v>
      </c>
      <c r="S8" s="30">
        <v>0</v>
      </c>
      <c r="T8" s="30">
        <v>0</v>
      </c>
      <c r="U8" s="26">
        <v>0</v>
      </c>
      <c r="V8" s="29">
        <v>0</v>
      </c>
      <c r="W8" s="31">
        <v>0</v>
      </c>
      <c r="X8" s="29">
        <f t="shared" si="2"/>
        <v>0</v>
      </c>
      <c r="Y8" s="29">
        <v>0</v>
      </c>
      <c r="Z8" s="36">
        <v>0</v>
      </c>
      <c r="AA8" s="23"/>
      <c r="AB8" s="37">
        <f t="shared" si="3"/>
        <v>0.32799442896935932</v>
      </c>
      <c r="AC8" s="37">
        <f t="shared" si="4"/>
        <v>0.32799442896935932</v>
      </c>
      <c r="AD8" s="37">
        <f t="shared" si="5"/>
        <v>0</v>
      </c>
      <c r="AE8" s="37">
        <f t="shared" si="6"/>
        <v>0</v>
      </c>
      <c r="AF8" s="46">
        <f t="shared" si="7"/>
        <v>0</v>
      </c>
      <c r="AG8" s="23">
        <v>8</v>
      </c>
    </row>
    <row r="9" spans="1:33" ht="17.25" customHeight="1">
      <c r="A9" s="42" t="s">
        <v>148</v>
      </c>
      <c r="B9" s="42" t="s">
        <v>149</v>
      </c>
      <c r="C9" s="43" t="s">
        <v>32</v>
      </c>
      <c r="D9" s="23">
        <v>1</v>
      </c>
      <c r="E9" s="44">
        <v>44378</v>
      </c>
      <c r="F9" s="44">
        <v>44400</v>
      </c>
      <c r="G9" s="23" t="s">
        <v>32</v>
      </c>
      <c r="H9" s="23">
        <v>1436</v>
      </c>
      <c r="I9" s="23">
        <f t="shared" si="0"/>
        <v>1436</v>
      </c>
      <c r="J9" s="55">
        <v>471</v>
      </c>
      <c r="K9" s="24">
        <v>471</v>
      </c>
      <c r="L9" s="23">
        <v>0</v>
      </c>
      <c r="M9" s="23">
        <v>0</v>
      </c>
      <c r="N9" s="23">
        <v>0</v>
      </c>
      <c r="O9" s="24">
        <f t="shared" si="1"/>
        <v>471</v>
      </c>
      <c r="P9" s="23">
        <v>0</v>
      </c>
      <c r="Q9" s="28">
        <v>0</v>
      </c>
      <c r="R9" s="29">
        <v>0</v>
      </c>
      <c r="S9" s="30">
        <v>0</v>
      </c>
      <c r="T9" s="30">
        <v>0</v>
      </c>
      <c r="U9" s="26">
        <v>0</v>
      </c>
      <c r="V9" s="29">
        <v>0</v>
      </c>
      <c r="W9" s="31">
        <v>0</v>
      </c>
      <c r="X9" s="29">
        <f t="shared" si="2"/>
        <v>0</v>
      </c>
      <c r="Y9" s="29">
        <v>0</v>
      </c>
      <c r="Z9" s="36">
        <v>0</v>
      </c>
      <c r="AA9" s="23"/>
      <c r="AB9" s="37">
        <f t="shared" si="3"/>
        <v>0.32799442896935932</v>
      </c>
      <c r="AC9" s="37">
        <f t="shared" si="4"/>
        <v>0.32799442896935932</v>
      </c>
      <c r="AD9" s="37">
        <f t="shared" si="5"/>
        <v>0</v>
      </c>
      <c r="AE9" s="37">
        <f t="shared" si="6"/>
        <v>0</v>
      </c>
      <c r="AF9" s="46">
        <f t="shared" si="7"/>
        <v>0</v>
      </c>
      <c r="AG9" s="23">
        <v>8</v>
      </c>
    </row>
    <row r="10" spans="1:33" ht="17.25" customHeight="1">
      <c r="A10" s="42" t="s">
        <v>148</v>
      </c>
      <c r="B10" s="42" t="s">
        <v>149</v>
      </c>
      <c r="C10" s="43" t="s">
        <v>33</v>
      </c>
      <c r="D10" s="23">
        <v>1</v>
      </c>
      <c r="E10" s="44">
        <v>44410</v>
      </c>
      <c r="F10" s="44">
        <v>44435</v>
      </c>
      <c r="G10" s="23" t="s">
        <v>33</v>
      </c>
      <c r="H10" s="23">
        <v>1436</v>
      </c>
      <c r="I10" s="23">
        <f t="shared" si="0"/>
        <v>1436</v>
      </c>
      <c r="J10" s="55">
        <v>471</v>
      </c>
      <c r="K10" s="24">
        <v>471</v>
      </c>
      <c r="L10" s="23">
        <v>0</v>
      </c>
      <c r="M10" s="23">
        <v>0</v>
      </c>
      <c r="N10" s="23">
        <v>0</v>
      </c>
      <c r="O10" s="24">
        <f t="shared" si="1"/>
        <v>471</v>
      </c>
      <c r="P10" s="23">
        <v>0</v>
      </c>
      <c r="Q10" s="28">
        <v>0</v>
      </c>
      <c r="R10" s="29">
        <v>0</v>
      </c>
      <c r="S10" s="30">
        <v>0</v>
      </c>
      <c r="T10" s="30">
        <v>0</v>
      </c>
      <c r="U10" s="26">
        <v>0</v>
      </c>
      <c r="V10" s="29">
        <v>0</v>
      </c>
      <c r="W10" s="31">
        <v>0</v>
      </c>
      <c r="X10" s="29">
        <f t="shared" si="2"/>
        <v>0</v>
      </c>
      <c r="Y10" s="29">
        <v>0</v>
      </c>
      <c r="Z10" s="36">
        <v>0</v>
      </c>
      <c r="AA10" s="23"/>
      <c r="AB10" s="37">
        <f t="shared" si="3"/>
        <v>0.32799442896935932</v>
      </c>
      <c r="AC10" s="37">
        <f t="shared" si="4"/>
        <v>0.32799442896935932</v>
      </c>
      <c r="AD10" s="37">
        <f t="shared" si="5"/>
        <v>0</v>
      </c>
      <c r="AE10" s="37">
        <f t="shared" si="6"/>
        <v>0</v>
      </c>
      <c r="AF10" s="46">
        <f t="shared" si="7"/>
        <v>0</v>
      </c>
      <c r="AG10" s="23">
        <v>8</v>
      </c>
    </row>
    <row r="11" spans="1:33" s="2" customFormat="1">
      <c r="A11" s="8" t="str">
        <f>A3</f>
        <v>Score</v>
      </c>
      <c r="B11" s="8" t="s">
        <v>90</v>
      </c>
      <c r="C11" s="9" t="s">
        <v>90</v>
      </c>
      <c r="D11" s="9">
        <f ca="1">SUM(D3:INDIRECT("D"&amp;ROW()-1))</f>
        <v>9</v>
      </c>
      <c r="E11" s="9"/>
      <c r="F11" s="9"/>
      <c r="G11" s="9"/>
      <c r="H11" s="9">
        <f ca="1">INDIRECT("H"&amp;ROW()-1)</f>
        <v>1436</v>
      </c>
      <c r="I11" s="9">
        <f ca="1">INDIRECT("I"&amp;ROW()-1)</f>
        <v>1436</v>
      </c>
      <c r="J11" s="9">
        <f ca="1">INDIRECT("J"&amp;ROW()-1)</f>
        <v>471</v>
      </c>
      <c r="K11" s="24">
        <v>471</v>
      </c>
      <c r="L11" s="9">
        <v>0</v>
      </c>
      <c r="M11" s="9">
        <f ca="1">SUM(M3:INDIRECT("M"&amp;ROW()-1))</f>
        <v>0</v>
      </c>
      <c r="N11" s="9">
        <f ca="1">SUM(N3:INDIRECT("N"&amp;ROW()-1))</f>
        <v>0</v>
      </c>
      <c r="O11" s="9">
        <f ca="1">INDIRECT("O"&amp;ROW()-1)</f>
        <v>471</v>
      </c>
      <c r="P11" s="9">
        <f ca="1">SUM(P3:INDIRECT("P"&amp;ROW()-1))</f>
        <v>1395</v>
      </c>
      <c r="Q11" s="9">
        <f ca="1">SUM(Q3:INDIRECT("Q"&amp;ROW()-1))</f>
        <v>0</v>
      </c>
      <c r="R11" s="27">
        <f ca="1">SUM(R3:INDIRECT("R"&amp;ROW()-1))</f>
        <v>272</v>
      </c>
      <c r="S11" s="9">
        <f ca="1">SUM(S3:INDIRECT("S"&amp;ROW()-1))</f>
        <v>108</v>
      </c>
      <c r="T11" s="9">
        <f ca="1">SUM(T3:INDIRECT("T"&amp;ROW()-1))</f>
        <v>0</v>
      </c>
      <c r="U11" s="9">
        <f ca="1">SUM(U3:INDIRECT("U"&amp;ROW()-1))</f>
        <v>0</v>
      </c>
      <c r="V11" s="9">
        <f ca="1">SUM(V3:INDIRECT("V"&amp;ROW()-1))</f>
        <v>0</v>
      </c>
      <c r="W11" s="9">
        <f ca="1">SUM(W3:INDIRECT("W"&amp;ROW()-1))</f>
        <v>0</v>
      </c>
      <c r="X11" s="9">
        <f ca="1">SUM(X3:INDIRECT("X"&amp;ROW()-1))</f>
        <v>108</v>
      </c>
      <c r="Y11" s="27">
        <f ca="1">SUM(Y3:INDIRECT("Y"&amp;ROW()-1))</f>
        <v>164</v>
      </c>
      <c r="Z11" s="9">
        <f ca="1">SUM(Z3:INDIRECT("z"&amp;ROW()-1))</f>
        <v>0</v>
      </c>
      <c r="AA11" s="9"/>
      <c r="AB11" s="34">
        <f t="shared" ca="1" si="3"/>
        <v>0.32799442896935932</v>
      </c>
      <c r="AC11" s="34">
        <f t="shared" ca="1" si="4"/>
        <v>0.32799442896935932</v>
      </c>
      <c r="AD11" s="34">
        <f t="shared" ca="1" si="5"/>
        <v>0.32908704883227174</v>
      </c>
      <c r="AE11" s="39">
        <f t="shared" ca="1" si="6"/>
        <v>0.6029411764705882</v>
      </c>
      <c r="AF11" s="35">
        <f ca="1">SUM(AF3:INDIRECT("AF"&amp;ROW()-1))</f>
        <v>4100</v>
      </c>
      <c r="AG11" s="9"/>
    </row>
    <row r="12" spans="1:33" s="2" customFormat="1">
      <c r="L12" s="2">
        <v>0</v>
      </c>
    </row>
    <row r="13" spans="1:33" s="2" customFormat="1">
      <c r="A13" s="10"/>
      <c r="B13" s="11"/>
      <c r="E13" s="2">
        <v>11</v>
      </c>
      <c r="Q13" s="13"/>
      <c r="AD13" s="25"/>
    </row>
    <row r="14" spans="1:33" s="2" customFormat="1">
      <c r="A14" s="10"/>
      <c r="B14" s="11"/>
      <c r="Q14" s="13"/>
      <c r="R14" s="25"/>
      <c r="AD14" s="25"/>
    </row>
    <row r="15" spans="1:33" s="2" customFormat="1">
      <c r="A15" s="10"/>
      <c r="B15" s="11"/>
      <c r="F15" s="2" t="s">
        <v>30</v>
      </c>
      <c r="Q15" s="13"/>
      <c r="R15" s="25"/>
      <c r="AD15" s="25"/>
    </row>
    <row r="16" spans="1:33" s="2" customFormat="1">
      <c r="A16" s="10" t="s">
        <v>91</v>
      </c>
      <c r="B16" s="11">
        <v>25</v>
      </c>
      <c r="P16" s="25"/>
      <c r="Q16" s="13"/>
      <c r="AD16" s="25"/>
    </row>
    <row r="17" spans="1:33" ht="21">
      <c r="A17" s="10" t="s">
        <v>92</v>
      </c>
      <c r="B17" s="12">
        <v>8</v>
      </c>
      <c r="C17" s="2"/>
      <c r="D17" s="2"/>
      <c r="E17" s="2"/>
      <c r="F17" s="2"/>
      <c r="G17" s="2"/>
      <c r="H17" s="2"/>
      <c r="I17" s="2"/>
      <c r="J17" s="25"/>
      <c r="K17" s="25"/>
      <c r="L17" s="2"/>
      <c r="M17" s="2"/>
      <c r="N17" s="2"/>
      <c r="O17" s="2"/>
      <c r="P17" s="2"/>
      <c r="Q17" s="13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49" spans="1:33">
      <c r="N49" s="172" t="s">
        <v>22</v>
      </c>
      <c r="O49" s="172" t="s">
        <v>82</v>
      </c>
      <c r="P49" s="172" t="s">
        <v>60</v>
      </c>
      <c r="Q49" s="172" t="s">
        <v>85</v>
      </c>
      <c r="R49" s="172" t="s">
        <v>74</v>
      </c>
      <c r="S49" s="172" t="s">
        <v>75</v>
      </c>
      <c r="T49" s="173"/>
      <c r="AG49" s="13"/>
    </row>
    <row r="50" spans="1:33">
      <c r="N50" s="172"/>
      <c r="O50" s="172"/>
      <c r="P50" s="172"/>
      <c r="Q50" s="172"/>
      <c r="R50" s="172"/>
      <c r="S50" s="172"/>
      <c r="T50" s="173"/>
      <c r="AG50" s="13"/>
    </row>
    <row r="51" spans="1:33">
      <c r="N51" s="42" t="s">
        <v>148</v>
      </c>
      <c r="O51" s="23" t="s">
        <v>26</v>
      </c>
      <c r="P51" s="26">
        <f t="shared" ref="P51:P62" si="8">SUMIFS($R$3:$R$3,$G$3:$G$3,O51)</f>
        <v>64</v>
      </c>
      <c r="Q51" s="26">
        <f t="shared" ref="Q51:Q62" si="9">SUMIFS($Y$3:$Y$3,$G$3:$G$3,O51)</f>
        <v>44</v>
      </c>
      <c r="R51" s="32">
        <f t="shared" ref="R51:R62" si="10">IFERROR(Q51/P51,0)</f>
        <v>0.6875</v>
      </c>
      <c r="S51" s="33">
        <f t="shared" ref="S51:S62" si="11">SUMIFS($AF$3:$AF$3,$G$3:$G$3,O51)</f>
        <v>1100</v>
      </c>
      <c r="T51" s="18"/>
      <c r="AG51" s="15"/>
    </row>
    <row r="52" spans="1:33">
      <c r="N52" s="42" t="s">
        <v>148</v>
      </c>
      <c r="O52" s="23" t="s">
        <v>27</v>
      </c>
      <c r="P52" s="26">
        <f t="shared" si="8"/>
        <v>0</v>
      </c>
      <c r="Q52" s="26">
        <f t="shared" si="9"/>
        <v>0</v>
      </c>
      <c r="R52" s="32">
        <f t="shared" si="10"/>
        <v>0</v>
      </c>
      <c r="S52" s="33">
        <f t="shared" si="11"/>
        <v>0</v>
      </c>
      <c r="T52" s="18"/>
      <c r="AG52" s="15"/>
    </row>
    <row r="53" spans="1:33">
      <c r="N53" s="42" t="s">
        <v>148</v>
      </c>
      <c r="O53" s="23" t="s">
        <v>28</v>
      </c>
      <c r="P53" s="26">
        <f t="shared" si="8"/>
        <v>0</v>
      </c>
      <c r="Q53" s="26">
        <f t="shared" si="9"/>
        <v>0</v>
      </c>
      <c r="R53" s="32">
        <f t="shared" si="10"/>
        <v>0</v>
      </c>
      <c r="S53" s="33">
        <f t="shared" si="11"/>
        <v>0</v>
      </c>
      <c r="T53" s="18"/>
      <c r="AG53" s="15"/>
    </row>
    <row r="54" spans="1:33">
      <c r="N54" s="42" t="s">
        <v>148</v>
      </c>
      <c r="O54" s="23" t="s">
        <v>29</v>
      </c>
      <c r="P54" s="26">
        <f t="shared" si="8"/>
        <v>0</v>
      </c>
      <c r="Q54" s="26">
        <f t="shared" si="9"/>
        <v>0</v>
      </c>
      <c r="R54" s="32">
        <f t="shared" si="10"/>
        <v>0</v>
      </c>
      <c r="S54" s="33">
        <f t="shared" si="11"/>
        <v>0</v>
      </c>
      <c r="T54" s="18"/>
      <c r="AG54" s="15"/>
    </row>
    <row r="55" spans="1:33">
      <c r="N55" s="42" t="s">
        <v>148</v>
      </c>
      <c r="O55" s="23" t="s">
        <v>30</v>
      </c>
      <c r="P55" s="26">
        <f t="shared" si="8"/>
        <v>0</v>
      </c>
      <c r="Q55" s="26">
        <f t="shared" si="9"/>
        <v>0</v>
      </c>
      <c r="R55" s="32">
        <f t="shared" si="10"/>
        <v>0</v>
      </c>
      <c r="S55" s="33">
        <f t="shared" si="11"/>
        <v>0</v>
      </c>
      <c r="T55" s="18"/>
      <c r="AG55" s="15"/>
    </row>
    <row r="56" spans="1:33">
      <c r="N56" s="42" t="s">
        <v>148</v>
      </c>
      <c r="O56" s="23" t="s">
        <v>31</v>
      </c>
      <c r="P56" s="26">
        <f t="shared" si="8"/>
        <v>0</v>
      </c>
      <c r="Q56" s="26">
        <f t="shared" si="9"/>
        <v>0</v>
      </c>
      <c r="R56" s="32">
        <f t="shared" si="10"/>
        <v>0</v>
      </c>
      <c r="S56" s="33">
        <f t="shared" si="11"/>
        <v>0</v>
      </c>
      <c r="T56" s="18"/>
      <c r="AG56" s="15"/>
    </row>
    <row r="57" spans="1:33" ht="15" customHeight="1">
      <c r="N57" s="42" t="s">
        <v>148</v>
      </c>
      <c r="O57" s="23" t="s">
        <v>32</v>
      </c>
      <c r="P57" s="26">
        <f t="shared" si="8"/>
        <v>0</v>
      </c>
      <c r="Q57" s="26">
        <f t="shared" si="9"/>
        <v>0</v>
      </c>
      <c r="R57" s="32">
        <f t="shared" si="10"/>
        <v>0</v>
      </c>
      <c r="S57" s="33">
        <f t="shared" si="11"/>
        <v>0</v>
      </c>
      <c r="T57" s="18"/>
      <c r="AG57" s="15"/>
    </row>
    <row r="58" spans="1:33">
      <c r="A58" s="173"/>
      <c r="B58" s="173"/>
      <c r="C58" s="173"/>
      <c r="D58" s="173"/>
      <c r="E58" s="173"/>
      <c r="F58" s="173"/>
      <c r="G58" s="173"/>
      <c r="N58" s="42" t="s">
        <v>148</v>
      </c>
      <c r="O58" s="23" t="s">
        <v>33</v>
      </c>
      <c r="P58" s="26">
        <f t="shared" si="8"/>
        <v>0</v>
      </c>
      <c r="Q58" s="26">
        <f t="shared" si="9"/>
        <v>0</v>
      </c>
      <c r="R58" s="32">
        <f t="shared" si="10"/>
        <v>0</v>
      </c>
      <c r="S58" s="33">
        <f t="shared" si="11"/>
        <v>0</v>
      </c>
      <c r="T58" s="18"/>
      <c r="AG58" s="15"/>
    </row>
    <row r="59" spans="1:33">
      <c r="A59" s="173"/>
      <c r="B59" s="173"/>
      <c r="C59" s="173"/>
      <c r="D59" s="173"/>
      <c r="E59" s="173"/>
      <c r="F59" s="173"/>
      <c r="G59" s="173"/>
      <c r="N59" s="42" t="s">
        <v>148</v>
      </c>
      <c r="O59" s="23" t="s">
        <v>34</v>
      </c>
      <c r="P59" s="26">
        <f t="shared" si="8"/>
        <v>0</v>
      </c>
      <c r="Q59" s="26">
        <f t="shared" si="9"/>
        <v>0</v>
      </c>
      <c r="R59" s="32">
        <f t="shared" si="10"/>
        <v>0</v>
      </c>
      <c r="S59" s="33">
        <f t="shared" si="11"/>
        <v>0</v>
      </c>
      <c r="T59" s="18"/>
      <c r="AG59" s="15"/>
    </row>
    <row r="60" spans="1:33">
      <c r="A60" s="14"/>
      <c r="B60" s="15"/>
      <c r="C60" s="15"/>
      <c r="D60" s="16"/>
      <c r="E60" s="16"/>
      <c r="F60" s="17"/>
      <c r="G60" s="18"/>
      <c r="N60" s="42" t="s">
        <v>148</v>
      </c>
      <c r="O60" s="23" t="s">
        <v>35</v>
      </c>
      <c r="P60" s="26">
        <f t="shared" si="8"/>
        <v>0</v>
      </c>
      <c r="Q60" s="26">
        <f t="shared" si="9"/>
        <v>0</v>
      </c>
      <c r="R60" s="32">
        <f t="shared" si="10"/>
        <v>0</v>
      </c>
      <c r="S60" s="33">
        <f t="shared" si="11"/>
        <v>0</v>
      </c>
      <c r="T60" s="18"/>
      <c r="AG60" s="15"/>
    </row>
    <row r="61" spans="1:33">
      <c r="A61" s="14"/>
      <c r="B61" s="15"/>
      <c r="C61" s="15"/>
      <c r="D61" s="16"/>
      <c r="E61" s="16"/>
      <c r="F61" s="17"/>
      <c r="G61" s="18"/>
      <c r="N61" s="42" t="s">
        <v>148</v>
      </c>
      <c r="O61" s="23" t="s">
        <v>36</v>
      </c>
      <c r="P61" s="26">
        <f t="shared" si="8"/>
        <v>0</v>
      </c>
      <c r="Q61" s="26">
        <f t="shared" si="9"/>
        <v>0</v>
      </c>
      <c r="R61" s="32">
        <f t="shared" si="10"/>
        <v>0</v>
      </c>
      <c r="S61" s="33">
        <f t="shared" si="11"/>
        <v>0</v>
      </c>
      <c r="T61" s="18"/>
      <c r="AG61" s="15"/>
    </row>
    <row r="62" spans="1:33">
      <c r="A62" s="14"/>
      <c r="B62" s="15"/>
      <c r="C62" s="15"/>
      <c r="D62" s="16"/>
      <c r="E62" s="16"/>
      <c r="F62" s="17"/>
      <c r="G62" s="18"/>
      <c r="N62" s="42" t="s">
        <v>148</v>
      </c>
      <c r="O62" s="23" t="s">
        <v>37</v>
      </c>
      <c r="P62" s="26">
        <f t="shared" si="8"/>
        <v>0</v>
      </c>
      <c r="Q62" s="26">
        <f t="shared" si="9"/>
        <v>0</v>
      </c>
      <c r="R62" s="32">
        <f t="shared" si="10"/>
        <v>0</v>
      </c>
      <c r="S62" s="33">
        <f t="shared" si="11"/>
        <v>0</v>
      </c>
      <c r="T62" s="18"/>
      <c r="AG62" s="15"/>
    </row>
    <row r="63" spans="1:33">
      <c r="A63" s="14"/>
      <c r="B63" s="15"/>
      <c r="C63" s="15"/>
      <c r="D63" s="16"/>
      <c r="E63" s="16"/>
      <c r="F63" s="17"/>
      <c r="G63" s="18"/>
      <c r="N63" s="8" t="s">
        <v>148</v>
      </c>
      <c r="O63" s="9"/>
      <c r="P63" s="27">
        <f>SUM(P51:P62)</f>
        <v>64</v>
      </c>
      <c r="Q63" s="27">
        <f>SUM(Q51:Q62)</f>
        <v>44</v>
      </c>
      <c r="R63" s="34">
        <f>Q63/P63</f>
        <v>0.6875</v>
      </c>
      <c r="S63" s="35">
        <f>SUM(S51:S62)</f>
        <v>1100</v>
      </c>
      <c r="T63" s="22"/>
      <c r="AG63" s="13"/>
    </row>
    <row r="64" spans="1:33">
      <c r="A64" s="14"/>
      <c r="B64" s="15"/>
      <c r="C64" s="15"/>
      <c r="D64" s="16"/>
      <c r="E64" s="16"/>
      <c r="F64" s="17"/>
      <c r="G64" s="18"/>
    </row>
    <row r="65" spans="1:7">
      <c r="A65" s="19"/>
      <c r="B65" s="19"/>
      <c r="C65" s="13"/>
      <c r="D65" s="20"/>
      <c r="E65" s="20"/>
      <c r="F65" s="21"/>
      <c r="G65" s="22"/>
    </row>
    <row r="66" spans="1:7">
      <c r="A66" s="10" t="s">
        <v>91</v>
      </c>
      <c r="B66" s="11">
        <v>25</v>
      </c>
      <c r="C66" s="2"/>
      <c r="D66" s="2"/>
      <c r="E66" s="2"/>
      <c r="F66" s="2"/>
      <c r="G66" s="2"/>
    </row>
  </sheetData>
  <mergeCells count="41">
    <mergeCell ref="Y1:Y2"/>
    <mergeCell ref="Z1:Z2"/>
    <mergeCell ref="AA1:AA2"/>
    <mergeCell ref="AG1:AG2"/>
    <mergeCell ref="S49:S50"/>
    <mergeCell ref="T49:T50"/>
    <mergeCell ref="V1:V2"/>
    <mergeCell ref="W1:W2"/>
    <mergeCell ref="X1:X2"/>
    <mergeCell ref="S1:U1"/>
    <mergeCell ref="AB1:AF1"/>
    <mergeCell ref="P1:P2"/>
    <mergeCell ref="P49:P50"/>
    <mergeCell ref="Q1:Q2"/>
    <mergeCell ref="Q49:Q50"/>
    <mergeCell ref="R1:R2"/>
    <mergeCell ref="R49:R50"/>
    <mergeCell ref="M1:M2"/>
    <mergeCell ref="N1:N2"/>
    <mergeCell ref="N49:N50"/>
    <mergeCell ref="O1:O2"/>
    <mergeCell ref="O49:O50"/>
    <mergeCell ref="H1:H2"/>
    <mergeCell ref="I1:I2"/>
    <mergeCell ref="J1:J2"/>
    <mergeCell ref="K1:K2"/>
    <mergeCell ref="L1:L2"/>
    <mergeCell ref="A1:A2"/>
    <mergeCell ref="A58:A59"/>
    <mergeCell ref="B1:B2"/>
    <mergeCell ref="B58:B59"/>
    <mergeCell ref="C1:C2"/>
    <mergeCell ref="C58:C59"/>
    <mergeCell ref="G1:G2"/>
    <mergeCell ref="G58:G59"/>
    <mergeCell ref="D1:D2"/>
    <mergeCell ref="D58:D59"/>
    <mergeCell ref="E1:E2"/>
    <mergeCell ref="E58:E59"/>
    <mergeCell ref="F1:F2"/>
    <mergeCell ref="F58:F59"/>
  </mergeCells>
  <pageMargins left="0.7" right="0.7" top="0.75" bottom="0.75" header="0.3" footer="0.3"/>
  <pageSetup orientation="portrait"/>
  <headerFooter>
    <oddFooter>&amp;CNBCU Internal</oddFooter>
  </headerFooter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A1:AG63"/>
  <sheetViews>
    <sheetView topLeftCell="I29" workbookViewId="0">
      <selection activeCell="O39" sqref="O39"/>
    </sheetView>
  </sheetViews>
  <sheetFormatPr defaultColWidth="8.81640625" defaultRowHeight="14.5"/>
  <cols>
    <col min="1" max="1" width="9.81640625" style="3" customWidth="1"/>
    <col min="2" max="2" width="10.453125" style="3" customWidth="1"/>
    <col min="3" max="3" width="14.1796875" style="3" customWidth="1"/>
    <col min="4" max="4" width="5.453125" style="3" customWidth="1"/>
    <col min="5" max="6" width="9" style="3" customWidth="1"/>
    <col min="7" max="7" width="8.81640625" style="3" customWidth="1"/>
    <col min="8" max="8" width="19.453125" style="3" customWidth="1"/>
    <col min="9" max="9" width="19.81640625" style="3" customWidth="1"/>
    <col min="10" max="10" width="11.453125" style="3" customWidth="1"/>
    <col min="11" max="11" width="13.1796875" style="3" customWidth="1"/>
    <col min="12" max="12" width="11.1796875" style="3" customWidth="1"/>
    <col min="13" max="14" width="13.1796875" style="3" customWidth="1"/>
    <col min="15" max="15" width="13.81640625" style="3" customWidth="1"/>
    <col min="16" max="16" width="22.453125" style="3" customWidth="1"/>
    <col min="17" max="18" width="19.453125" style="3" customWidth="1"/>
    <col min="19" max="19" width="12.1796875" style="3" customWidth="1"/>
    <col min="20" max="20" width="17.453125" style="3" customWidth="1"/>
    <col min="21" max="21" width="9.81640625" style="3" customWidth="1"/>
    <col min="22" max="22" width="18" style="3" customWidth="1"/>
    <col min="23" max="23" width="19.1796875" style="3" customWidth="1"/>
    <col min="24" max="24" width="13.453125" style="3" customWidth="1"/>
    <col min="25" max="25" width="10.1796875" style="3" customWidth="1"/>
    <col min="26" max="26" width="18.1796875" style="3" customWidth="1"/>
    <col min="27" max="27" width="6.453125" style="3" customWidth="1"/>
    <col min="28" max="28" width="15" style="3" customWidth="1"/>
    <col min="29" max="29" width="9.453125" style="3" customWidth="1"/>
    <col min="30" max="30" width="18" style="3" customWidth="1"/>
    <col min="31" max="31" width="12.1796875" style="3" customWidth="1"/>
    <col min="32" max="32" width="11.453125" style="3" customWidth="1"/>
    <col min="33" max="33" width="13.81640625" style="3" hidden="1" customWidth="1"/>
    <col min="34" max="16384" width="8.81640625" style="3"/>
  </cols>
  <sheetData>
    <row r="1" spans="1:33" s="1" customFormat="1" ht="33" customHeight="1">
      <c r="A1" s="172" t="s">
        <v>22</v>
      </c>
      <c r="B1" s="172" t="s">
        <v>47</v>
      </c>
      <c r="C1" s="172" t="s">
        <v>48</v>
      </c>
      <c r="D1" s="172" t="s">
        <v>79</v>
      </c>
      <c r="E1" s="172" t="s">
        <v>80</v>
      </c>
      <c r="F1" s="172" t="s">
        <v>81</v>
      </c>
      <c r="G1" s="172" t="s">
        <v>82</v>
      </c>
      <c r="H1" s="172" t="s">
        <v>50</v>
      </c>
      <c r="I1" s="172" t="s">
        <v>51</v>
      </c>
      <c r="J1" s="172" t="s">
        <v>53</v>
      </c>
      <c r="K1" s="172" t="s">
        <v>54</v>
      </c>
      <c r="L1" s="172" t="s">
        <v>55</v>
      </c>
      <c r="M1" s="172" t="s">
        <v>56</v>
      </c>
      <c r="N1" s="175" t="s">
        <v>57</v>
      </c>
      <c r="O1" s="172" t="s">
        <v>58</v>
      </c>
      <c r="P1" s="172" t="s">
        <v>83</v>
      </c>
      <c r="Q1" s="172" t="s">
        <v>95</v>
      </c>
      <c r="R1" s="172" t="s">
        <v>60</v>
      </c>
      <c r="S1" s="172" t="s">
        <v>61</v>
      </c>
      <c r="T1" s="172"/>
      <c r="U1" s="172"/>
      <c r="V1" s="172" t="s">
        <v>62</v>
      </c>
      <c r="W1" s="172" t="s">
        <v>63</v>
      </c>
      <c r="X1" s="172" t="s">
        <v>64</v>
      </c>
      <c r="Y1" s="172" t="s">
        <v>85</v>
      </c>
      <c r="Z1" s="172" t="s">
        <v>66</v>
      </c>
      <c r="AA1" s="172" t="s">
        <v>3</v>
      </c>
      <c r="AB1" s="172" t="s">
        <v>67</v>
      </c>
      <c r="AC1" s="172"/>
      <c r="AD1" s="172"/>
      <c r="AE1" s="172"/>
      <c r="AF1" s="172"/>
      <c r="AG1" s="174" t="s">
        <v>86</v>
      </c>
    </row>
    <row r="2" spans="1:33" s="1" customFormat="1" ht="55.5" customHeigh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6"/>
      <c r="O2" s="172"/>
      <c r="P2" s="172"/>
      <c r="Q2" s="172"/>
      <c r="R2" s="172"/>
      <c r="S2" s="4" t="s">
        <v>68</v>
      </c>
      <c r="T2" s="4" t="s">
        <v>69</v>
      </c>
      <c r="U2" s="4" t="s">
        <v>70</v>
      </c>
      <c r="V2" s="172"/>
      <c r="W2" s="172"/>
      <c r="X2" s="172"/>
      <c r="Y2" s="172"/>
      <c r="Z2" s="172"/>
      <c r="AA2" s="172"/>
      <c r="AB2" s="4" t="s">
        <v>96</v>
      </c>
      <c r="AC2" s="4" t="s">
        <v>97</v>
      </c>
      <c r="AD2" s="4" t="s">
        <v>73</v>
      </c>
      <c r="AE2" s="4" t="s">
        <v>74</v>
      </c>
      <c r="AF2" s="4" t="s">
        <v>75</v>
      </c>
      <c r="AG2" s="174"/>
    </row>
    <row r="3" spans="1:33" ht="17.25" customHeight="1">
      <c r="A3" s="42" t="s">
        <v>150</v>
      </c>
      <c r="B3" s="54" t="s">
        <v>151</v>
      </c>
      <c r="C3" s="43" t="s">
        <v>89</v>
      </c>
      <c r="D3" s="23">
        <v>1</v>
      </c>
      <c r="E3" s="44">
        <v>44197</v>
      </c>
      <c r="F3" s="44">
        <v>44225</v>
      </c>
      <c r="G3" s="23" t="s">
        <v>26</v>
      </c>
      <c r="H3" s="23">
        <v>311</v>
      </c>
      <c r="I3" s="23">
        <f t="shared" ref="I3:I10" si="0">H3</f>
        <v>311</v>
      </c>
      <c r="J3" s="23">
        <f t="shared" ref="J3:J10" si="1">H3</f>
        <v>311</v>
      </c>
      <c r="K3" s="24">
        <f t="shared" ref="K3:K10" si="2">H3</f>
        <v>311</v>
      </c>
      <c r="L3" s="23">
        <v>0</v>
      </c>
      <c r="M3" s="23">
        <v>0</v>
      </c>
      <c r="N3" s="23">
        <v>0</v>
      </c>
      <c r="O3" s="24">
        <f t="shared" ref="O3:O10" si="3">H3</f>
        <v>311</v>
      </c>
      <c r="P3" s="23">
        <v>60</v>
      </c>
      <c r="Q3" s="28">
        <v>0</v>
      </c>
      <c r="R3" s="29">
        <f t="shared" ref="R3" si="4">($P3/$AG3)*8</f>
        <v>60</v>
      </c>
      <c r="S3" s="30">
        <f t="shared" ref="S3" si="5">P3*15/60</f>
        <v>15</v>
      </c>
      <c r="T3" s="30">
        <v>0</v>
      </c>
      <c r="U3" s="26">
        <v>0</v>
      </c>
      <c r="V3" s="29">
        <v>0</v>
      </c>
      <c r="W3" s="31">
        <v>0</v>
      </c>
      <c r="X3" s="29">
        <f t="shared" ref="X3:X10" si="6">SUM(S3,T3,V3,W3)</f>
        <v>15</v>
      </c>
      <c r="Y3" s="29">
        <f t="shared" ref="Y3:Y10" si="7">R3-X3</f>
        <v>45</v>
      </c>
      <c r="Z3" s="36">
        <v>0</v>
      </c>
      <c r="AA3" s="23"/>
      <c r="AB3" s="37">
        <f t="shared" ref="AB3:AB12" si="8">J3/I3</f>
        <v>1</v>
      </c>
      <c r="AC3" s="37">
        <f t="shared" ref="AC3:AC12" si="9">J3/H3</f>
        <v>1</v>
      </c>
      <c r="AD3" s="37">
        <f t="shared" ref="AD3" si="10">P3/(O3*D3)</f>
        <v>0.19292604501607716</v>
      </c>
      <c r="AE3" s="37">
        <f t="shared" ref="AE3:AE12" si="11">IFERROR(Y3/R3,0)</f>
        <v>0.75</v>
      </c>
      <c r="AF3" s="46">
        <f t="shared" ref="AF3:AF10" si="12">Y3*$B$17</f>
        <v>1125</v>
      </c>
      <c r="AG3" s="23">
        <v>8</v>
      </c>
    </row>
    <row r="4" spans="1:33" ht="17.25" customHeight="1">
      <c r="A4" s="42" t="s">
        <v>150</v>
      </c>
      <c r="B4" s="54" t="s">
        <v>152</v>
      </c>
      <c r="C4" s="43" t="s">
        <v>27</v>
      </c>
      <c r="D4" s="23">
        <v>1</v>
      </c>
      <c r="E4" s="44">
        <v>44228</v>
      </c>
      <c r="F4" s="44">
        <v>44253</v>
      </c>
      <c r="G4" s="23" t="s">
        <v>27</v>
      </c>
      <c r="H4" s="23">
        <v>311</v>
      </c>
      <c r="I4" s="23">
        <f t="shared" si="0"/>
        <v>311</v>
      </c>
      <c r="J4" s="23">
        <f t="shared" si="1"/>
        <v>311</v>
      </c>
      <c r="K4" s="24">
        <f t="shared" si="2"/>
        <v>311</v>
      </c>
      <c r="L4" s="23">
        <v>0</v>
      </c>
      <c r="M4" s="23">
        <v>0</v>
      </c>
      <c r="N4" s="23">
        <v>0</v>
      </c>
      <c r="O4" s="24">
        <f t="shared" si="3"/>
        <v>311</v>
      </c>
      <c r="P4" s="23">
        <v>550</v>
      </c>
      <c r="Q4" s="28">
        <v>0</v>
      </c>
      <c r="R4" s="29">
        <v>80</v>
      </c>
      <c r="S4" s="30">
        <v>40</v>
      </c>
      <c r="T4" s="30">
        <v>0</v>
      </c>
      <c r="U4" s="26">
        <v>0</v>
      </c>
      <c r="V4" s="29">
        <v>0</v>
      </c>
      <c r="W4" s="31">
        <v>0</v>
      </c>
      <c r="X4" s="29">
        <f t="shared" si="6"/>
        <v>40</v>
      </c>
      <c r="Y4" s="29">
        <f t="shared" si="7"/>
        <v>40</v>
      </c>
      <c r="Z4" s="36">
        <v>0</v>
      </c>
      <c r="AA4" s="23"/>
      <c r="AB4" s="37">
        <f t="shared" si="8"/>
        <v>1</v>
      </c>
      <c r="AC4" s="37">
        <f t="shared" si="9"/>
        <v>1</v>
      </c>
      <c r="AD4" s="37">
        <v>1</v>
      </c>
      <c r="AE4" s="37">
        <f t="shared" si="11"/>
        <v>0.5</v>
      </c>
      <c r="AF4" s="46">
        <f t="shared" si="12"/>
        <v>1000</v>
      </c>
      <c r="AG4" s="23">
        <v>8</v>
      </c>
    </row>
    <row r="5" spans="1:33" ht="17.25" customHeight="1">
      <c r="A5" s="42" t="s">
        <v>150</v>
      </c>
      <c r="B5" s="54" t="s">
        <v>152</v>
      </c>
      <c r="C5" s="43" t="s">
        <v>28</v>
      </c>
      <c r="D5" s="23">
        <v>0</v>
      </c>
      <c r="E5" s="44">
        <v>44256</v>
      </c>
      <c r="F5" s="44">
        <v>44286</v>
      </c>
      <c r="G5" s="23" t="s">
        <v>28</v>
      </c>
      <c r="H5" s="23">
        <v>311</v>
      </c>
      <c r="I5" s="23">
        <f t="shared" si="0"/>
        <v>311</v>
      </c>
      <c r="J5" s="23">
        <f t="shared" si="1"/>
        <v>311</v>
      </c>
      <c r="K5" s="24">
        <f t="shared" si="2"/>
        <v>311</v>
      </c>
      <c r="L5" s="23">
        <v>0</v>
      </c>
      <c r="M5" s="23">
        <v>0</v>
      </c>
      <c r="N5" s="23">
        <v>4</v>
      </c>
      <c r="O5" s="24">
        <f t="shared" si="3"/>
        <v>311</v>
      </c>
      <c r="P5" s="23">
        <v>0</v>
      </c>
      <c r="Q5" s="28">
        <v>0</v>
      </c>
      <c r="R5" s="29">
        <v>0</v>
      </c>
      <c r="S5" s="30">
        <v>0</v>
      </c>
      <c r="T5" s="30">
        <v>0</v>
      </c>
      <c r="U5" s="26">
        <v>8</v>
      </c>
      <c r="V5" s="29">
        <v>0</v>
      </c>
      <c r="W5" s="31">
        <v>0</v>
      </c>
      <c r="X5" s="29">
        <f t="shared" si="6"/>
        <v>0</v>
      </c>
      <c r="Y5" s="29">
        <f t="shared" si="7"/>
        <v>0</v>
      </c>
      <c r="Z5" s="36">
        <v>0</v>
      </c>
      <c r="AA5" s="23"/>
      <c r="AB5" s="37">
        <f t="shared" si="8"/>
        <v>1</v>
      </c>
      <c r="AC5" s="37">
        <f t="shared" si="9"/>
        <v>1</v>
      </c>
      <c r="AD5" s="37">
        <v>1</v>
      </c>
      <c r="AE5" s="37">
        <f t="shared" si="11"/>
        <v>0</v>
      </c>
      <c r="AF5" s="46">
        <f t="shared" si="12"/>
        <v>0</v>
      </c>
      <c r="AG5" s="23">
        <v>8</v>
      </c>
    </row>
    <row r="6" spans="1:33" ht="17.25" customHeight="1">
      <c r="A6" s="42" t="s">
        <v>150</v>
      </c>
      <c r="B6" s="42" t="s">
        <v>153</v>
      </c>
      <c r="C6" s="43" t="s">
        <v>29</v>
      </c>
      <c r="D6" s="23">
        <v>0</v>
      </c>
      <c r="E6" s="44">
        <v>44287</v>
      </c>
      <c r="F6" s="44">
        <v>44316</v>
      </c>
      <c r="G6" s="23" t="s">
        <v>29</v>
      </c>
      <c r="H6" s="23">
        <v>311</v>
      </c>
      <c r="I6" s="23">
        <f t="shared" si="0"/>
        <v>311</v>
      </c>
      <c r="J6" s="23">
        <f t="shared" si="1"/>
        <v>311</v>
      </c>
      <c r="K6" s="24">
        <f t="shared" si="2"/>
        <v>311</v>
      </c>
      <c r="L6" s="23">
        <v>0</v>
      </c>
      <c r="M6" s="23">
        <v>0</v>
      </c>
      <c r="N6" s="23">
        <v>0</v>
      </c>
      <c r="O6" s="24">
        <f t="shared" si="3"/>
        <v>311</v>
      </c>
      <c r="P6" s="23">
        <v>0</v>
      </c>
      <c r="Q6" s="28">
        <v>0</v>
      </c>
      <c r="R6" s="29">
        <v>0</v>
      </c>
      <c r="S6" s="30">
        <v>0</v>
      </c>
      <c r="T6" s="30">
        <v>0</v>
      </c>
      <c r="U6" s="26">
        <v>0</v>
      </c>
      <c r="V6" s="29">
        <v>0</v>
      </c>
      <c r="W6" s="31">
        <v>0</v>
      </c>
      <c r="X6" s="29">
        <f t="shared" si="6"/>
        <v>0</v>
      </c>
      <c r="Y6" s="29">
        <f t="shared" si="7"/>
        <v>0</v>
      </c>
      <c r="Z6" s="36">
        <v>0</v>
      </c>
      <c r="AA6" s="23"/>
      <c r="AB6" s="37">
        <f t="shared" si="8"/>
        <v>1</v>
      </c>
      <c r="AC6" s="37">
        <f t="shared" si="9"/>
        <v>1</v>
      </c>
      <c r="AD6" s="37">
        <v>1</v>
      </c>
      <c r="AE6" s="37">
        <f t="shared" si="11"/>
        <v>0</v>
      </c>
      <c r="AF6" s="46">
        <f t="shared" si="12"/>
        <v>0</v>
      </c>
      <c r="AG6" s="23">
        <v>8</v>
      </c>
    </row>
    <row r="7" spans="1:33" ht="17.25" customHeight="1">
      <c r="A7" s="42" t="s">
        <v>150</v>
      </c>
      <c r="B7" s="42" t="s">
        <v>153</v>
      </c>
      <c r="C7" s="43" t="s">
        <v>30</v>
      </c>
      <c r="D7" s="23">
        <v>0</v>
      </c>
      <c r="E7" s="44">
        <v>44317</v>
      </c>
      <c r="F7" s="44">
        <v>44347</v>
      </c>
      <c r="G7" s="23" t="s">
        <v>30</v>
      </c>
      <c r="H7" s="23">
        <v>311</v>
      </c>
      <c r="I7" s="23">
        <f t="shared" si="0"/>
        <v>311</v>
      </c>
      <c r="J7" s="23">
        <f t="shared" si="1"/>
        <v>311</v>
      </c>
      <c r="K7" s="24">
        <f t="shared" si="2"/>
        <v>311</v>
      </c>
      <c r="L7" s="23">
        <v>0</v>
      </c>
      <c r="M7" s="23">
        <v>0</v>
      </c>
      <c r="N7" s="23">
        <v>0</v>
      </c>
      <c r="O7" s="24">
        <f t="shared" si="3"/>
        <v>311</v>
      </c>
      <c r="P7" s="23">
        <v>0</v>
      </c>
      <c r="Q7" s="28">
        <v>0</v>
      </c>
      <c r="R7" s="29">
        <v>0</v>
      </c>
      <c r="S7" s="30">
        <v>0</v>
      </c>
      <c r="T7" s="30">
        <v>0</v>
      </c>
      <c r="U7" s="26">
        <v>0</v>
      </c>
      <c r="V7" s="29">
        <v>0</v>
      </c>
      <c r="W7" s="31">
        <v>0</v>
      </c>
      <c r="X7" s="29">
        <f t="shared" si="6"/>
        <v>0</v>
      </c>
      <c r="Y7" s="29">
        <f t="shared" si="7"/>
        <v>0</v>
      </c>
      <c r="Z7" s="36">
        <v>0</v>
      </c>
      <c r="AA7" s="23"/>
      <c r="AB7" s="37">
        <f t="shared" si="8"/>
        <v>1</v>
      </c>
      <c r="AC7" s="37">
        <f t="shared" si="9"/>
        <v>1</v>
      </c>
      <c r="AD7" s="37">
        <v>1</v>
      </c>
      <c r="AE7" s="37">
        <f t="shared" si="11"/>
        <v>0</v>
      </c>
      <c r="AF7" s="46">
        <f t="shared" si="12"/>
        <v>0</v>
      </c>
      <c r="AG7" s="23">
        <v>8</v>
      </c>
    </row>
    <row r="8" spans="1:33" ht="17.25" customHeight="1">
      <c r="A8" s="42" t="s">
        <v>150</v>
      </c>
      <c r="B8" s="42" t="s">
        <v>153</v>
      </c>
      <c r="C8" s="43" t="s">
        <v>154</v>
      </c>
      <c r="D8" s="23">
        <v>0</v>
      </c>
      <c r="E8" s="44">
        <v>44348</v>
      </c>
      <c r="F8" s="44">
        <v>44377</v>
      </c>
      <c r="G8" s="23" t="s">
        <v>31</v>
      </c>
      <c r="H8" s="23">
        <v>311</v>
      </c>
      <c r="I8" s="23">
        <f t="shared" si="0"/>
        <v>311</v>
      </c>
      <c r="J8" s="23">
        <f t="shared" si="1"/>
        <v>311</v>
      </c>
      <c r="K8" s="24">
        <f t="shared" si="2"/>
        <v>311</v>
      </c>
      <c r="L8" s="23">
        <v>0</v>
      </c>
      <c r="M8" s="23">
        <v>0</v>
      </c>
      <c r="N8" s="23">
        <v>0</v>
      </c>
      <c r="O8" s="24">
        <f t="shared" si="3"/>
        <v>311</v>
      </c>
      <c r="P8" s="23">
        <v>0</v>
      </c>
      <c r="Q8" s="28">
        <v>0</v>
      </c>
      <c r="R8" s="29">
        <v>0</v>
      </c>
      <c r="S8" s="30">
        <v>0</v>
      </c>
      <c r="T8" s="30">
        <v>0</v>
      </c>
      <c r="U8" s="26">
        <v>0</v>
      </c>
      <c r="V8" s="29">
        <v>0</v>
      </c>
      <c r="W8" s="31">
        <v>0</v>
      </c>
      <c r="X8" s="29">
        <f t="shared" si="6"/>
        <v>0</v>
      </c>
      <c r="Y8" s="29">
        <f t="shared" si="7"/>
        <v>0</v>
      </c>
      <c r="Z8" s="36">
        <v>0</v>
      </c>
      <c r="AA8" s="23"/>
      <c r="AB8" s="37">
        <f t="shared" si="8"/>
        <v>1</v>
      </c>
      <c r="AC8" s="37">
        <f t="shared" si="9"/>
        <v>1</v>
      </c>
      <c r="AD8" s="37">
        <v>1</v>
      </c>
      <c r="AE8" s="37">
        <f t="shared" si="11"/>
        <v>0</v>
      </c>
      <c r="AF8" s="46">
        <f t="shared" si="12"/>
        <v>0</v>
      </c>
      <c r="AG8" s="23">
        <v>8</v>
      </c>
    </row>
    <row r="9" spans="1:33" ht="17.25" customHeight="1">
      <c r="A9" s="42" t="s">
        <v>150</v>
      </c>
      <c r="B9" s="42" t="s">
        <v>155</v>
      </c>
      <c r="C9" s="43" t="s">
        <v>32</v>
      </c>
      <c r="D9" s="23">
        <v>1</v>
      </c>
      <c r="E9" s="44">
        <v>44378</v>
      </c>
      <c r="F9" s="44">
        <v>44407</v>
      </c>
      <c r="G9" s="23" t="s">
        <v>32</v>
      </c>
      <c r="H9" s="23">
        <v>311</v>
      </c>
      <c r="I9" s="23">
        <f t="shared" si="0"/>
        <v>311</v>
      </c>
      <c r="J9" s="23">
        <f t="shared" si="1"/>
        <v>311</v>
      </c>
      <c r="K9" s="24">
        <f t="shared" si="2"/>
        <v>311</v>
      </c>
      <c r="L9" s="23">
        <v>0</v>
      </c>
      <c r="M9" s="23">
        <v>0</v>
      </c>
      <c r="N9" s="23">
        <v>0</v>
      </c>
      <c r="O9" s="24">
        <f t="shared" si="3"/>
        <v>311</v>
      </c>
      <c r="P9" s="23">
        <v>273</v>
      </c>
      <c r="Q9" s="28">
        <v>0</v>
      </c>
      <c r="R9" s="29">
        <v>80</v>
      </c>
      <c r="S9" s="30">
        <v>40</v>
      </c>
      <c r="T9" s="30">
        <v>0</v>
      </c>
      <c r="U9" s="26">
        <v>0</v>
      </c>
      <c r="V9" s="29">
        <v>0</v>
      </c>
      <c r="W9" s="31">
        <v>0</v>
      </c>
      <c r="X9" s="29">
        <f t="shared" si="6"/>
        <v>40</v>
      </c>
      <c r="Y9" s="29">
        <f t="shared" si="7"/>
        <v>40</v>
      </c>
      <c r="Z9" s="36">
        <v>0</v>
      </c>
      <c r="AA9" s="23"/>
      <c r="AB9" s="37">
        <f t="shared" si="8"/>
        <v>1</v>
      </c>
      <c r="AC9" s="37">
        <f t="shared" si="9"/>
        <v>1</v>
      </c>
      <c r="AD9" s="37">
        <v>1</v>
      </c>
      <c r="AE9" s="37">
        <f t="shared" si="11"/>
        <v>0.5</v>
      </c>
      <c r="AF9" s="46">
        <f t="shared" si="12"/>
        <v>1000</v>
      </c>
      <c r="AG9" s="23">
        <v>8</v>
      </c>
    </row>
    <row r="10" spans="1:33" ht="17.25" customHeight="1">
      <c r="A10" s="42" t="s">
        <v>150</v>
      </c>
      <c r="B10" s="48" t="s">
        <v>152</v>
      </c>
      <c r="C10" s="43" t="s">
        <v>33</v>
      </c>
      <c r="D10" s="23">
        <v>1</v>
      </c>
      <c r="E10" s="44">
        <v>44409</v>
      </c>
      <c r="F10" s="44">
        <v>44435</v>
      </c>
      <c r="G10" s="23" t="s">
        <v>33</v>
      </c>
      <c r="H10" s="23">
        <v>311</v>
      </c>
      <c r="I10" s="23">
        <f t="shared" si="0"/>
        <v>311</v>
      </c>
      <c r="J10" s="23">
        <f t="shared" si="1"/>
        <v>311</v>
      </c>
      <c r="K10" s="24">
        <f t="shared" si="2"/>
        <v>311</v>
      </c>
      <c r="L10" s="23">
        <v>0</v>
      </c>
      <c r="M10" s="23">
        <v>0</v>
      </c>
      <c r="N10" s="23">
        <v>0</v>
      </c>
      <c r="O10" s="24">
        <f t="shared" si="3"/>
        <v>311</v>
      </c>
      <c r="P10" s="23">
        <v>273</v>
      </c>
      <c r="Q10" s="28">
        <v>0</v>
      </c>
      <c r="R10" s="29">
        <v>80</v>
      </c>
      <c r="S10" s="30">
        <v>40</v>
      </c>
      <c r="T10" s="30">
        <v>0</v>
      </c>
      <c r="U10" s="26">
        <v>0</v>
      </c>
      <c r="V10" s="29">
        <v>0</v>
      </c>
      <c r="W10" s="31">
        <v>0</v>
      </c>
      <c r="X10" s="29">
        <f t="shared" si="6"/>
        <v>40</v>
      </c>
      <c r="Y10" s="29">
        <f t="shared" si="7"/>
        <v>40</v>
      </c>
      <c r="Z10" s="36">
        <v>0</v>
      </c>
      <c r="AA10" s="23"/>
      <c r="AB10" s="37">
        <f t="shared" si="8"/>
        <v>1</v>
      </c>
      <c r="AC10" s="37">
        <f t="shared" si="9"/>
        <v>1</v>
      </c>
      <c r="AD10" s="37">
        <v>1</v>
      </c>
      <c r="AE10" s="37">
        <f t="shared" si="11"/>
        <v>0.5</v>
      </c>
      <c r="AF10" s="46">
        <f t="shared" si="12"/>
        <v>1000</v>
      </c>
      <c r="AG10" s="23">
        <v>8</v>
      </c>
    </row>
    <row r="11" spans="1:33" ht="17.25" customHeight="1">
      <c r="A11" s="42" t="s">
        <v>150</v>
      </c>
      <c r="B11" s="48" t="s">
        <v>156</v>
      </c>
      <c r="C11" s="43" t="s">
        <v>34</v>
      </c>
      <c r="D11" s="23">
        <v>1</v>
      </c>
      <c r="E11" s="44">
        <v>44440</v>
      </c>
      <c r="F11" s="44">
        <v>44456</v>
      </c>
      <c r="G11" s="23" t="s">
        <v>34</v>
      </c>
      <c r="H11" s="23">
        <v>311</v>
      </c>
      <c r="I11" s="23">
        <f t="shared" ref="I11" si="13">H11</f>
        <v>311</v>
      </c>
      <c r="J11" s="23">
        <f t="shared" ref="J11" si="14">H11</f>
        <v>311</v>
      </c>
      <c r="K11" s="24">
        <f t="shared" ref="K11" si="15">H11</f>
        <v>311</v>
      </c>
      <c r="L11" s="23">
        <v>0</v>
      </c>
      <c r="M11" s="23">
        <v>0</v>
      </c>
      <c r="N11" s="23">
        <v>122</v>
      </c>
      <c r="O11" s="24">
        <f t="shared" ref="O11" si="16">H11</f>
        <v>311</v>
      </c>
      <c r="P11" s="23">
        <v>1202</v>
      </c>
      <c r="Q11" s="28">
        <v>0</v>
      </c>
      <c r="R11" s="29">
        <v>160</v>
      </c>
      <c r="S11" s="30">
        <v>80</v>
      </c>
      <c r="T11" s="30">
        <v>0</v>
      </c>
      <c r="U11" s="26">
        <v>24</v>
      </c>
      <c r="V11" s="29">
        <v>0</v>
      </c>
      <c r="W11" s="31">
        <v>0</v>
      </c>
      <c r="X11" s="29">
        <f t="shared" ref="X11" si="17">SUM(S11,T11,V11,W11)</f>
        <v>80</v>
      </c>
      <c r="Y11" s="29">
        <f t="shared" ref="Y11" si="18">R11-X11</f>
        <v>80</v>
      </c>
      <c r="Z11" s="36">
        <v>0</v>
      </c>
      <c r="AA11" s="23"/>
      <c r="AB11" s="37">
        <f t="shared" ref="AB11" si="19">J11/I11</f>
        <v>1</v>
      </c>
      <c r="AC11" s="37">
        <f t="shared" ref="AC11" si="20">J11/H11</f>
        <v>1</v>
      </c>
      <c r="AD11" s="37">
        <v>1</v>
      </c>
      <c r="AE11" s="37">
        <f t="shared" ref="AE11" si="21">IFERROR(Y11/R11,0)</f>
        <v>0.5</v>
      </c>
      <c r="AF11" s="46">
        <f t="shared" ref="AF11" si="22">Y11*$B$17</f>
        <v>2000</v>
      </c>
      <c r="AG11" s="23">
        <v>8</v>
      </c>
    </row>
    <row r="12" spans="1:33" s="2" customFormat="1">
      <c r="A12" s="8" t="str">
        <f>A3</f>
        <v>DeptSystems</v>
      </c>
      <c r="B12" s="8" t="s">
        <v>90</v>
      </c>
      <c r="C12" s="9" t="s">
        <v>90</v>
      </c>
      <c r="D12" s="9">
        <f ca="1">SUM(D3:INDIRECT("D"&amp;ROW()-1))</f>
        <v>5</v>
      </c>
      <c r="E12" s="9"/>
      <c r="F12" s="9"/>
      <c r="G12" s="9"/>
      <c r="H12" s="9">
        <f ca="1">INDIRECT("H"&amp;ROW()-1)</f>
        <v>311</v>
      </c>
      <c r="I12" s="9">
        <f ca="1">INDIRECT("I"&amp;ROW()-1)</f>
        <v>311</v>
      </c>
      <c r="J12" s="9">
        <f ca="1">INDIRECT("J"&amp;ROW()-1)</f>
        <v>311</v>
      </c>
      <c r="K12" s="9">
        <f ca="1">INDIRECT("K"&amp;ROW()-1)</f>
        <v>311</v>
      </c>
      <c r="L12" s="9">
        <f ca="1">SUM(L3:INDIRECT("L"&amp;ROW()-1))</f>
        <v>0</v>
      </c>
      <c r="M12" s="9">
        <f ca="1">SUM(M3:INDIRECT("M"&amp;ROW()-1))</f>
        <v>0</v>
      </c>
      <c r="N12" s="9">
        <f ca="1">SUM(N3:INDIRECT("N"&amp;ROW()-1))</f>
        <v>126</v>
      </c>
      <c r="O12" s="9">
        <f ca="1">INDIRECT("O"&amp;ROW()-1)</f>
        <v>311</v>
      </c>
      <c r="P12" s="9">
        <f ca="1">SUM(P3:INDIRECT("P"&amp;ROW()-1))</f>
        <v>2358</v>
      </c>
      <c r="Q12" s="9">
        <f ca="1">SUM(Q3:INDIRECT("Q"&amp;ROW()-1))</f>
        <v>0</v>
      </c>
      <c r="R12" s="27">
        <f ca="1">SUM(R3:INDIRECT("R"&amp;ROW()-1))</f>
        <v>460</v>
      </c>
      <c r="S12" s="9">
        <f ca="1">SUM(S3:INDIRECT("S"&amp;ROW()-1))</f>
        <v>215</v>
      </c>
      <c r="T12" s="9">
        <f ca="1">SUM(T3:INDIRECT("T"&amp;ROW()-1))</f>
        <v>0</v>
      </c>
      <c r="U12" s="9">
        <f ca="1">SUM(U3:INDIRECT("U"&amp;ROW()-1))</f>
        <v>32</v>
      </c>
      <c r="V12" s="9">
        <f ca="1">SUM(V3:INDIRECT("V"&amp;ROW()-1))</f>
        <v>0</v>
      </c>
      <c r="W12" s="9">
        <f ca="1">SUM(W3:INDIRECT("W"&amp;ROW()-1))</f>
        <v>0</v>
      </c>
      <c r="X12" s="9">
        <f ca="1">SUM(X3:INDIRECT("X"&amp;ROW()-1))</f>
        <v>215</v>
      </c>
      <c r="Y12" s="27">
        <f ca="1">SUM(Y3:INDIRECT("Y"&amp;ROW()-1))</f>
        <v>245</v>
      </c>
      <c r="Z12" s="9">
        <f ca="1">SUM(Z3:INDIRECT("z"&amp;ROW()-1))</f>
        <v>0</v>
      </c>
      <c r="AA12" s="9"/>
      <c r="AB12" s="34">
        <f t="shared" ca="1" si="8"/>
        <v>1</v>
      </c>
      <c r="AC12" s="34">
        <f t="shared" ca="1" si="9"/>
        <v>1</v>
      </c>
      <c r="AD12" s="34">
        <f t="shared" ref="AD12" ca="1" si="23">P12/(O12*D12)</f>
        <v>1.5163987138263666</v>
      </c>
      <c r="AE12" s="39">
        <f t="shared" ca="1" si="11"/>
        <v>0.53260869565217395</v>
      </c>
      <c r="AF12" s="35">
        <f ca="1">SUM(AF3:INDIRECT("AF"&amp;ROW()-1))</f>
        <v>6125</v>
      </c>
      <c r="AG12" s="9"/>
    </row>
    <row r="13" spans="1:33" s="2" customFormat="1"/>
    <row r="14" spans="1:33" s="2" customFormat="1">
      <c r="A14" s="10"/>
      <c r="B14" s="11"/>
      <c r="E14" s="2">
        <v>11</v>
      </c>
      <c r="Q14" s="13"/>
      <c r="AD14" s="25"/>
    </row>
    <row r="15" spans="1:33" s="2" customFormat="1">
      <c r="A15" s="10"/>
      <c r="B15" s="11"/>
      <c r="Q15" s="13"/>
      <c r="AD15" s="25"/>
    </row>
    <row r="16" spans="1:33" s="2" customFormat="1">
      <c r="A16" s="10"/>
      <c r="B16" s="11"/>
      <c r="Q16" s="13"/>
      <c r="AD16" s="25"/>
    </row>
    <row r="17" spans="1:30" s="2" customFormat="1">
      <c r="A17" s="10" t="s">
        <v>91</v>
      </c>
      <c r="B17" s="11">
        <v>25</v>
      </c>
      <c r="P17" s="25"/>
      <c r="Q17" s="13"/>
      <c r="AD17" s="25"/>
    </row>
    <row r="49" spans="1:33">
      <c r="N49" s="172" t="s">
        <v>22</v>
      </c>
      <c r="O49" s="172" t="s">
        <v>82</v>
      </c>
      <c r="P49" s="172" t="s">
        <v>60</v>
      </c>
      <c r="Q49" s="172" t="s">
        <v>85</v>
      </c>
      <c r="R49" s="172" t="s">
        <v>74</v>
      </c>
      <c r="S49" s="172" t="s">
        <v>75</v>
      </c>
      <c r="T49" s="173"/>
      <c r="AG49" s="13"/>
    </row>
    <row r="50" spans="1:33">
      <c r="N50" s="172"/>
      <c r="O50" s="172"/>
      <c r="P50" s="172"/>
      <c r="Q50" s="172"/>
      <c r="R50" s="172"/>
      <c r="S50" s="172"/>
      <c r="T50" s="173"/>
      <c r="AG50" s="13"/>
    </row>
    <row r="51" spans="1:33">
      <c r="N51" s="42" t="s">
        <v>150</v>
      </c>
      <c r="O51" s="23" t="s">
        <v>26</v>
      </c>
      <c r="P51" s="26">
        <f t="shared" ref="P51:P62" si="24">SUMIFS($R$3:$R$3,$G$3:$G$3,O51)</f>
        <v>60</v>
      </c>
      <c r="Q51" s="26">
        <f t="shared" ref="Q51:Q62" si="25">SUMIFS($Y$3:$Y$3,$G$3:$G$3,O51)</f>
        <v>45</v>
      </c>
      <c r="R51" s="32">
        <f t="shared" ref="R51:R62" si="26">IFERROR(Q51/P51,0)</f>
        <v>0.75</v>
      </c>
      <c r="S51" s="33">
        <f>SUMIFS($AF$3:$AF$3,$G$3:$G$3,O51)</f>
        <v>1125</v>
      </c>
      <c r="T51" s="18"/>
      <c r="AG51" s="15"/>
    </row>
    <row r="52" spans="1:33">
      <c r="N52" s="42" t="s">
        <v>150</v>
      </c>
      <c r="O52" s="23" t="s">
        <v>27</v>
      </c>
      <c r="P52" s="26">
        <f t="shared" si="24"/>
        <v>0</v>
      </c>
      <c r="Q52" s="26">
        <f t="shared" si="25"/>
        <v>0</v>
      </c>
      <c r="R52" s="32">
        <f t="shared" si="26"/>
        <v>0</v>
      </c>
      <c r="S52" s="33">
        <f t="shared" ref="S52:S62" si="27">SUMIFS($AF$3:$AF$3,$G$3:$G$3,O52)</f>
        <v>0</v>
      </c>
      <c r="T52" s="18" t="s">
        <v>78</v>
      </c>
      <c r="AG52" s="15"/>
    </row>
    <row r="53" spans="1:33">
      <c r="N53" s="42" t="s">
        <v>150</v>
      </c>
      <c r="O53" s="23" t="s">
        <v>28</v>
      </c>
      <c r="P53" s="26">
        <f t="shared" si="24"/>
        <v>0</v>
      </c>
      <c r="Q53" s="26">
        <f t="shared" si="25"/>
        <v>0</v>
      </c>
      <c r="R53" s="32">
        <f t="shared" si="26"/>
        <v>0</v>
      </c>
      <c r="S53" s="33">
        <f t="shared" si="27"/>
        <v>0</v>
      </c>
      <c r="T53" s="18"/>
      <c r="AG53" s="15"/>
    </row>
    <row r="54" spans="1:33">
      <c r="N54" s="42" t="s">
        <v>150</v>
      </c>
      <c r="O54" s="23" t="s">
        <v>29</v>
      </c>
      <c r="P54" s="26">
        <f t="shared" si="24"/>
        <v>0</v>
      </c>
      <c r="Q54" s="26">
        <f t="shared" si="25"/>
        <v>0</v>
      </c>
      <c r="R54" s="32">
        <f t="shared" si="26"/>
        <v>0</v>
      </c>
      <c r="S54" s="33">
        <f t="shared" si="27"/>
        <v>0</v>
      </c>
      <c r="T54" s="18"/>
      <c r="AG54" s="15"/>
    </row>
    <row r="55" spans="1:33">
      <c r="N55" s="42" t="s">
        <v>150</v>
      </c>
      <c r="O55" s="23" t="s">
        <v>30</v>
      </c>
      <c r="P55" s="26">
        <f t="shared" si="24"/>
        <v>0</v>
      </c>
      <c r="Q55" s="26">
        <f t="shared" si="25"/>
        <v>0</v>
      </c>
      <c r="R55" s="32">
        <f t="shared" si="26"/>
        <v>0</v>
      </c>
      <c r="S55" s="33">
        <f t="shared" si="27"/>
        <v>0</v>
      </c>
      <c r="T55" s="18"/>
      <c r="AG55" s="15"/>
    </row>
    <row r="56" spans="1:33">
      <c r="N56" s="42" t="s">
        <v>150</v>
      </c>
      <c r="O56" s="23" t="s">
        <v>31</v>
      </c>
      <c r="P56" s="26">
        <f t="shared" si="24"/>
        <v>0</v>
      </c>
      <c r="Q56" s="26">
        <f t="shared" si="25"/>
        <v>0</v>
      </c>
      <c r="R56" s="32">
        <f t="shared" si="26"/>
        <v>0</v>
      </c>
      <c r="S56" s="33">
        <f t="shared" si="27"/>
        <v>0</v>
      </c>
      <c r="T56" s="18"/>
      <c r="AG56" s="15"/>
    </row>
    <row r="57" spans="1:33" ht="15" customHeight="1">
      <c r="N57" s="42" t="s">
        <v>150</v>
      </c>
      <c r="O57" s="23" t="s">
        <v>32</v>
      </c>
      <c r="P57" s="26">
        <f t="shared" si="24"/>
        <v>0</v>
      </c>
      <c r="Q57" s="26">
        <f t="shared" si="25"/>
        <v>0</v>
      </c>
      <c r="R57" s="32">
        <f t="shared" si="26"/>
        <v>0</v>
      </c>
      <c r="S57" s="33">
        <f t="shared" si="27"/>
        <v>0</v>
      </c>
      <c r="T57" s="18"/>
      <c r="AG57" s="15"/>
    </row>
    <row r="58" spans="1:33">
      <c r="A58" s="173"/>
      <c r="B58" s="173"/>
      <c r="C58" s="173"/>
      <c r="D58" s="173"/>
      <c r="E58" s="173"/>
      <c r="F58" s="173"/>
      <c r="G58" s="173"/>
      <c r="N58" s="42" t="s">
        <v>150</v>
      </c>
      <c r="O58" s="23" t="s">
        <v>33</v>
      </c>
      <c r="P58" s="26">
        <f t="shared" si="24"/>
        <v>0</v>
      </c>
      <c r="Q58" s="26">
        <f t="shared" si="25"/>
        <v>0</v>
      </c>
      <c r="R58" s="32">
        <f t="shared" si="26"/>
        <v>0</v>
      </c>
      <c r="S58" s="33">
        <f t="shared" si="27"/>
        <v>0</v>
      </c>
      <c r="T58" s="18"/>
      <c r="AG58" s="15"/>
    </row>
    <row r="59" spans="1:33">
      <c r="A59" s="173"/>
      <c r="B59" s="173"/>
      <c r="C59" s="173"/>
      <c r="D59" s="173"/>
      <c r="E59" s="173"/>
      <c r="F59" s="173"/>
      <c r="G59" s="173"/>
      <c r="N59" s="42" t="s">
        <v>150</v>
      </c>
      <c r="O59" s="23" t="s">
        <v>34</v>
      </c>
      <c r="P59" s="26">
        <f t="shared" si="24"/>
        <v>0</v>
      </c>
      <c r="Q59" s="26">
        <f t="shared" si="25"/>
        <v>0</v>
      </c>
      <c r="R59" s="32">
        <f t="shared" si="26"/>
        <v>0</v>
      </c>
      <c r="S59" s="33">
        <f t="shared" si="27"/>
        <v>0</v>
      </c>
      <c r="T59" s="18"/>
      <c r="AG59" s="15"/>
    </row>
    <row r="60" spans="1:33">
      <c r="A60" s="14"/>
      <c r="B60" s="15"/>
      <c r="C60" s="15"/>
      <c r="D60" s="16"/>
      <c r="E60" s="16"/>
      <c r="F60" s="17"/>
      <c r="G60" s="18"/>
      <c r="N60" s="42" t="s">
        <v>150</v>
      </c>
      <c r="O60" s="23" t="s">
        <v>35</v>
      </c>
      <c r="P60" s="26">
        <f t="shared" si="24"/>
        <v>0</v>
      </c>
      <c r="Q60" s="26">
        <f t="shared" si="25"/>
        <v>0</v>
      </c>
      <c r="R60" s="32">
        <f t="shared" si="26"/>
        <v>0</v>
      </c>
      <c r="S60" s="33">
        <f t="shared" si="27"/>
        <v>0</v>
      </c>
      <c r="T60" s="18"/>
      <c r="AG60" s="15"/>
    </row>
    <row r="61" spans="1:33">
      <c r="A61" s="14"/>
      <c r="B61" s="15"/>
      <c r="C61" s="15"/>
      <c r="D61" s="16"/>
      <c r="E61" s="16"/>
      <c r="F61" s="17"/>
      <c r="G61" s="18"/>
      <c r="N61" s="42" t="s">
        <v>150</v>
      </c>
      <c r="O61" s="23" t="s">
        <v>36</v>
      </c>
      <c r="P61" s="26">
        <f t="shared" si="24"/>
        <v>0</v>
      </c>
      <c r="Q61" s="26">
        <f t="shared" si="25"/>
        <v>0</v>
      </c>
      <c r="R61" s="32">
        <f t="shared" si="26"/>
        <v>0</v>
      </c>
      <c r="S61" s="33">
        <f t="shared" si="27"/>
        <v>0</v>
      </c>
      <c r="T61" s="18"/>
      <c r="AG61" s="15"/>
    </row>
    <row r="62" spans="1:33">
      <c r="A62" s="14"/>
      <c r="B62" s="15"/>
      <c r="C62" s="15"/>
      <c r="D62" s="16"/>
      <c r="E62" s="16"/>
      <c r="F62" s="17"/>
      <c r="G62" s="18"/>
      <c r="N62" s="42" t="s">
        <v>150</v>
      </c>
      <c r="O62" s="23" t="s">
        <v>37</v>
      </c>
      <c r="P62" s="26">
        <f t="shared" si="24"/>
        <v>0</v>
      </c>
      <c r="Q62" s="26">
        <f t="shared" si="25"/>
        <v>0</v>
      </c>
      <c r="R62" s="32">
        <f t="shared" si="26"/>
        <v>0</v>
      </c>
      <c r="S62" s="33">
        <f t="shared" si="27"/>
        <v>0</v>
      </c>
      <c r="T62" s="18"/>
      <c r="AG62" s="15"/>
    </row>
    <row r="63" spans="1:33">
      <c r="A63" s="14"/>
      <c r="B63" s="15"/>
      <c r="C63" s="15"/>
      <c r="D63" s="16"/>
      <c r="E63" s="16"/>
      <c r="F63" s="17"/>
      <c r="G63" s="18"/>
      <c r="N63" s="8" t="s">
        <v>150</v>
      </c>
      <c r="O63" s="9"/>
      <c r="P63" s="27">
        <f>SUM(P51:P62)</f>
        <v>60</v>
      </c>
      <c r="Q63" s="27">
        <f>SUM(Q51:Q62)</f>
        <v>45</v>
      </c>
      <c r="R63" s="34">
        <f>Q63/P63</f>
        <v>0.75</v>
      </c>
      <c r="S63" s="35">
        <f>SUM(S51:S62)</f>
        <v>1125</v>
      </c>
      <c r="T63" s="22"/>
      <c r="AG63" s="13"/>
    </row>
  </sheetData>
  <mergeCells count="41">
    <mergeCell ref="Y1:Y2"/>
    <mergeCell ref="Z1:Z2"/>
    <mergeCell ref="AA1:AA2"/>
    <mergeCell ref="AG1:AG2"/>
    <mergeCell ref="S49:S50"/>
    <mergeCell ref="T49:T50"/>
    <mergeCell ref="V1:V2"/>
    <mergeCell ref="W1:W2"/>
    <mergeCell ref="X1:X2"/>
    <mergeCell ref="S1:U1"/>
    <mergeCell ref="AB1:AF1"/>
    <mergeCell ref="P1:P2"/>
    <mergeCell ref="P49:P50"/>
    <mergeCell ref="Q1:Q2"/>
    <mergeCell ref="Q49:Q50"/>
    <mergeCell ref="R1:R2"/>
    <mergeCell ref="R49:R50"/>
    <mergeCell ref="M1:M2"/>
    <mergeCell ref="N1:N2"/>
    <mergeCell ref="N49:N50"/>
    <mergeCell ref="O1:O2"/>
    <mergeCell ref="O49:O50"/>
    <mergeCell ref="H1:H2"/>
    <mergeCell ref="I1:I2"/>
    <mergeCell ref="J1:J2"/>
    <mergeCell ref="K1:K2"/>
    <mergeCell ref="L1:L2"/>
    <mergeCell ref="A1:A2"/>
    <mergeCell ref="A58:A59"/>
    <mergeCell ref="B1:B2"/>
    <mergeCell ref="B58:B59"/>
    <mergeCell ref="C1:C2"/>
    <mergeCell ref="C58:C59"/>
    <mergeCell ref="G1:G2"/>
    <mergeCell ref="G58:G59"/>
    <mergeCell ref="D1:D2"/>
    <mergeCell ref="D58:D59"/>
    <mergeCell ref="E1:E2"/>
    <mergeCell ref="E58:E59"/>
    <mergeCell ref="F1:F2"/>
    <mergeCell ref="F58:F59"/>
  </mergeCells>
  <pageMargins left="0.7" right="0.7" top="0.75" bottom="0.75" header="0.3" footer="0.3"/>
  <pageSetup orientation="portrait"/>
  <headerFooter>
    <oddFooter>&amp;CNBCU Internal</oddFooter>
  </headerFooter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:AG65"/>
  <sheetViews>
    <sheetView workbookViewId="0">
      <selection activeCell="O10" sqref="O10"/>
    </sheetView>
  </sheetViews>
  <sheetFormatPr defaultColWidth="8.81640625" defaultRowHeight="14.5"/>
  <cols>
    <col min="1" max="1" width="9.81640625" style="3" customWidth="1"/>
    <col min="2" max="2" width="10.453125" style="3" customWidth="1"/>
    <col min="3" max="3" width="14.1796875" style="3" customWidth="1"/>
    <col min="4" max="4" width="5.453125" style="3" customWidth="1"/>
    <col min="5" max="6" width="9" style="3" customWidth="1"/>
    <col min="7" max="7" width="8.81640625" style="3" customWidth="1"/>
    <col min="8" max="8" width="19.453125" style="3" customWidth="1"/>
    <col min="9" max="9" width="19.81640625" style="3" customWidth="1"/>
    <col min="10" max="10" width="11.453125" style="3" customWidth="1"/>
    <col min="11" max="11" width="13.1796875" style="3" customWidth="1"/>
    <col min="12" max="12" width="11.1796875" style="3" customWidth="1"/>
    <col min="13" max="14" width="13.1796875" style="3" customWidth="1"/>
    <col min="15" max="15" width="13.81640625" style="3" customWidth="1"/>
    <col min="16" max="16" width="22.453125" style="3" customWidth="1"/>
    <col min="17" max="18" width="19.453125" style="3" customWidth="1"/>
    <col min="19" max="19" width="12.1796875" style="3" customWidth="1"/>
    <col min="20" max="20" width="17.453125" style="3" customWidth="1"/>
    <col min="21" max="21" width="9.81640625" style="3" customWidth="1"/>
    <col min="22" max="22" width="18" style="3" customWidth="1"/>
    <col min="23" max="23" width="19.1796875" style="3" customWidth="1"/>
    <col min="24" max="24" width="13.453125" style="3" customWidth="1"/>
    <col min="25" max="25" width="10.1796875" style="3" customWidth="1"/>
    <col min="26" max="26" width="18.1796875" style="3" customWidth="1"/>
    <col min="27" max="27" width="6.453125" style="3" customWidth="1"/>
    <col min="28" max="28" width="15" style="3" customWidth="1"/>
    <col min="29" max="29" width="9.453125" style="3" customWidth="1"/>
    <col min="30" max="30" width="18" style="3" customWidth="1"/>
    <col min="31" max="31" width="12.1796875" style="3" customWidth="1"/>
    <col min="32" max="32" width="11.453125" style="3" customWidth="1"/>
    <col min="33" max="33" width="13.81640625" style="3" hidden="1" customWidth="1"/>
    <col min="34" max="16384" width="8.81640625" style="3"/>
  </cols>
  <sheetData>
    <row r="1" spans="1:33" s="1" customFormat="1" ht="33" customHeight="1">
      <c r="A1" s="175" t="s">
        <v>22</v>
      </c>
      <c r="B1" s="172" t="s">
        <v>47</v>
      </c>
      <c r="C1" s="172" t="s">
        <v>48</v>
      </c>
      <c r="D1" s="172" t="s">
        <v>79</v>
      </c>
      <c r="E1" s="172" t="s">
        <v>80</v>
      </c>
      <c r="F1" s="172" t="s">
        <v>81</v>
      </c>
      <c r="G1" s="172" t="s">
        <v>82</v>
      </c>
      <c r="H1" s="172" t="s">
        <v>50</v>
      </c>
      <c r="I1" s="172" t="s">
        <v>51</v>
      </c>
      <c r="J1" s="172" t="s">
        <v>53</v>
      </c>
      <c r="K1" s="172" t="s">
        <v>54</v>
      </c>
      <c r="L1" s="172" t="s">
        <v>55</v>
      </c>
      <c r="M1" s="172" t="s">
        <v>56</v>
      </c>
      <c r="N1" s="175" t="s">
        <v>57</v>
      </c>
      <c r="O1" s="172" t="s">
        <v>58</v>
      </c>
      <c r="P1" s="172" t="s">
        <v>83</v>
      </c>
      <c r="Q1" s="172" t="s">
        <v>95</v>
      </c>
      <c r="R1" s="172" t="s">
        <v>60</v>
      </c>
      <c r="S1" s="172" t="s">
        <v>61</v>
      </c>
      <c r="T1" s="172"/>
      <c r="U1" s="172"/>
      <c r="V1" s="172" t="s">
        <v>62</v>
      </c>
      <c r="W1" s="172" t="s">
        <v>63</v>
      </c>
      <c r="X1" s="172" t="s">
        <v>64</v>
      </c>
      <c r="Y1" s="172" t="s">
        <v>85</v>
      </c>
      <c r="Z1" s="172" t="s">
        <v>66</v>
      </c>
      <c r="AA1" s="172" t="s">
        <v>3</v>
      </c>
      <c r="AB1" s="172" t="s">
        <v>67</v>
      </c>
      <c r="AC1" s="172"/>
      <c r="AD1" s="172"/>
      <c r="AE1" s="172"/>
      <c r="AF1" s="172"/>
      <c r="AG1" s="174" t="s">
        <v>86</v>
      </c>
    </row>
    <row r="2" spans="1:33" s="1" customFormat="1" ht="55.5" customHeight="1">
      <c r="A2" s="176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6"/>
      <c r="O2" s="172"/>
      <c r="P2" s="172"/>
      <c r="Q2" s="172"/>
      <c r="R2" s="172"/>
      <c r="S2" s="4" t="s">
        <v>68</v>
      </c>
      <c r="T2" s="4" t="s">
        <v>69</v>
      </c>
      <c r="U2" s="4" t="s">
        <v>70</v>
      </c>
      <c r="V2" s="172"/>
      <c r="W2" s="172"/>
      <c r="X2" s="172"/>
      <c r="Y2" s="172"/>
      <c r="Z2" s="172"/>
      <c r="AA2" s="172"/>
      <c r="AB2" s="4" t="s">
        <v>96</v>
      </c>
      <c r="AC2" s="4" t="s">
        <v>97</v>
      </c>
      <c r="AD2" s="4" t="s">
        <v>73</v>
      </c>
      <c r="AE2" s="4" t="s">
        <v>74</v>
      </c>
      <c r="AF2" s="4" t="s">
        <v>75</v>
      </c>
      <c r="AG2" s="174"/>
    </row>
    <row r="3" spans="1:33" ht="17.25" customHeight="1">
      <c r="A3" s="42" t="s">
        <v>157</v>
      </c>
      <c r="B3" s="50" t="s">
        <v>158</v>
      </c>
      <c r="C3" s="43" t="s">
        <v>89</v>
      </c>
      <c r="D3" s="23">
        <v>1</v>
      </c>
      <c r="E3" s="44">
        <v>44197</v>
      </c>
      <c r="F3" s="44">
        <v>44225</v>
      </c>
      <c r="G3" s="23" t="s">
        <v>26</v>
      </c>
      <c r="H3" s="23">
        <v>769</v>
      </c>
      <c r="I3" s="23">
        <f t="shared" ref="I3:I10" si="0">H3</f>
        <v>769</v>
      </c>
      <c r="J3" s="23">
        <f t="shared" ref="J3:J10" si="1">H3</f>
        <v>769</v>
      </c>
      <c r="K3" s="24">
        <f t="shared" ref="K3:K10" si="2">H3</f>
        <v>769</v>
      </c>
      <c r="L3" s="23">
        <v>0</v>
      </c>
      <c r="M3" s="23">
        <v>0</v>
      </c>
      <c r="N3" s="23">
        <v>25</v>
      </c>
      <c r="O3" s="24">
        <f t="shared" ref="O3:O10" si="3">H3</f>
        <v>769</v>
      </c>
      <c r="P3" s="23">
        <v>127</v>
      </c>
      <c r="Q3" s="28">
        <v>0</v>
      </c>
      <c r="R3" s="29">
        <v>30</v>
      </c>
      <c r="S3" s="30">
        <v>5</v>
      </c>
      <c r="T3" s="30">
        <v>0</v>
      </c>
      <c r="U3" s="26">
        <v>8</v>
      </c>
      <c r="V3" s="29">
        <v>0</v>
      </c>
      <c r="W3" s="31">
        <v>0</v>
      </c>
      <c r="X3" s="29">
        <f t="shared" ref="X3:X10" si="4">SUM(S3,T3,V3,W3)</f>
        <v>5</v>
      </c>
      <c r="Y3" s="29">
        <f t="shared" ref="Y3:Y10" si="5">R3-X3</f>
        <v>25</v>
      </c>
      <c r="Z3" s="36">
        <v>0</v>
      </c>
      <c r="AA3" s="23"/>
      <c r="AB3" s="37">
        <f t="shared" ref="AB3:AB11" si="6">J3/I3</f>
        <v>1</v>
      </c>
      <c r="AC3" s="37">
        <f t="shared" ref="AC3:AC11" si="7">J3/H3</f>
        <v>1</v>
      </c>
      <c r="AD3" s="37">
        <f t="shared" ref="AD3:AD11" si="8">P3/(O3*D3)</f>
        <v>0.16514954486345904</v>
      </c>
      <c r="AE3" s="37">
        <f t="shared" ref="AE3:AE11" si="9">IFERROR(Y3/R3,0)</f>
        <v>0.83333333333333337</v>
      </c>
      <c r="AF3" s="46">
        <f t="shared" ref="AF3:AF10" si="10">Y3*$B$16</f>
        <v>625</v>
      </c>
      <c r="AG3" s="23">
        <v>8</v>
      </c>
    </row>
    <row r="4" spans="1:33" ht="17.25" customHeight="1">
      <c r="A4" s="42" t="s">
        <v>157</v>
      </c>
      <c r="B4" s="52" t="s">
        <v>159</v>
      </c>
      <c r="C4" s="43" t="s">
        <v>27</v>
      </c>
      <c r="D4" s="23">
        <v>1</v>
      </c>
      <c r="E4" s="44">
        <v>44228</v>
      </c>
      <c r="F4" s="44">
        <v>44253</v>
      </c>
      <c r="G4" s="23" t="s">
        <v>27</v>
      </c>
      <c r="H4" s="23">
        <v>769</v>
      </c>
      <c r="I4" s="23">
        <f t="shared" si="0"/>
        <v>769</v>
      </c>
      <c r="J4" s="23">
        <f t="shared" si="1"/>
        <v>769</v>
      </c>
      <c r="K4" s="24">
        <f t="shared" si="2"/>
        <v>769</v>
      </c>
      <c r="L4" s="23">
        <v>0</v>
      </c>
      <c r="M4" s="23">
        <v>0</v>
      </c>
      <c r="N4" s="23">
        <v>0</v>
      </c>
      <c r="O4" s="24">
        <f t="shared" si="3"/>
        <v>769</v>
      </c>
      <c r="P4" s="23">
        <v>0</v>
      </c>
      <c r="Q4" s="28">
        <v>0</v>
      </c>
      <c r="R4" s="29">
        <v>0</v>
      </c>
      <c r="S4" s="30">
        <v>0</v>
      </c>
      <c r="T4" s="30">
        <v>0</v>
      </c>
      <c r="U4" s="26">
        <v>0</v>
      </c>
      <c r="V4" s="29">
        <v>0</v>
      </c>
      <c r="W4" s="31">
        <v>0</v>
      </c>
      <c r="X4" s="29">
        <f t="shared" si="4"/>
        <v>0</v>
      </c>
      <c r="Y4" s="29">
        <f t="shared" si="5"/>
        <v>0</v>
      </c>
      <c r="Z4" s="36">
        <v>0</v>
      </c>
      <c r="AA4" s="23"/>
      <c r="AB4" s="37">
        <f t="shared" si="6"/>
        <v>1</v>
      </c>
      <c r="AC4" s="37">
        <f t="shared" si="7"/>
        <v>1</v>
      </c>
      <c r="AD4" s="37">
        <f t="shared" si="8"/>
        <v>0</v>
      </c>
      <c r="AE4" s="37">
        <f t="shared" si="9"/>
        <v>0</v>
      </c>
      <c r="AF4" s="46">
        <f t="shared" si="10"/>
        <v>0</v>
      </c>
      <c r="AG4" s="23">
        <v>8</v>
      </c>
    </row>
    <row r="5" spans="1:33" ht="17.25" customHeight="1">
      <c r="A5" s="42" t="s">
        <v>157</v>
      </c>
      <c r="B5" s="53" t="s">
        <v>160</v>
      </c>
      <c r="C5" s="43" t="s">
        <v>28</v>
      </c>
      <c r="D5" s="23">
        <v>1</v>
      </c>
      <c r="E5" s="44">
        <v>44256</v>
      </c>
      <c r="F5" s="44">
        <v>44286</v>
      </c>
      <c r="G5" s="23" t="s">
        <v>28</v>
      </c>
      <c r="H5" s="23">
        <v>769</v>
      </c>
      <c r="I5" s="23">
        <f t="shared" si="0"/>
        <v>769</v>
      </c>
      <c r="J5" s="23">
        <f t="shared" si="1"/>
        <v>769</v>
      </c>
      <c r="K5" s="24">
        <f t="shared" si="2"/>
        <v>769</v>
      </c>
      <c r="L5" s="23">
        <v>0</v>
      </c>
      <c r="M5" s="23">
        <v>0</v>
      </c>
      <c r="N5" s="23">
        <v>0</v>
      </c>
      <c r="O5" s="24">
        <f t="shared" si="3"/>
        <v>769</v>
      </c>
      <c r="P5" s="23">
        <v>126</v>
      </c>
      <c r="Q5" s="28">
        <v>0</v>
      </c>
      <c r="R5" s="29">
        <v>32</v>
      </c>
      <c r="S5" s="30">
        <v>16</v>
      </c>
      <c r="T5" s="30">
        <v>0</v>
      </c>
      <c r="U5" s="26">
        <v>0</v>
      </c>
      <c r="V5" s="29">
        <v>0</v>
      </c>
      <c r="W5" s="31">
        <v>0</v>
      </c>
      <c r="X5" s="29">
        <f t="shared" si="4"/>
        <v>16</v>
      </c>
      <c r="Y5" s="29">
        <f t="shared" si="5"/>
        <v>16</v>
      </c>
      <c r="Z5" s="36">
        <v>0</v>
      </c>
      <c r="AA5" s="23"/>
      <c r="AB5" s="37">
        <f t="shared" si="6"/>
        <v>1</v>
      </c>
      <c r="AC5" s="37">
        <f t="shared" si="7"/>
        <v>1</v>
      </c>
      <c r="AD5" s="37">
        <f t="shared" si="8"/>
        <v>0.16384915474642392</v>
      </c>
      <c r="AE5" s="37">
        <f t="shared" si="9"/>
        <v>0.5</v>
      </c>
      <c r="AF5" s="46">
        <f t="shared" si="10"/>
        <v>400</v>
      </c>
      <c r="AG5" s="23">
        <v>8</v>
      </c>
    </row>
    <row r="6" spans="1:33" ht="17.25" customHeight="1">
      <c r="A6" s="42" t="s">
        <v>157</v>
      </c>
      <c r="B6" s="53" t="s">
        <v>161</v>
      </c>
      <c r="C6" s="43" t="s">
        <v>29</v>
      </c>
      <c r="D6" s="23">
        <v>1</v>
      </c>
      <c r="E6" s="44">
        <v>44287</v>
      </c>
      <c r="F6" s="44">
        <v>44316</v>
      </c>
      <c r="G6" s="23" t="s">
        <v>29</v>
      </c>
      <c r="H6" s="23">
        <v>769</v>
      </c>
      <c r="I6" s="23">
        <f t="shared" si="0"/>
        <v>769</v>
      </c>
      <c r="J6" s="23">
        <f t="shared" si="1"/>
        <v>769</v>
      </c>
      <c r="K6" s="24">
        <f t="shared" si="2"/>
        <v>769</v>
      </c>
      <c r="L6" s="23">
        <v>0</v>
      </c>
      <c r="M6" s="23">
        <v>0</v>
      </c>
      <c r="N6" s="23">
        <v>0</v>
      </c>
      <c r="O6" s="24">
        <f t="shared" si="3"/>
        <v>769</v>
      </c>
      <c r="P6" s="23">
        <v>126</v>
      </c>
      <c r="Q6" s="28">
        <v>0</v>
      </c>
      <c r="R6" s="29">
        <v>32</v>
      </c>
      <c r="S6" s="30">
        <v>16</v>
      </c>
      <c r="T6" s="30">
        <v>0</v>
      </c>
      <c r="U6" s="26">
        <v>0</v>
      </c>
      <c r="V6" s="29">
        <v>0</v>
      </c>
      <c r="W6" s="31">
        <v>0</v>
      </c>
      <c r="X6" s="29">
        <f t="shared" si="4"/>
        <v>16</v>
      </c>
      <c r="Y6" s="29">
        <f t="shared" si="5"/>
        <v>16</v>
      </c>
      <c r="Z6" s="36">
        <v>0</v>
      </c>
      <c r="AA6" s="23"/>
      <c r="AB6" s="37">
        <f t="shared" si="6"/>
        <v>1</v>
      </c>
      <c r="AC6" s="37">
        <f t="shared" si="7"/>
        <v>1</v>
      </c>
      <c r="AD6" s="37">
        <f t="shared" si="8"/>
        <v>0.16384915474642392</v>
      </c>
      <c r="AE6" s="37">
        <f t="shared" si="9"/>
        <v>0.5</v>
      </c>
      <c r="AF6" s="46">
        <f t="shared" si="10"/>
        <v>400</v>
      </c>
      <c r="AG6" s="23">
        <v>8</v>
      </c>
    </row>
    <row r="7" spans="1:33" ht="17.25" customHeight="1">
      <c r="A7" s="42" t="s">
        <v>157</v>
      </c>
      <c r="B7" s="53" t="s">
        <v>162</v>
      </c>
      <c r="C7" s="43" t="s">
        <v>30</v>
      </c>
      <c r="D7" s="23">
        <v>1</v>
      </c>
      <c r="E7" s="44">
        <v>44317</v>
      </c>
      <c r="F7" s="44">
        <v>44347</v>
      </c>
      <c r="G7" s="23" t="s">
        <v>30</v>
      </c>
      <c r="H7" s="23">
        <v>769</v>
      </c>
      <c r="I7" s="23">
        <f t="shared" si="0"/>
        <v>769</v>
      </c>
      <c r="J7" s="23">
        <f t="shared" si="1"/>
        <v>769</v>
      </c>
      <c r="K7" s="24">
        <f t="shared" si="2"/>
        <v>769</v>
      </c>
      <c r="L7" s="23">
        <v>0</v>
      </c>
      <c r="M7" s="23">
        <v>0</v>
      </c>
      <c r="N7" s="23">
        <v>0</v>
      </c>
      <c r="O7" s="24">
        <f t="shared" si="3"/>
        <v>769</v>
      </c>
      <c r="P7" s="23">
        <v>127</v>
      </c>
      <c r="Q7" s="28">
        <v>0</v>
      </c>
      <c r="R7" s="29">
        <v>32</v>
      </c>
      <c r="S7" s="30">
        <v>16</v>
      </c>
      <c r="T7" s="30">
        <v>0</v>
      </c>
      <c r="U7" s="26">
        <v>0</v>
      </c>
      <c r="V7" s="29">
        <v>0</v>
      </c>
      <c r="W7" s="31">
        <v>0</v>
      </c>
      <c r="X7" s="29">
        <f t="shared" si="4"/>
        <v>16</v>
      </c>
      <c r="Y7" s="29">
        <f t="shared" si="5"/>
        <v>16</v>
      </c>
      <c r="Z7" s="36">
        <v>0</v>
      </c>
      <c r="AA7" s="23"/>
      <c r="AB7" s="37">
        <f t="shared" si="6"/>
        <v>1</v>
      </c>
      <c r="AC7" s="37">
        <f t="shared" si="7"/>
        <v>1</v>
      </c>
      <c r="AD7" s="37">
        <f t="shared" si="8"/>
        <v>0.16514954486345904</v>
      </c>
      <c r="AE7" s="37">
        <f t="shared" si="9"/>
        <v>0.5</v>
      </c>
      <c r="AF7" s="46">
        <f t="shared" si="10"/>
        <v>400</v>
      </c>
      <c r="AG7" s="23">
        <v>8</v>
      </c>
    </row>
    <row r="8" spans="1:33" ht="17.25" customHeight="1">
      <c r="A8" s="42" t="s">
        <v>157</v>
      </c>
      <c r="B8" s="42" t="s">
        <v>163</v>
      </c>
      <c r="C8" s="43" t="s">
        <v>31</v>
      </c>
      <c r="D8" s="23">
        <v>1</v>
      </c>
      <c r="E8" s="44">
        <v>44348</v>
      </c>
      <c r="F8" s="44">
        <v>44377</v>
      </c>
      <c r="G8" s="23" t="s">
        <v>31</v>
      </c>
      <c r="H8" s="23">
        <v>769</v>
      </c>
      <c r="I8" s="23">
        <f t="shared" si="0"/>
        <v>769</v>
      </c>
      <c r="J8" s="23">
        <f t="shared" si="1"/>
        <v>769</v>
      </c>
      <c r="K8" s="24">
        <f t="shared" si="2"/>
        <v>769</v>
      </c>
      <c r="L8" s="23">
        <v>0</v>
      </c>
      <c r="M8" s="23">
        <v>0</v>
      </c>
      <c r="N8" s="23">
        <v>0</v>
      </c>
      <c r="O8" s="24">
        <f t="shared" si="3"/>
        <v>769</v>
      </c>
      <c r="P8" s="23">
        <v>0</v>
      </c>
      <c r="Q8" s="28">
        <v>0</v>
      </c>
      <c r="R8" s="29">
        <v>0</v>
      </c>
      <c r="S8" s="30">
        <v>0</v>
      </c>
      <c r="T8" s="30">
        <v>0</v>
      </c>
      <c r="U8" s="26">
        <v>0</v>
      </c>
      <c r="V8" s="29">
        <v>0</v>
      </c>
      <c r="W8" s="31">
        <v>0</v>
      </c>
      <c r="X8" s="29">
        <f t="shared" si="4"/>
        <v>0</v>
      </c>
      <c r="Y8" s="29">
        <f t="shared" si="5"/>
        <v>0</v>
      </c>
      <c r="Z8" s="36">
        <v>0</v>
      </c>
      <c r="AA8" s="23"/>
      <c r="AB8" s="37">
        <f t="shared" si="6"/>
        <v>1</v>
      </c>
      <c r="AC8" s="37">
        <f t="shared" si="7"/>
        <v>1</v>
      </c>
      <c r="AD8" s="37">
        <f t="shared" si="8"/>
        <v>0</v>
      </c>
      <c r="AE8" s="37">
        <f t="shared" si="9"/>
        <v>0</v>
      </c>
      <c r="AF8" s="46">
        <f t="shared" si="10"/>
        <v>0</v>
      </c>
      <c r="AG8" s="23">
        <v>8</v>
      </c>
    </row>
    <row r="9" spans="1:33" ht="17.25" customHeight="1">
      <c r="A9" s="42" t="s">
        <v>157</v>
      </c>
      <c r="B9" s="42" t="s">
        <v>163</v>
      </c>
      <c r="C9" s="43" t="s">
        <v>32</v>
      </c>
      <c r="D9" s="23">
        <v>1</v>
      </c>
      <c r="E9" s="44">
        <v>44386</v>
      </c>
      <c r="F9" s="44">
        <v>44407</v>
      </c>
      <c r="G9" s="23" t="s">
        <v>32</v>
      </c>
      <c r="H9" s="23">
        <v>769</v>
      </c>
      <c r="I9" s="23">
        <f t="shared" si="0"/>
        <v>769</v>
      </c>
      <c r="J9" s="23">
        <f t="shared" si="1"/>
        <v>769</v>
      </c>
      <c r="K9" s="24">
        <f t="shared" si="2"/>
        <v>769</v>
      </c>
      <c r="L9" s="23">
        <v>0</v>
      </c>
      <c r="M9" s="23">
        <v>0</v>
      </c>
      <c r="N9" s="23">
        <v>0</v>
      </c>
      <c r="O9" s="24">
        <f t="shared" si="3"/>
        <v>769</v>
      </c>
      <c r="P9" s="23">
        <v>123</v>
      </c>
      <c r="Q9" s="28">
        <v>0</v>
      </c>
      <c r="R9" s="29">
        <v>48</v>
      </c>
      <c r="S9" s="30">
        <v>24</v>
      </c>
      <c r="T9" s="30">
        <v>0</v>
      </c>
      <c r="U9" s="26">
        <v>0</v>
      </c>
      <c r="V9" s="29">
        <v>0</v>
      </c>
      <c r="W9" s="31">
        <v>0</v>
      </c>
      <c r="X9" s="29">
        <f t="shared" si="4"/>
        <v>24</v>
      </c>
      <c r="Y9" s="29">
        <f t="shared" si="5"/>
        <v>24</v>
      </c>
      <c r="Z9" s="36">
        <v>0</v>
      </c>
      <c r="AA9" s="23"/>
      <c r="AB9" s="37">
        <f t="shared" si="6"/>
        <v>1</v>
      </c>
      <c r="AC9" s="37">
        <f t="shared" si="7"/>
        <v>1</v>
      </c>
      <c r="AD9" s="37">
        <f t="shared" si="8"/>
        <v>0.1599479843953186</v>
      </c>
      <c r="AE9" s="37">
        <f t="shared" si="9"/>
        <v>0.5</v>
      </c>
      <c r="AF9" s="46">
        <f t="shared" si="10"/>
        <v>600</v>
      </c>
      <c r="AG9" s="23">
        <v>8</v>
      </c>
    </row>
    <row r="10" spans="1:33" ht="17.25" customHeight="1">
      <c r="A10" s="42" t="s">
        <v>157</v>
      </c>
      <c r="B10" s="42" t="s">
        <v>163</v>
      </c>
      <c r="C10" s="43" t="s">
        <v>33</v>
      </c>
      <c r="D10" s="23">
        <v>1</v>
      </c>
      <c r="E10" s="44">
        <v>44409</v>
      </c>
      <c r="F10" s="44">
        <v>44435</v>
      </c>
      <c r="G10" s="23" t="s">
        <v>33</v>
      </c>
      <c r="H10" s="23">
        <v>769</v>
      </c>
      <c r="I10" s="23">
        <f t="shared" si="0"/>
        <v>769</v>
      </c>
      <c r="J10" s="23">
        <f t="shared" si="1"/>
        <v>769</v>
      </c>
      <c r="K10" s="24">
        <f t="shared" si="2"/>
        <v>769</v>
      </c>
      <c r="L10" s="23">
        <v>0</v>
      </c>
      <c r="M10" s="23">
        <v>0</v>
      </c>
      <c r="N10" s="23">
        <v>0</v>
      </c>
      <c r="O10" s="24">
        <f t="shared" si="3"/>
        <v>769</v>
      </c>
      <c r="P10" s="23">
        <v>120</v>
      </c>
      <c r="Q10" s="28">
        <v>0</v>
      </c>
      <c r="R10" s="29">
        <v>32</v>
      </c>
      <c r="S10" s="30">
        <v>16</v>
      </c>
      <c r="T10" s="30">
        <v>0</v>
      </c>
      <c r="U10" s="26">
        <v>0</v>
      </c>
      <c r="V10" s="29">
        <v>0</v>
      </c>
      <c r="W10" s="31">
        <v>0</v>
      </c>
      <c r="X10" s="29">
        <f t="shared" si="4"/>
        <v>16</v>
      </c>
      <c r="Y10" s="29">
        <f t="shared" si="5"/>
        <v>16</v>
      </c>
      <c r="Z10" s="36">
        <v>0</v>
      </c>
      <c r="AA10" s="23"/>
      <c r="AB10" s="37">
        <f t="shared" si="6"/>
        <v>1</v>
      </c>
      <c r="AC10" s="37">
        <f t="shared" si="7"/>
        <v>1</v>
      </c>
      <c r="AD10" s="37">
        <f t="shared" si="8"/>
        <v>0.15604681404421328</v>
      </c>
      <c r="AE10" s="37">
        <f t="shared" si="9"/>
        <v>0.5</v>
      </c>
      <c r="AF10" s="46">
        <f t="shared" si="10"/>
        <v>400</v>
      </c>
      <c r="AG10" s="23">
        <v>8</v>
      </c>
    </row>
    <row r="11" spans="1:33" s="2" customFormat="1">
      <c r="A11" s="8" t="str">
        <f>A3</f>
        <v>Sphere</v>
      </c>
      <c r="B11" s="8" t="s">
        <v>90</v>
      </c>
      <c r="C11" s="9" t="s">
        <v>90</v>
      </c>
      <c r="D11" s="9">
        <f ca="1">SUM(D3:INDIRECT("D"&amp;ROW()-1))</f>
        <v>8</v>
      </c>
      <c r="E11" s="9"/>
      <c r="F11" s="9"/>
      <c r="G11" s="9"/>
      <c r="H11" s="9">
        <f ca="1">INDIRECT("H"&amp;ROW()-1)</f>
        <v>769</v>
      </c>
      <c r="I11" s="9">
        <f ca="1">INDIRECT("I"&amp;ROW()-1)</f>
        <v>769</v>
      </c>
      <c r="J11" s="9">
        <f ca="1">INDIRECT("J"&amp;ROW()-1)</f>
        <v>769</v>
      </c>
      <c r="K11" s="9">
        <f ca="1">INDIRECT("K"&amp;ROW()-1)</f>
        <v>769</v>
      </c>
      <c r="L11" s="9">
        <f ca="1">SUM(L3:INDIRECT("L"&amp;ROW()-1))</f>
        <v>0</v>
      </c>
      <c r="M11" s="9">
        <f ca="1">SUM(M3:INDIRECT("M"&amp;ROW()-1))</f>
        <v>0</v>
      </c>
      <c r="N11" s="9">
        <f ca="1">SUM(N3:INDIRECT("N"&amp;ROW()-1))</f>
        <v>25</v>
      </c>
      <c r="O11" s="9">
        <f ca="1">INDIRECT("O"&amp;ROW()-1)</f>
        <v>769</v>
      </c>
      <c r="P11" s="9">
        <f ca="1">SUM(P3:INDIRECT("P"&amp;ROW()-1))</f>
        <v>749</v>
      </c>
      <c r="Q11" s="9">
        <f ca="1">SUM(Q3:INDIRECT("Q"&amp;ROW()-1))</f>
        <v>0</v>
      </c>
      <c r="R11" s="27">
        <f ca="1">SUM(R3:INDIRECT("R"&amp;ROW()-1))</f>
        <v>206</v>
      </c>
      <c r="S11" s="9">
        <f ca="1">SUM(S3:INDIRECT("S"&amp;ROW()-1))</f>
        <v>93</v>
      </c>
      <c r="T11" s="9">
        <f ca="1">SUM(T3:INDIRECT("T"&amp;ROW()-1))</f>
        <v>0</v>
      </c>
      <c r="U11" s="9">
        <f ca="1">SUM(U3:INDIRECT("U"&amp;ROW()-1))</f>
        <v>8</v>
      </c>
      <c r="V11" s="9">
        <f ca="1">SUM(V3:INDIRECT("V"&amp;ROW()-1))</f>
        <v>0</v>
      </c>
      <c r="W11" s="9">
        <f ca="1">SUM(W3:INDIRECT("W"&amp;ROW()-1))</f>
        <v>0</v>
      </c>
      <c r="X11" s="9">
        <f ca="1">SUM(X3:INDIRECT("X"&amp;ROW()-1))</f>
        <v>93</v>
      </c>
      <c r="Y11" s="27">
        <f ca="1">SUM(Y3:INDIRECT("Y"&amp;ROW()-1))</f>
        <v>113</v>
      </c>
      <c r="Z11" s="9">
        <f ca="1">SUM(Z3:INDIRECT("z"&amp;ROW()-1))</f>
        <v>0</v>
      </c>
      <c r="AA11" s="9"/>
      <c r="AB11" s="34">
        <f t="shared" ca="1" si="6"/>
        <v>1</v>
      </c>
      <c r="AC11" s="34">
        <f t="shared" ca="1" si="7"/>
        <v>1</v>
      </c>
      <c r="AD11" s="34">
        <f t="shared" ca="1" si="8"/>
        <v>0.12174902470741222</v>
      </c>
      <c r="AE11" s="39">
        <f t="shared" ca="1" si="9"/>
        <v>0.54854368932038833</v>
      </c>
      <c r="AF11" s="35">
        <f ca="1">SUM(AF3:INDIRECT("AF"&amp;ROW()-1))</f>
        <v>2825</v>
      </c>
      <c r="AG11" s="9"/>
    </row>
    <row r="12" spans="1:33" s="2" customFormat="1"/>
    <row r="13" spans="1:33" s="2" customFormat="1">
      <c r="A13" s="10"/>
      <c r="B13" s="11"/>
      <c r="E13" s="2">
        <v>11</v>
      </c>
      <c r="Q13" s="13"/>
      <c r="AD13" s="25"/>
    </row>
    <row r="14" spans="1:33" s="2" customFormat="1">
      <c r="A14" s="10"/>
      <c r="B14" s="11"/>
      <c r="Q14" s="13"/>
      <c r="AD14" s="25"/>
    </row>
    <row r="15" spans="1:33" s="2" customFormat="1">
      <c r="A15" s="10"/>
      <c r="B15" s="11"/>
      <c r="Q15" s="13"/>
      <c r="AD15" s="25"/>
    </row>
    <row r="16" spans="1:33" s="2" customFormat="1">
      <c r="A16" s="10" t="s">
        <v>91</v>
      </c>
      <c r="B16" s="11">
        <v>25</v>
      </c>
      <c r="P16" s="25"/>
      <c r="Q16" s="13"/>
      <c r="AD16" s="25"/>
    </row>
    <row r="48" spans="14:33">
      <c r="N48" s="172" t="s">
        <v>22</v>
      </c>
      <c r="O48" s="172" t="s">
        <v>82</v>
      </c>
      <c r="P48" s="172" t="s">
        <v>60</v>
      </c>
      <c r="Q48" s="172" t="s">
        <v>85</v>
      </c>
      <c r="R48" s="172" t="s">
        <v>74</v>
      </c>
      <c r="S48" s="172" t="s">
        <v>75</v>
      </c>
      <c r="T48" s="173"/>
      <c r="AG48" s="13"/>
    </row>
    <row r="49" spans="1:33">
      <c r="N49" s="172"/>
      <c r="O49" s="172"/>
      <c r="P49" s="172"/>
      <c r="Q49" s="172"/>
      <c r="R49" s="172"/>
      <c r="S49" s="172"/>
      <c r="T49" s="173"/>
      <c r="AG49" s="13"/>
    </row>
    <row r="50" spans="1:33">
      <c r="N50" s="42" t="s">
        <v>157</v>
      </c>
      <c r="O50" s="23" t="s">
        <v>26</v>
      </c>
      <c r="P50" s="26">
        <f t="shared" ref="P50:P61" si="11">SUMIFS($R$3:$R$3,$G$3:$G$3,O50)</f>
        <v>30</v>
      </c>
      <c r="Q50" s="26">
        <f t="shared" ref="Q50:Q61" si="12">SUMIFS($Y$3:$Y$3,$G$3:$G$3,O50)</f>
        <v>25</v>
      </c>
      <c r="R50" s="32">
        <f t="shared" ref="R50:R61" si="13">IFERROR(Q50/P50,0)</f>
        <v>0.83333333333333337</v>
      </c>
      <c r="S50" s="33">
        <f t="shared" ref="S50:S61" si="14">SUMIFS($AF$3:$AF$3,$G$3:$G$3,O50)</f>
        <v>625</v>
      </c>
      <c r="T50" s="18"/>
      <c r="AG50" s="15"/>
    </row>
    <row r="51" spans="1:33">
      <c r="N51" s="42" t="s">
        <v>157</v>
      </c>
      <c r="O51" s="23" t="s">
        <v>27</v>
      </c>
      <c r="P51" s="26">
        <f t="shared" si="11"/>
        <v>0</v>
      </c>
      <c r="Q51" s="26">
        <f t="shared" si="12"/>
        <v>0</v>
      </c>
      <c r="R51" s="32">
        <f t="shared" si="13"/>
        <v>0</v>
      </c>
      <c r="S51" s="33">
        <f t="shared" si="14"/>
        <v>0</v>
      </c>
      <c r="T51" s="18"/>
      <c r="AG51" s="15"/>
    </row>
    <row r="52" spans="1:33">
      <c r="N52" s="42" t="s">
        <v>157</v>
      </c>
      <c r="O52" s="23" t="s">
        <v>28</v>
      </c>
      <c r="P52" s="26">
        <f t="shared" si="11"/>
        <v>0</v>
      </c>
      <c r="Q52" s="26">
        <f t="shared" si="12"/>
        <v>0</v>
      </c>
      <c r="R52" s="32">
        <f t="shared" si="13"/>
        <v>0</v>
      </c>
      <c r="S52" s="33">
        <f t="shared" si="14"/>
        <v>0</v>
      </c>
      <c r="T52" s="18"/>
      <c r="AG52" s="15"/>
    </row>
    <row r="53" spans="1:33">
      <c r="N53" s="42" t="s">
        <v>157</v>
      </c>
      <c r="O53" s="23" t="s">
        <v>29</v>
      </c>
      <c r="P53" s="26">
        <f t="shared" si="11"/>
        <v>0</v>
      </c>
      <c r="Q53" s="26">
        <f t="shared" si="12"/>
        <v>0</v>
      </c>
      <c r="R53" s="32">
        <f t="shared" si="13"/>
        <v>0</v>
      </c>
      <c r="S53" s="33">
        <f t="shared" si="14"/>
        <v>0</v>
      </c>
      <c r="T53" s="18"/>
      <c r="AG53" s="15"/>
    </row>
    <row r="54" spans="1:33">
      <c r="N54" s="42" t="s">
        <v>157</v>
      </c>
      <c r="O54" s="23" t="s">
        <v>30</v>
      </c>
      <c r="P54" s="26">
        <f t="shared" si="11"/>
        <v>0</v>
      </c>
      <c r="Q54" s="26">
        <f t="shared" si="12"/>
        <v>0</v>
      </c>
      <c r="R54" s="32">
        <f t="shared" si="13"/>
        <v>0</v>
      </c>
      <c r="S54" s="33">
        <f t="shared" si="14"/>
        <v>0</v>
      </c>
      <c r="T54" s="18"/>
      <c r="AG54" s="15"/>
    </row>
    <row r="55" spans="1:33">
      <c r="N55" s="42" t="s">
        <v>157</v>
      </c>
      <c r="O55" s="23" t="s">
        <v>31</v>
      </c>
      <c r="P55" s="26">
        <f t="shared" si="11"/>
        <v>0</v>
      </c>
      <c r="Q55" s="26">
        <f t="shared" si="12"/>
        <v>0</v>
      </c>
      <c r="R55" s="32">
        <f t="shared" si="13"/>
        <v>0</v>
      </c>
      <c r="S55" s="33">
        <f t="shared" si="14"/>
        <v>0</v>
      </c>
      <c r="T55" s="18"/>
      <c r="AG55" s="15"/>
    </row>
    <row r="56" spans="1:33" ht="15" customHeight="1">
      <c r="N56" s="42" t="s">
        <v>157</v>
      </c>
      <c r="O56" s="23" t="s">
        <v>32</v>
      </c>
      <c r="P56" s="26">
        <f t="shared" si="11"/>
        <v>0</v>
      </c>
      <c r="Q56" s="26">
        <f t="shared" si="12"/>
        <v>0</v>
      </c>
      <c r="R56" s="32">
        <f t="shared" si="13"/>
        <v>0</v>
      </c>
      <c r="S56" s="33">
        <f t="shared" si="14"/>
        <v>0</v>
      </c>
      <c r="T56" s="18"/>
      <c r="AG56" s="15"/>
    </row>
    <row r="57" spans="1:33">
      <c r="A57" s="173"/>
      <c r="B57" s="173"/>
      <c r="C57" s="173"/>
      <c r="D57" s="173"/>
      <c r="E57" s="173"/>
      <c r="F57" s="173"/>
      <c r="G57" s="173"/>
      <c r="N57" s="42" t="s">
        <v>157</v>
      </c>
      <c r="O57" s="23" t="s">
        <v>33</v>
      </c>
      <c r="P57" s="26">
        <f t="shared" si="11"/>
        <v>0</v>
      </c>
      <c r="Q57" s="26">
        <f t="shared" si="12"/>
        <v>0</v>
      </c>
      <c r="R57" s="32">
        <f t="shared" si="13"/>
        <v>0</v>
      </c>
      <c r="S57" s="33">
        <f t="shared" si="14"/>
        <v>0</v>
      </c>
      <c r="T57" s="18"/>
      <c r="AG57" s="15"/>
    </row>
    <row r="58" spans="1:33">
      <c r="A58" s="173"/>
      <c r="B58" s="173"/>
      <c r="C58" s="173"/>
      <c r="D58" s="173"/>
      <c r="E58" s="173"/>
      <c r="F58" s="173"/>
      <c r="G58" s="173"/>
      <c r="N58" s="42" t="s">
        <v>157</v>
      </c>
      <c r="O58" s="23" t="s">
        <v>34</v>
      </c>
      <c r="P58" s="26">
        <f t="shared" si="11"/>
        <v>0</v>
      </c>
      <c r="Q58" s="26">
        <f t="shared" si="12"/>
        <v>0</v>
      </c>
      <c r="R58" s="32">
        <f t="shared" si="13"/>
        <v>0</v>
      </c>
      <c r="S58" s="33">
        <f t="shared" si="14"/>
        <v>0</v>
      </c>
      <c r="T58" s="18"/>
      <c r="AG58" s="15"/>
    </row>
    <row r="59" spans="1:33">
      <c r="A59" s="14"/>
      <c r="B59" s="15"/>
      <c r="C59" s="15"/>
      <c r="D59" s="16"/>
      <c r="E59" s="16"/>
      <c r="F59" s="17"/>
      <c r="G59" s="18"/>
      <c r="N59" s="42" t="s">
        <v>157</v>
      </c>
      <c r="O59" s="23" t="s">
        <v>35</v>
      </c>
      <c r="P59" s="26">
        <f t="shared" si="11"/>
        <v>0</v>
      </c>
      <c r="Q59" s="26">
        <f t="shared" si="12"/>
        <v>0</v>
      </c>
      <c r="R59" s="32">
        <f t="shared" si="13"/>
        <v>0</v>
      </c>
      <c r="S59" s="33">
        <f t="shared" si="14"/>
        <v>0</v>
      </c>
      <c r="T59" s="18"/>
      <c r="AG59" s="15"/>
    </row>
    <row r="60" spans="1:33">
      <c r="A60" s="14"/>
      <c r="B60" s="15"/>
      <c r="C60" s="15"/>
      <c r="D60" s="16"/>
      <c r="E60" s="16"/>
      <c r="F60" s="17"/>
      <c r="G60" s="18"/>
      <c r="N60" s="42" t="s">
        <v>157</v>
      </c>
      <c r="O60" s="23" t="s">
        <v>36</v>
      </c>
      <c r="P60" s="26">
        <f t="shared" si="11"/>
        <v>0</v>
      </c>
      <c r="Q60" s="26">
        <f t="shared" si="12"/>
        <v>0</v>
      </c>
      <c r="R60" s="32">
        <f t="shared" si="13"/>
        <v>0</v>
      </c>
      <c r="S60" s="33">
        <f t="shared" si="14"/>
        <v>0</v>
      </c>
      <c r="T60" s="18"/>
      <c r="AG60" s="15"/>
    </row>
    <row r="61" spans="1:33">
      <c r="A61" s="14"/>
      <c r="B61" s="15"/>
      <c r="C61" s="15"/>
      <c r="D61" s="16"/>
      <c r="E61" s="16"/>
      <c r="F61" s="17"/>
      <c r="G61" s="18"/>
      <c r="N61" s="42" t="s">
        <v>157</v>
      </c>
      <c r="O61" s="23" t="s">
        <v>37</v>
      </c>
      <c r="P61" s="26">
        <f t="shared" si="11"/>
        <v>0</v>
      </c>
      <c r="Q61" s="26">
        <f t="shared" si="12"/>
        <v>0</v>
      </c>
      <c r="R61" s="32">
        <f t="shared" si="13"/>
        <v>0</v>
      </c>
      <c r="S61" s="33">
        <f t="shared" si="14"/>
        <v>0</v>
      </c>
      <c r="T61" s="18"/>
      <c r="AG61" s="15"/>
    </row>
    <row r="62" spans="1:33">
      <c r="A62" s="14"/>
      <c r="B62" s="15"/>
      <c r="C62" s="15"/>
      <c r="D62" s="16"/>
      <c r="E62" s="16"/>
      <c r="F62" s="17"/>
      <c r="G62" s="18"/>
      <c r="N62" s="8" t="s">
        <v>157</v>
      </c>
      <c r="O62" s="9"/>
      <c r="P62" s="27">
        <f>SUM(P50:P61)</f>
        <v>30</v>
      </c>
      <c r="Q62" s="27">
        <f>SUM(Q50:Q61)</f>
        <v>25</v>
      </c>
      <c r="R62" s="34">
        <f>Q62/P62</f>
        <v>0.83333333333333337</v>
      </c>
      <c r="S62" s="35">
        <f>SUM(S50:S61)</f>
        <v>625</v>
      </c>
      <c r="T62" s="22"/>
      <c r="AG62" s="13"/>
    </row>
    <row r="63" spans="1:33">
      <c r="A63" s="14"/>
      <c r="B63" s="15"/>
      <c r="C63" s="15"/>
      <c r="D63" s="16"/>
      <c r="E63" s="16"/>
      <c r="F63" s="17"/>
      <c r="G63" s="18"/>
    </row>
    <row r="64" spans="1:33">
      <c r="A64" s="19"/>
      <c r="B64" s="19"/>
      <c r="C64" s="13"/>
      <c r="D64" s="20"/>
      <c r="E64" s="20"/>
      <c r="F64" s="21"/>
      <c r="G64" s="22"/>
    </row>
    <row r="65" spans="1:7">
      <c r="A65" s="10" t="s">
        <v>91</v>
      </c>
      <c r="B65" s="11">
        <v>25</v>
      </c>
      <c r="C65" s="2"/>
      <c r="D65" s="2"/>
      <c r="E65" s="2"/>
      <c r="F65" s="2"/>
      <c r="G65" s="2"/>
    </row>
  </sheetData>
  <mergeCells count="41">
    <mergeCell ref="Y1:Y2"/>
    <mergeCell ref="Z1:Z2"/>
    <mergeCell ref="AA1:AA2"/>
    <mergeCell ref="AG1:AG2"/>
    <mergeCell ref="S48:S49"/>
    <mergeCell ref="T48:T49"/>
    <mergeCell ref="V1:V2"/>
    <mergeCell ref="W1:W2"/>
    <mergeCell ref="X1:X2"/>
    <mergeCell ref="S1:U1"/>
    <mergeCell ref="AB1:AF1"/>
    <mergeCell ref="P1:P2"/>
    <mergeCell ref="P48:P49"/>
    <mergeCell ref="Q1:Q2"/>
    <mergeCell ref="Q48:Q49"/>
    <mergeCell ref="R1:R2"/>
    <mergeCell ref="R48:R49"/>
    <mergeCell ref="M1:M2"/>
    <mergeCell ref="N1:N2"/>
    <mergeCell ref="N48:N49"/>
    <mergeCell ref="O1:O2"/>
    <mergeCell ref="O48:O49"/>
    <mergeCell ref="H1:H2"/>
    <mergeCell ref="I1:I2"/>
    <mergeCell ref="J1:J2"/>
    <mergeCell ref="K1:K2"/>
    <mergeCell ref="L1:L2"/>
    <mergeCell ref="A1:A2"/>
    <mergeCell ref="A57:A58"/>
    <mergeCell ref="B1:B2"/>
    <mergeCell ref="B57:B58"/>
    <mergeCell ref="C1:C2"/>
    <mergeCell ref="C57:C58"/>
    <mergeCell ref="G1:G2"/>
    <mergeCell ref="G57:G58"/>
    <mergeCell ref="D1:D2"/>
    <mergeCell ref="D57:D58"/>
    <mergeCell ref="E1:E2"/>
    <mergeCell ref="E57:E58"/>
    <mergeCell ref="F1:F2"/>
    <mergeCell ref="F57:F58"/>
  </mergeCells>
  <pageMargins left="0.7" right="0.7" top="0.75" bottom="0.75" header="0.3" footer="0.3"/>
  <pageSetup orientation="portrait"/>
  <headerFooter>
    <oddFooter>&amp;CNBCU Internal</oddFooter>
  </headerFooter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A1:AG65"/>
  <sheetViews>
    <sheetView topLeftCell="L1" workbookViewId="0">
      <selection activeCell="Y10" sqref="Y10"/>
    </sheetView>
  </sheetViews>
  <sheetFormatPr defaultColWidth="8.81640625" defaultRowHeight="14.5"/>
  <cols>
    <col min="1" max="1" width="9.81640625" style="3" customWidth="1"/>
    <col min="2" max="2" width="10.453125" style="3" customWidth="1"/>
    <col min="3" max="3" width="14.1796875" style="3" customWidth="1"/>
    <col min="4" max="4" width="5.453125" style="3" customWidth="1"/>
    <col min="5" max="6" width="9" style="3" customWidth="1"/>
    <col min="7" max="7" width="8.81640625" style="3" customWidth="1"/>
    <col min="8" max="8" width="19.453125" style="3" customWidth="1"/>
    <col min="9" max="9" width="19.81640625" style="3" customWidth="1"/>
    <col min="10" max="10" width="11.453125" style="3" customWidth="1"/>
    <col min="11" max="11" width="13.1796875" style="3" customWidth="1"/>
    <col min="12" max="12" width="11.1796875" style="3" customWidth="1"/>
    <col min="13" max="14" width="13.1796875" style="3" customWidth="1"/>
    <col min="15" max="15" width="13.81640625" style="3" customWidth="1"/>
    <col min="16" max="16" width="22.453125" style="3" customWidth="1"/>
    <col min="17" max="18" width="19.453125" style="3" customWidth="1"/>
    <col min="19" max="19" width="12.1796875" style="3" customWidth="1"/>
    <col min="20" max="20" width="17.453125" style="3" customWidth="1"/>
    <col min="21" max="21" width="9.81640625" style="3" customWidth="1"/>
    <col min="22" max="22" width="18" style="3" customWidth="1"/>
    <col min="23" max="23" width="19.1796875" style="3" customWidth="1"/>
    <col min="24" max="24" width="13.453125" style="3" customWidth="1"/>
    <col min="25" max="25" width="10.1796875" style="3" customWidth="1"/>
    <col min="26" max="26" width="18.1796875" style="3" customWidth="1"/>
    <col min="27" max="27" width="6.453125" style="3" customWidth="1"/>
    <col min="28" max="28" width="15" style="3" customWidth="1"/>
    <col min="29" max="29" width="9.453125" style="3" customWidth="1"/>
    <col min="30" max="30" width="18" style="3" customWidth="1"/>
    <col min="31" max="31" width="12.1796875" style="3" customWidth="1"/>
    <col min="32" max="32" width="11.453125" style="3" customWidth="1"/>
    <col min="33" max="33" width="13.81640625" style="3" hidden="1" customWidth="1"/>
    <col min="34" max="16384" width="8.81640625" style="3"/>
  </cols>
  <sheetData>
    <row r="1" spans="1:33" s="1" customFormat="1" ht="33" customHeight="1">
      <c r="A1" s="172" t="s">
        <v>22</v>
      </c>
      <c r="B1" s="172" t="s">
        <v>47</v>
      </c>
      <c r="C1" s="172" t="s">
        <v>48</v>
      </c>
      <c r="D1" s="172" t="s">
        <v>79</v>
      </c>
      <c r="E1" s="172" t="s">
        <v>80</v>
      </c>
      <c r="F1" s="172" t="s">
        <v>81</v>
      </c>
      <c r="G1" s="172" t="s">
        <v>82</v>
      </c>
      <c r="H1" s="172" t="s">
        <v>50</v>
      </c>
      <c r="I1" s="172" t="s">
        <v>51</v>
      </c>
      <c r="J1" s="172" t="s">
        <v>53</v>
      </c>
      <c r="K1" s="172" t="s">
        <v>54</v>
      </c>
      <c r="L1" s="172" t="s">
        <v>55</v>
      </c>
      <c r="M1" s="172" t="s">
        <v>56</v>
      </c>
      <c r="N1" s="175" t="s">
        <v>57</v>
      </c>
      <c r="O1" s="172" t="s">
        <v>58</v>
      </c>
      <c r="P1" s="172" t="s">
        <v>83</v>
      </c>
      <c r="Q1" s="172" t="s">
        <v>95</v>
      </c>
      <c r="R1" s="172" t="s">
        <v>60</v>
      </c>
      <c r="S1" s="172" t="s">
        <v>61</v>
      </c>
      <c r="T1" s="172"/>
      <c r="U1" s="172"/>
      <c r="V1" s="172" t="s">
        <v>62</v>
      </c>
      <c r="W1" s="172" t="s">
        <v>63</v>
      </c>
      <c r="X1" s="172" t="s">
        <v>64</v>
      </c>
      <c r="Y1" s="172" t="s">
        <v>85</v>
      </c>
      <c r="Z1" s="172" t="s">
        <v>66</v>
      </c>
      <c r="AA1" s="172" t="s">
        <v>3</v>
      </c>
      <c r="AB1" s="172" t="s">
        <v>67</v>
      </c>
      <c r="AC1" s="172"/>
      <c r="AD1" s="172"/>
      <c r="AE1" s="172"/>
      <c r="AF1" s="172"/>
      <c r="AG1" s="174" t="s">
        <v>86</v>
      </c>
    </row>
    <row r="2" spans="1:33" s="1" customFormat="1" ht="55.5" customHeigh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6"/>
      <c r="O2" s="172"/>
      <c r="P2" s="172"/>
      <c r="Q2" s="172"/>
      <c r="R2" s="172"/>
      <c r="S2" s="4" t="s">
        <v>68</v>
      </c>
      <c r="T2" s="4" t="s">
        <v>69</v>
      </c>
      <c r="U2" s="4" t="s">
        <v>70</v>
      </c>
      <c r="V2" s="172"/>
      <c r="W2" s="172"/>
      <c r="X2" s="172"/>
      <c r="Y2" s="172"/>
      <c r="Z2" s="172"/>
      <c r="AA2" s="172"/>
      <c r="AB2" s="4" t="s">
        <v>96</v>
      </c>
      <c r="AC2" s="4" t="s">
        <v>97</v>
      </c>
      <c r="AD2" s="4" t="s">
        <v>73</v>
      </c>
      <c r="AE2" s="4" t="s">
        <v>74</v>
      </c>
      <c r="AF2" s="4" t="s">
        <v>75</v>
      </c>
      <c r="AG2" s="174"/>
    </row>
    <row r="3" spans="1:33" ht="17.25" customHeight="1">
      <c r="A3" s="42" t="s">
        <v>164</v>
      </c>
      <c r="B3" s="48" t="s">
        <v>153</v>
      </c>
      <c r="C3" s="43" t="s">
        <v>89</v>
      </c>
      <c r="D3" s="23">
        <v>2</v>
      </c>
      <c r="E3" s="44">
        <v>44197</v>
      </c>
      <c r="F3" s="44">
        <v>44225</v>
      </c>
      <c r="G3" s="23" t="s">
        <v>26</v>
      </c>
      <c r="H3" s="23">
        <v>68</v>
      </c>
      <c r="I3" s="23">
        <v>68</v>
      </c>
      <c r="J3" s="23">
        <v>68</v>
      </c>
      <c r="K3" s="24">
        <v>68</v>
      </c>
      <c r="L3" s="23">
        <v>0</v>
      </c>
      <c r="M3" s="23">
        <v>6</v>
      </c>
      <c r="N3" s="23">
        <v>0</v>
      </c>
      <c r="O3" s="24">
        <f>H3</f>
        <v>68</v>
      </c>
      <c r="P3" s="23">
        <v>46</v>
      </c>
      <c r="Q3" s="28">
        <v>64</v>
      </c>
      <c r="R3" s="29">
        <v>584</v>
      </c>
      <c r="S3" s="30">
        <v>292</v>
      </c>
      <c r="T3" s="30">
        <v>1</v>
      </c>
      <c r="U3" s="26">
        <v>0</v>
      </c>
      <c r="V3" s="29">
        <v>0</v>
      </c>
      <c r="W3" s="31">
        <v>0</v>
      </c>
      <c r="X3" s="29">
        <f t="shared" ref="X3:X9" si="0">SUM(S3,T3,V3,W3)</f>
        <v>293</v>
      </c>
      <c r="Y3" s="29">
        <f t="shared" ref="Y3:Y9" si="1">R3-X3</f>
        <v>291</v>
      </c>
      <c r="Z3" s="36">
        <v>0</v>
      </c>
      <c r="AA3" s="23"/>
      <c r="AB3" s="37">
        <f t="shared" ref="AB3:AB10" si="2">J3/I3</f>
        <v>1</v>
      </c>
      <c r="AC3" s="37">
        <f t="shared" ref="AC3:AC10" si="3">J3/H3</f>
        <v>1</v>
      </c>
      <c r="AD3" s="37">
        <f t="shared" ref="AD3:AD10" si="4">P3/(O3*D3)</f>
        <v>0.33823529411764708</v>
      </c>
      <c r="AE3" s="37">
        <f t="shared" ref="AE3:AE10" si="5">IFERROR(Y3/R3,0)</f>
        <v>0.49828767123287671</v>
      </c>
      <c r="AF3" s="46">
        <f t="shared" ref="AF3:AF9" si="6">Y3*$B$15</f>
        <v>7275</v>
      </c>
      <c r="AG3" s="23">
        <v>8</v>
      </c>
    </row>
    <row r="4" spans="1:33" ht="17.25" customHeight="1">
      <c r="A4" s="42" t="s">
        <v>164</v>
      </c>
      <c r="B4" s="48" t="s">
        <v>153</v>
      </c>
      <c r="C4" s="43" t="s">
        <v>27</v>
      </c>
      <c r="D4" s="23">
        <v>4</v>
      </c>
      <c r="E4" s="44">
        <v>44228</v>
      </c>
      <c r="F4" s="44">
        <v>44253</v>
      </c>
      <c r="G4" s="23" t="s">
        <v>27</v>
      </c>
      <c r="H4" s="23">
        <v>68</v>
      </c>
      <c r="I4" s="23">
        <v>68</v>
      </c>
      <c r="J4" s="23">
        <v>68</v>
      </c>
      <c r="K4" s="24">
        <f t="shared" ref="K4:K9" si="7">H4</f>
        <v>68</v>
      </c>
      <c r="L4" s="23">
        <v>0</v>
      </c>
      <c r="M4" s="23">
        <v>0</v>
      </c>
      <c r="N4" s="23">
        <v>0</v>
      </c>
      <c r="O4" s="24">
        <f>H4</f>
        <v>68</v>
      </c>
      <c r="P4" s="23">
        <v>70</v>
      </c>
      <c r="Q4" s="28">
        <v>0</v>
      </c>
      <c r="R4" s="29">
        <v>1412</v>
      </c>
      <c r="S4" s="30">
        <v>706</v>
      </c>
      <c r="T4" s="30">
        <v>1</v>
      </c>
      <c r="U4" s="26">
        <v>0</v>
      </c>
      <c r="V4" s="29">
        <v>0</v>
      </c>
      <c r="W4" s="31">
        <v>0</v>
      </c>
      <c r="X4" s="29">
        <f t="shared" si="0"/>
        <v>707</v>
      </c>
      <c r="Y4" s="29">
        <f t="shared" si="1"/>
        <v>705</v>
      </c>
      <c r="Z4" s="36">
        <v>2</v>
      </c>
      <c r="AA4" s="23"/>
      <c r="AB4" s="37">
        <f t="shared" si="2"/>
        <v>1</v>
      </c>
      <c r="AC4" s="37">
        <f t="shared" si="3"/>
        <v>1</v>
      </c>
      <c r="AD4" s="37">
        <f t="shared" si="4"/>
        <v>0.25735294117647056</v>
      </c>
      <c r="AE4" s="37">
        <f t="shared" si="5"/>
        <v>0.49929178470254959</v>
      </c>
      <c r="AF4" s="46">
        <f t="shared" si="6"/>
        <v>17625</v>
      </c>
      <c r="AG4" s="23">
        <v>8</v>
      </c>
    </row>
    <row r="5" spans="1:33" ht="17.25" customHeight="1">
      <c r="A5" s="42" t="s">
        <v>164</v>
      </c>
      <c r="B5" s="48" t="s">
        <v>153</v>
      </c>
      <c r="C5" s="43" t="s">
        <v>28</v>
      </c>
      <c r="D5" s="23">
        <v>3</v>
      </c>
      <c r="E5" s="44">
        <v>44256</v>
      </c>
      <c r="F5" s="44">
        <v>44286</v>
      </c>
      <c r="G5" s="23" t="s">
        <v>28</v>
      </c>
      <c r="H5" s="23">
        <v>68</v>
      </c>
      <c r="I5" s="23">
        <v>68</v>
      </c>
      <c r="J5" s="23">
        <v>68</v>
      </c>
      <c r="K5" s="24">
        <f t="shared" si="7"/>
        <v>68</v>
      </c>
      <c r="L5" s="23">
        <v>0</v>
      </c>
      <c r="M5" s="23">
        <v>0</v>
      </c>
      <c r="N5" s="23">
        <v>3</v>
      </c>
      <c r="O5" s="24">
        <f>H5</f>
        <v>68</v>
      </c>
      <c r="P5" s="23">
        <v>80</v>
      </c>
      <c r="Q5" s="28">
        <v>0</v>
      </c>
      <c r="R5" s="29">
        <v>888</v>
      </c>
      <c r="S5" s="30">
        <v>444</v>
      </c>
      <c r="T5" s="30">
        <v>1</v>
      </c>
      <c r="U5" s="26">
        <v>12</v>
      </c>
      <c r="V5" s="29">
        <v>0</v>
      </c>
      <c r="W5" s="31">
        <v>0</v>
      </c>
      <c r="X5" s="29">
        <f t="shared" si="0"/>
        <v>445</v>
      </c>
      <c r="Y5" s="29">
        <f t="shared" si="1"/>
        <v>443</v>
      </c>
      <c r="Z5" s="36">
        <v>3</v>
      </c>
      <c r="AA5" s="23"/>
      <c r="AB5" s="37">
        <f t="shared" si="2"/>
        <v>1</v>
      </c>
      <c r="AC5" s="37">
        <f t="shared" si="3"/>
        <v>1</v>
      </c>
      <c r="AD5" s="37">
        <f t="shared" si="4"/>
        <v>0.39215686274509803</v>
      </c>
      <c r="AE5" s="37">
        <f t="shared" si="5"/>
        <v>0.49887387387387389</v>
      </c>
      <c r="AF5" s="46">
        <f t="shared" si="6"/>
        <v>11075</v>
      </c>
      <c r="AG5" s="23">
        <v>8</v>
      </c>
    </row>
    <row r="6" spans="1:33" ht="17.25" customHeight="1">
      <c r="A6" s="42" t="s">
        <v>164</v>
      </c>
      <c r="B6" s="48" t="s">
        <v>153</v>
      </c>
      <c r="C6" s="43" t="s">
        <v>29</v>
      </c>
      <c r="D6" s="23">
        <v>4</v>
      </c>
      <c r="E6" s="44">
        <v>44287</v>
      </c>
      <c r="F6" s="44">
        <v>44316</v>
      </c>
      <c r="G6" s="23" t="s">
        <v>29</v>
      </c>
      <c r="H6" s="23">
        <v>68</v>
      </c>
      <c r="I6" s="23">
        <v>68</v>
      </c>
      <c r="J6" s="23">
        <v>68</v>
      </c>
      <c r="K6" s="24">
        <f t="shared" si="7"/>
        <v>68</v>
      </c>
      <c r="L6" s="23">
        <v>0</v>
      </c>
      <c r="M6" s="23">
        <v>0</v>
      </c>
      <c r="N6" s="23">
        <v>15</v>
      </c>
      <c r="O6" s="24">
        <f>H6</f>
        <v>68</v>
      </c>
      <c r="P6" s="23">
        <v>71</v>
      </c>
      <c r="Q6" s="28">
        <v>0</v>
      </c>
      <c r="R6" s="29">
        <v>568</v>
      </c>
      <c r="S6" s="30">
        <v>364</v>
      </c>
      <c r="T6" s="30">
        <v>0</v>
      </c>
      <c r="U6" s="26">
        <v>100</v>
      </c>
      <c r="V6" s="29">
        <v>0</v>
      </c>
      <c r="W6" s="31">
        <v>0</v>
      </c>
      <c r="X6" s="29">
        <f t="shared" si="0"/>
        <v>364</v>
      </c>
      <c r="Y6" s="29">
        <f t="shared" si="1"/>
        <v>204</v>
      </c>
      <c r="Z6" s="36">
        <v>2</v>
      </c>
      <c r="AA6" s="23"/>
      <c r="AB6" s="37">
        <f t="shared" si="2"/>
        <v>1</v>
      </c>
      <c r="AC6" s="37">
        <f t="shared" si="3"/>
        <v>1</v>
      </c>
      <c r="AD6" s="37">
        <f t="shared" si="4"/>
        <v>0.2610294117647059</v>
      </c>
      <c r="AE6" s="37">
        <f t="shared" si="5"/>
        <v>0.35915492957746481</v>
      </c>
      <c r="AF6" s="46">
        <f t="shared" si="6"/>
        <v>5100</v>
      </c>
      <c r="AG6" s="23">
        <v>8</v>
      </c>
    </row>
    <row r="7" spans="1:33" ht="17.25" customHeight="1">
      <c r="A7" s="42" t="s">
        <v>164</v>
      </c>
      <c r="B7" s="48" t="s">
        <v>165</v>
      </c>
      <c r="C7" s="43" t="s">
        <v>30</v>
      </c>
      <c r="D7" s="23">
        <v>4</v>
      </c>
      <c r="E7" s="44">
        <v>44317</v>
      </c>
      <c r="F7" s="44">
        <v>44347</v>
      </c>
      <c r="G7" s="23" t="s">
        <v>30</v>
      </c>
      <c r="H7" s="23">
        <v>70</v>
      </c>
      <c r="I7" s="23">
        <v>70</v>
      </c>
      <c r="J7" s="23">
        <v>70</v>
      </c>
      <c r="K7" s="24">
        <f t="shared" si="7"/>
        <v>70</v>
      </c>
      <c r="L7" s="23">
        <v>0</v>
      </c>
      <c r="M7" s="23">
        <v>2</v>
      </c>
      <c r="N7" s="23">
        <v>18</v>
      </c>
      <c r="O7" s="24">
        <f>H7</f>
        <v>70</v>
      </c>
      <c r="P7" s="23">
        <v>74</v>
      </c>
      <c r="Q7" s="28">
        <v>12</v>
      </c>
      <c r="R7" s="29">
        <v>700</v>
      </c>
      <c r="S7" s="30">
        <v>350</v>
      </c>
      <c r="T7" s="30">
        <v>0</v>
      </c>
      <c r="U7" s="26">
        <v>76</v>
      </c>
      <c r="V7" s="29">
        <v>0</v>
      </c>
      <c r="W7" s="31">
        <v>0</v>
      </c>
      <c r="X7" s="29">
        <f t="shared" si="0"/>
        <v>350</v>
      </c>
      <c r="Y7" s="29">
        <f t="shared" si="1"/>
        <v>350</v>
      </c>
      <c r="Z7" s="36">
        <v>0</v>
      </c>
      <c r="AA7" s="23"/>
      <c r="AB7" s="37">
        <f t="shared" si="2"/>
        <v>1</v>
      </c>
      <c r="AC7" s="37">
        <f t="shared" si="3"/>
        <v>1</v>
      </c>
      <c r="AD7" s="37">
        <f t="shared" si="4"/>
        <v>0.26428571428571429</v>
      </c>
      <c r="AE7" s="37">
        <f t="shared" si="5"/>
        <v>0.5</v>
      </c>
      <c r="AF7" s="46">
        <f t="shared" si="6"/>
        <v>8750</v>
      </c>
      <c r="AG7" s="23">
        <v>8</v>
      </c>
    </row>
    <row r="8" spans="1:33" ht="17.25" customHeight="1">
      <c r="A8" s="42" t="s">
        <v>164</v>
      </c>
      <c r="B8" s="48" t="s">
        <v>166</v>
      </c>
      <c r="C8" s="43" t="s">
        <v>31</v>
      </c>
      <c r="D8" s="23">
        <v>4</v>
      </c>
      <c r="E8" s="44">
        <v>44348</v>
      </c>
      <c r="F8" s="44">
        <v>44377</v>
      </c>
      <c r="G8" s="23" t="s">
        <v>31</v>
      </c>
      <c r="H8" s="23">
        <v>73</v>
      </c>
      <c r="I8" s="23">
        <v>73</v>
      </c>
      <c r="J8" s="23">
        <v>73</v>
      </c>
      <c r="K8" s="24">
        <f t="shared" si="7"/>
        <v>73</v>
      </c>
      <c r="L8" s="23">
        <v>0</v>
      </c>
      <c r="M8" s="23">
        <v>3</v>
      </c>
      <c r="N8" s="23">
        <v>0</v>
      </c>
      <c r="O8" s="24">
        <v>68</v>
      </c>
      <c r="P8" s="23">
        <v>107</v>
      </c>
      <c r="Q8" s="28">
        <v>26</v>
      </c>
      <c r="R8" s="29">
        <v>1026</v>
      </c>
      <c r="S8" s="30">
        <v>513</v>
      </c>
      <c r="T8" s="30">
        <v>0</v>
      </c>
      <c r="U8" s="26">
        <v>0</v>
      </c>
      <c r="V8" s="29">
        <v>0</v>
      </c>
      <c r="W8" s="31">
        <v>0</v>
      </c>
      <c r="X8" s="29">
        <f t="shared" si="0"/>
        <v>513</v>
      </c>
      <c r="Y8" s="29">
        <f t="shared" si="1"/>
        <v>513</v>
      </c>
      <c r="Z8" s="36">
        <v>3</v>
      </c>
      <c r="AA8" s="23"/>
      <c r="AB8" s="37">
        <f t="shared" si="2"/>
        <v>1</v>
      </c>
      <c r="AC8" s="37">
        <f t="shared" si="3"/>
        <v>1</v>
      </c>
      <c r="AD8" s="37">
        <f t="shared" si="4"/>
        <v>0.39338235294117646</v>
      </c>
      <c r="AE8" s="37">
        <f t="shared" si="5"/>
        <v>0.5</v>
      </c>
      <c r="AF8" s="46">
        <f t="shared" si="6"/>
        <v>12825</v>
      </c>
      <c r="AG8" s="23">
        <v>8</v>
      </c>
    </row>
    <row r="9" spans="1:33" ht="17.25" customHeight="1">
      <c r="A9" s="42" t="s">
        <v>164</v>
      </c>
      <c r="B9" s="42" t="s">
        <v>153</v>
      </c>
      <c r="C9" s="43" t="s">
        <v>32</v>
      </c>
      <c r="D9" s="23">
        <v>1</v>
      </c>
      <c r="E9" s="44">
        <v>44378</v>
      </c>
      <c r="F9" s="44">
        <v>44400</v>
      </c>
      <c r="G9" s="23" t="s">
        <v>32</v>
      </c>
      <c r="H9" s="23">
        <v>73</v>
      </c>
      <c r="I9" s="23">
        <v>73</v>
      </c>
      <c r="J9" s="23">
        <v>73</v>
      </c>
      <c r="K9" s="24">
        <f t="shared" si="7"/>
        <v>73</v>
      </c>
      <c r="L9" s="23">
        <v>0</v>
      </c>
      <c r="M9" s="23">
        <v>0</v>
      </c>
      <c r="N9" s="23">
        <v>0</v>
      </c>
      <c r="O9" s="24">
        <v>68</v>
      </c>
      <c r="P9" s="23">
        <v>16</v>
      </c>
      <c r="Q9" s="28">
        <v>0</v>
      </c>
      <c r="R9" s="29">
        <v>184</v>
      </c>
      <c r="S9" s="30">
        <v>92</v>
      </c>
      <c r="T9" s="30">
        <v>0</v>
      </c>
      <c r="U9" s="26">
        <v>0</v>
      </c>
      <c r="V9" s="29">
        <v>0</v>
      </c>
      <c r="W9" s="31">
        <v>0</v>
      </c>
      <c r="X9" s="29">
        <f t="shared" si="0"/>
        <v>92</v>
      </c>
      <c r="Y9" s="29">
        <f t="shared" si="1"/>
        <v>92</v>
      </c>
      <c r="Z9" s="36">
        <v>1</v>
      </c>
      <c r="AA9" s="23"/>
      <c r="AB9" s="37">
        <f t="shared" si="2"/>
        <v>1</v>
      </c>
      <c r="AC9" s="37">
        <f t="shared" si="3"/>
        <v>1</v>
      </c>
      <c r="AD9" s="37">
        <f t="shared" si="4"/>
        <v>0.23529411764705882</v>
      </c>
      <c r="AE9" s="37">
        <f t="shared" si="5"/>
        <v>0.5</v>
      </c>
      <c r="AF9" s="46">
        <f t="shared" si="6"/>
        <v>2300</v>
      </c>
      <c r="AG9" s="23">
        <v>8</v>
      </c>
    </row>
    <row r="10" spans="1:33" s="2" customFormat="1">
      <c r="A10" s="8" t="str">
        <f>A3</f>
        <v>CAFÉ</v>
      </c>
      <c r="B10" s="8" t="s">
        <v>90</v>
      </c>
      <c r="C10" s="9" t="s">
        <v>90</v>
      </c>
      <c r="D10" s="9">
        <f ca="1">SUM(D3:INDIRECT("D"&amp;ROW()-1))</f>
        <v>22</v>
      </c>
      <c r="E10" s="9"/>
      <c r="F10" s="9"/>
      <c r="G10" s="9"/>
      <c r="H10" s="9">
        <f ca="1">INDIRECT("H"&amp;ROW()-1)</f>
        <v>73</v>
      </c>
      <c r="I10" s="9">
        <f ca="1">INDIRECT("I"&amp;ROW()-1)</f>
        <v>73</v>
      </c>
      <c r="J10" s="9">
        <f ca="1">INDIRECT("J"&amp;ROW()-1)</f>
        <v>73</v>
      </c>
      <c r="K10" s="9">
        <f ca="1">INDIRECT("K"&amp;ROW()-1)</f>
        <v>73</v>
      </c>
      <c r="L10" s="9">
        <f ca="1">SUM(L3:INDIRECT("L"&amp;ROW()-1))</f>
        <v>0</v>
      </c>
      <c r="M10" s="9">
        <f ca="1">SUM(M3:INDIRECT("M"&amp;ROW()-1))</f>
        <v>11</v>
      </c>
      <c r="N10" s="9">
        <f ca="1">SUM(N3:INDIRECT("N"&amp;ROW()-1))</f>
        <v>36</v>
      </c>
      <c r="O10" s="9">
        <f ca="1">INDIRECT("O"&amp;ROW()-1)</f>
        <v>68</v>
      </c>
      <c r="P10" s="9">
        <f ca="1">SUM(P3:INDIRECT("P"&amp;ROW()-1))</f>
        <v>464</v>
      </c>
      <c r="Q10" s="9">
        <f ca="1">SUM(Q3:INDIRECT("Q"&amp;ROW()-1))</f>
        <v>102</v>
      </c>
      <c r="R10" s="27">
        <f ca="1">SUM(R3:INDIRECT("R"&amp;ROW()-1))</f>
        <v>5362</v>
      </c>
      <c r="S10" s="9">
        <f ca="1">SUM(S3:INDIRECT("S"&amp;ROW()-1))</f>
        <v>2761</v>
      </c>
      <c r="T10" s="9">
        <f ca="1">SUM(T3:INDIRECT("T"&amp;ROW()-1))</f>
        <v>3</v>
      </c>
      <c r="U10" s="9">
        <f ca="1">SUM(U3:INDIRECT("U"&amp;ROW()-1))</f>
        <v>188</v>
      </c>
      <c r="V10" s="9">
        <f ca="1">SUM(V3:INDIRECT("V"&amp;ROW()-1))</f>
        <v>0</v>
      </c>
      <c r="W10" s="9">
        <f ca="1">SUM(W3:INDIRECT("W"&amp;ROW()-1))</f>
        <v>0</v>
      </c>
      <c r="X10" s="9">
        <f ca="1">SUM(X3:INDIRECT("X"&amp;ROW()-1))</f>
        <v>2764</v>
      </c>
      <c r="Y10" s="27">
        <f ca="1">SUM(Y3:INDIRECT("Y"&amp;ROW()-1))</f>
        <v>2598</v>
      </c>
      <c r="Z10" s="9">
        <f ca="1">SUM(Z3:INDIRECT("z"&amp;ROW()-1))</f>
        <v>11</v>
      </c>
      <c r="AA10" s="9"/>
      <c r="AB10" s="34">
        <f t="shared" ca="1" si="2"/>
        <v>1</v>
      </c>
      <c r="AC10" s="34">
        <f t="shared" ca="1" si="3"/>
        <v>1</v>
      </c>
      <c r="AD10" s="34">
        <f t="shared" ca="1" si="4"/>
        <v>0.31016042780748665</v>
      </c>
      <c r="AE10" s="39">
        <f t="shared" ca="1" si="5"/>
        <v>0.48452070123088398</v>
      </c>
      <c r="AF10" s="35">
        <f ca="1">SUM(AF3:INDIRECT("AF"&amp;ROW()-1))</f>
        <v>64950</v>
      </c>
      <c r="AG10" s="9"/>
    </row>
    <row r="11" spans="1:33" s="2" customFormat="1">
      <c r="P11" s="2">
        <v>8</v>
      </c>
    </row>
    <row r="12" spans="1:33" s="2" customFormat="1">
      <c r="A12" s="10"/>
      <c r="B12" s="11"/>
      <c r="E12" s="2">
        <v>11</v>
      </c>
      <c r="Q12" s="13"/>
      <c r="AD12" s="25"/>
    </row>
    <row r="13" spans="1:33" s="2" customFormat="1">
      <c r="A13" s="10"/>
      <c r="B13" s="11"/>
      <c r="Q13" s="13"/>
      <c r="AD13" s="25"/>
    </row>
    <row r="14" spans="1:33" s="2" customFormat="1">
      <c r="A14" s="10"/>
      <c r="B14" s="11"/>
      <c r="Q14" s="13"/>
      <c r="AD14" s="25"/>
    </row>
    <row r="15" spans="1:33" s="2" customFormat="1">
      <c r="A15" s="10" t="s">
        <v>91</v>
      </c>
      <c r="B15" s="11">
        <v>25</v>
      </c>
      <c r="P15" s="25"/>
      <c r="Q15" s="13"/>
      <c r="AD15" s="25"/>
    </row>
    <row r="16" spans="1:33" ht="21">
      <c r="A16" s="10" t="s">
        <v>92</v>
      </c>
      <c r="B16" s="12">
        <v>8</v>
      </c>
      <c r="C16" s="2"/>
      <c r="D16" s="2"/>
      <c r="E16" s="2"/>
      <c r="F16" s="2"/>
      <c r="G16" s="2"/>
      <c r="H16" s="2"/>
      <c r="I16" s="2"/>
      <c r="J16" s="25"/>
      <c r="K16" s="25"/>
      <c r="L16" s="2"/>
      <c r="M16" s="2"/>
      <c r="N16" s="2"/>
      <c r="O16" s="2"/>
      <c r="P16" s="2"/>
      <c r="Q16" s="13"/>
      <c r="R16" s="25"/>
      <c r="S16" s="25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8:19">
      <c r="R17" s="51"/>
      <c r="S17" s="51"/>
    </row>
    <row r="48" spans="14:33">
      <c r="N48" s="172" t="s">
        <v>22</v>
      </c>
      <c r="O48" s="172" t="s">
        <v>82</v>
      </c>
      <c r="P48" s="172" t="s">
        <v>60</v>
      </c>
      <c r="Q48" s="172" t="s">
        <v>85</v>
      </c>
      <c r="R48" s="172" t="s">
        <v>74</v>
      </c>
      <c r="S48" s="172" t="s">
        <v>75</v>
      </c>
      <c r="T48" s="173"/>
      <c r="AG48" s="13"/>
    </row>
    <row r="49" spans="1:33">
      <c r="N49" s="172"/>
      <c r="O49" s="172"/>
      <c r="P49" s="172"/>
      <c r="Q49" s="172"/>
      <c r="R49" s="172"/>
      <c r="S49" s="172"/>
      <c r="T49" s="173"/>
      <c r="AG49" s="13"/>
    </row>
    <row r="50" spans="1:33">
      <c r="N50" s="42" t="s">
        <v>164</v>
      </c>
      <c r="O50" s="23" t="s">
        <v>26</v>
      </c>
      <c r="P50" s="26">
        <f t="shared" ref="P50:P61" si="8">SUMIFS($R$3:$R$3,$G$3:$G$3,O50)</f>
        <v>584</v>
      </c>
      <c r="Q50" s="26">
        <f t="shared" ref="Q50:Q61" si="9">SUMIFS($Y$3:$Y$3,$G$3:$G$3,O50)</f>
        <v>291</v>
      </c>
      <c r="R50" s="32">
        <f t="shared" ref="R50:R61" si="10">IFERROR(Q50/P50,0)</f>
        <v>0.49828767123287671</v>
      </c>
      <c r="S50" s="33">
        <f t="shared" ref="S50:S61" si="11">SUMIFS($AF$3:$AF$3,$G$3:$G$3,O50)</f>
        <v>7275</v>
      </c>
      <c r="T50" s="18"/>
      <c r="AG50" s="15"/>
    </row>
    <row r="51" spans="1:33">
      <c r="N51" s="42" t="s">
        <v>164</v>
      </c>
      <c r="O51" s="23" t="s">
        <v>27</v>
      </c>
      <c r="P51" s="26">
        <f t="shared" si="8"/>
        <v>0</v>
      </c>
      <c r="Q51" s="26">
        <f t="shared" si="9"/>
        <v>0</v>
      </c>
      <c r="R51" s="32">
        <f t="shared" si="10"/>
        <v>0</v>
      </c>
      <c r="S51" s="33">
        <f t="shared" si="11"/>
        <v>0</v>
      </c>
      <c r="T51" s="18"/>
      <c r="AG51" s="15"/>
    </row>
    <row r="52" spans="1:33">
      <c r="N52" s="42" t="s">
        <v>164</v>
      </c>
      <c r="O52" s="23" t="s">
        <v>28</v>
      </c>
      <c r="P52" s="26">
        <f t="shared" si="8"/>
        <v>0</v>
      </c>
      <c r="Q52" s="26">
        <f t="shared" si="9"/>
        <v>0</v>
      </c>
      <c r="R52" s="32">
        <f t="shared" si="10"/>
        <v>0</v>
      </c>
      <c r="S52" s="33">
        <f t="shared" si="11"/>
        <v>0</v>
      </c>
      <c r="T52" s="18"/>
      <c r="AG52" s="15"/>
    </row>
    <row r="53" spans="1:33">
      <c r="N53" s="42" t="s">
        <v>164</v>
      </c>
      <c r="O53" s="23" t="s">
        <v>29</v>
      </c>
      <c r="P53" s="26">
        <f t="shared" si="8"/>
        <v>0</v>
      </c>
      <c r="Q53" s="26">
        <f t="shared" si="9"/>
        <v>0</v>
      </c>
      <c r="R53" s="32">
        <f t="shared" si="10"/>
        <v>0</v>
      </c>
      <c r="S53" s="33">
        <f t="shared" si="11"/>
        <v>0</v>
      </c>
      <c r="T53" s="18"/>
      <c r="AG53" s="15"/>
    </row>
    <row r="54" spans="1:33">
      <c r="N54" s="42" t="s">
        <v>164</v>
      </c>
      <c r="O54" s="23" t="s">
        <v>30</v>
      </c>
      <c r="P54" s="26">
        <f t="shared" si="8"/>
        <v>0</v>
      </c>
      <c r="Q54" s="26">
        <f t="shared" si="9"/>
        <v>0</v>
      </c>
      <c r="R54" s="32">
        <f t="shared" si="10"/>
        <v>0</v>
      </c>
      <c r="S54" s="33">
        <f t="shared" si="11"/>
        <v>0</v>
      </c>
      <c r="T54" s="18"/>
      <c r="AG54" s="15"/>
    </row>
    <row r="55" spans="1:33">
      <c r="N55" s="42" t="s">
        <v>164</v>
      </c>
      <c r="O55" s="23" t="s">
        <v>31</v>
      </c>
      <c r="P55" s="26">
        <f t="shared" si="8"/>
        <v>0</v>
      </c>
      <c r="Q55" s="26">
        <f t="shared" si="9"/>
        <v>0</v>
      </c>
      <c r="R55" s="32">
        <f t="shared" si="10"/>
        <v>0</v>
      </c>
      <c r="S55" s="33">
        <f t="shared" si="11"/>
        <v>0</v>
      </c>
      <c r="T55" s="18"/>
      <c r="AG55" s="15"/>
    </row>
    <row r="56" spans="1:33" ht="15" customHeight="1">
      <c r="N56" s="42" t="s">
        <v>164</v>
      </c>
      <c r="O56" s="23" t="s">
        <v>32</v>
      </c>
      <c r="P56" s="26">
        <f t="shared" si="8"/>
        <v>0</v>
      </c>
      <c r="Q56" s="26">
        <f t="shared" si="9"/>
        <v>0</v>
      </c>
      <c r="R56" s="32">
        <f t="shared" si="10"/>
        <v>0</v>
      </c>
      <c r="S56" s="33">
        <f t="shared" si="11"/>
        <v>0</v>
      </c>
      <c r="T56" s="18"/>
      <c r="AG56" s="15"/>
    </row>
    <row r="57" spans="1:33">
      <c r="A57" s="173"/>
      <c r="B57" s="173"/>
      <c r="C57" s="173"/>
      <c r="D57" s="173"/>
      <c r="E57" s="173"/>
      <c r="F57" s="173"/>
      <c r="G57" s="173"/>
      <c r="N57" s="42" t="s">
        <v>164</v>
      </c>
      <c r="O57" s="23" t="s">
        <v>33</v>
      </c>
      <c r="P57" s="26">
        <f t="shared" si="8"/>
        <v>0</v>
      </c>
      <c r="Q57" s="26">
        <f t="shared" si="9"/>
        <v>0</v>
      </c>
      <c r="R57" s="32">
        <f t="shared" si="10"/>
        <v>0</v>
      </c>
      <c r="S57" s="33">
        <f t="shared" si="11"/>
        <v>0</v>
      </c>
      <c r="T57" s="18"/>
      <c r="AG57" s="15"/>
    </row>
    <row r="58" spans="1:33">
      <c r="A58" s="173"/>
      <c r="B58" s="173"/>
      <c r="C58" s="173"/>
      <c r="D58" s="173"/>
      <c r="E58" s="173"/>
      <c r="F58" s="173"/>
      <c r="G58" s="173"/>
      <c r="N58" s="42" t="s">
        <v>164</v>
      </c>
      <c r="O58" s="23" t="s">
        <v>34</v>
      </c>
      <c r="P58" s="26">
        <f t="shared" si="8"/>
        <v>0</v>
      </c>
      <c r="Q58" s="26">
        <f t="shared" si="9"/>
        <v>0</v>
      </c>
      <c r="R58" s="32">
        <f t="shared" si="10"/>
        <v>0</v>
      </c>
      <c r="S58" s="33">
        <f t="shared" si="11"/>
        <v>0</v>
      </c>
      <c r="T58" s="18"/>
      <c r="AG58" s="15"/>
    </row>
    <row r="59" spans="1:33">
      <c r="A59" s="14"/>
      <c r="B59" s="15"/>
      <c r="C59" s="15"/>
      <c r="D59" s="16"/>
      <c r="E59" s="16"/>
      <c r="F59" s="17"/>
      <c r="G59" s="18"/>
      <c r="N59" s="42" t="s">
        <v>164</v>
      </c>
      <c r="O59" s="23" t="s">
        <v>35</v>
      </c>
      <c r="P59" s="26">
        <f t="shared" si="8"/>
        <v>0</v>
      </c>
      <c r="Q59" s="26">
        <f t="shared" si="9"/>
        <v>0</v>
      </c>
      <c r="R59" s="32">
        <f t="shared" si="10"/>
        <v>0</v>
      </c>
      <c r="S59" s="33">
        <f t="shared" si="11"/>
        <v>0</v>
      </c>
      <c r="T59" s="18"/>
      <c r="AG59" s="15"/>
    </row>
    <row r="60" spans="1:33">
      <c r="A60" s="14"/>
      <c r="B60" s="15"/>
      <c r="C60" s="15"/>
      <c r="D60" s="16"/>
      <c r="E60" s="16"/>
      <c r="F60" s="17"/>
      <c r="G60" s="18"/>
      <c r="N60" s="42" t="s">
        <v>164</v>
      </c>
      <c r="O60" s="23" t="s">
        <v>36</v>
      </c>
      <c r="P60" s="26">
        <f t="shared" si="8"/>
        <v>0</v>
      </c>
      <c r="Q60" s="26">
        <f t="shared" si="9"/>
        <v>0</v>
      </c>
      <c r="R60" s="32">
        <f t="shared" si="10"/>
        <v>0</v>
      </c>
      <c r="S60" s="33">
        <f t="shared" si="11"/>
        <v>0</v>
      </c>
      <c r="T60" s="18"/>
      <c r="AG60" s="15"/>
    </row>
    <row r="61" spans="1:33">
      <c r="A61" s="14"/>
      <c r="B61" s="15"/>
      <c r="C61" s="15"/>
      <c r="D61" s="16"/>
      <c r="E61" s="16"/>
      <c r="F61" s="17"/>
      <c r="G61" s="18"/>
      <c r="N61" s="42" t="s">
        <v>164</v>
      </c>
      <c r="O61" s="23" t="s">
        <v>37</v>
      </c>
      <c r="P61" s="26">
        <f t="shared" si="8"/>
        <v>0</v>
      </c>
      <c r="Q61" s="26">
        <f t="shared" si="9"/>
        <v>0</v>
      </c>
      <c r="R61" s="32">
        <f t="shared" si="10"/>
        <v>0</v>
      </c>
      <c r="S61" s="33">
        <f t="shared" si="11"/>
        <v>0</v>
      </c>
      <c r="T61" s="18"/>
      <c r="AG61" s="15"/>
    </row>
    <row r="62" spans="1:33">
      <c r="A62" s="14"/>
      <c r="B62" s="15"/>
      <c r="C62" s="15"/>
      <c r="D62" s="16"/>
      <c r="E62" s="16"/>
      <c r="F62" s="17"/>
      <c r="G62" s="18"/>
      <c r="N62" s="8" t="s">
        <v>164</v>
      </c>
      <c r="O62" s="9"/>
      <c r="P62" s="27">
        <f>SUM(P50:P61)</f>
        <v>584</v>
      </c>
      <c r="Q62" s="27">
        <f>SUM(Q50:Q61)</f>
        <v>291</v>
      </c>
      <c r="R62" s="34">
        <f>Q62/P62</f>
        <v>0.49828767123287671</v>
      </c>
      <c r="S62" s="35">
        <f>SUM(S50:S61)</f>
        <v>7275</v>
      </c>
      <c r="T62" s="22"/>
      <c r="AG62" s="13"/>
    </row>
    <row r="63" spans="1:33">
      <c r="A63" s="14"/>
      <c r="B63" s="15"/>
      <c r="C63" s="15"/>
      <c r="D63" s="16"/>
      <c r="E63" s="16"/>
      <c r="F63" s="17"/>
      <c r="G63" s="18"/>
    </row>
    <row r="64" spans="1:33">
      <c r="A64" s="19"/>
      <c r="B64" s="19"/>
      <c r="C64" s="13"/>
      <c r="D64" s="20"/>
      <c r="E64" s="20"/>
      <c r="F64" s="21"/>
      <c r="G64" s="22"/>
    </row>
    <row r="65" spans="1:7">
      <c r="A65" s="10" t="s">
        <v>91</v>
      </c>
      <c r="B65" s="11">
        <v>25</v>
      </c>
      <c r="C65" s="2"/>
      <c r="D65" s="2"/>
      <c r="E65" s="2"/>
      <c r="F65" s="2"/>
      <c r="G65" s="2"/>
    </row>
  </sheetData>
  <mergeCells count="41">
    <mergeCell ref="Y1:Y2"/>
    <mergeCell ref="Z1:Z2"/>
    <mergeCell ref="AA1:AA2"/>
    <mergeCell ref="AG1:AG2"/>
    <mergeCell ref="S48:S49"/>
    <mergeCell ref="T48:T49"/>
    <mergeCell ref="V1:V2"/>
    <mergeCell ref="W1:W2"/>
    <mergeCell ref="X1:X2"/>
    <mergeCell ref="S1:U1"/>
    <mergeCell ref="AB1:AF1"/>
    <mergeCell ref="P1:P2"/>
    <mergeCell ref="P48:P49"/>
    <mergeCell ref="Q1:Q2"/>
    <mergeCell ref="Q48:Q49"/>
    <mergeCell ref="R1:R2"/>
    <mergeCell ref="R48:R49"/>
    <mergeCell ref="M1:M2"/>
    <mergeCell ref="N1:N2"/>
    <mergeCell ref="N48:N49"/>
    <mergeCell ref="O1:O2"/>
    <mergeCell ref="O48:O49"/>
    <mergeCell ref="H1:H2"/>
    <mergeCell ref="I1:I2"/>
    <mergeCell ref="J1:J2"/>
    <mergeCell ref="K1:K2"/>
    <mergeCell ref="L1:L2"/>
    <mergeCell ref="A1:A2"/>
    <mergeCell ref="A57:A58"/>
    <mergeCell ref="B1:B2"/>
    <mergeCell ref="B57:B58"/>
    <mergeCell ref="C1:C2"/>
    <mergeCell ref="C57:C58"/>
    <mergeCell ref="G1:G2"/>
    <mergeCell ref="G57:G58"/>
    <mergeCell ref="D1:D2"/>
    <mergeCell ref="D57:D58"/>
    <mergeCell ref="E1:E2"/>
    <mergeCell ref="E57:E58"/>
    <mergeCell ref="F1:F2"/>
    <mergeCell ref="F57:F58"/>
  </mergeCells>
  <pageMargins left="0.7" right="0.7" top="0.75" bottom="0.75" header="0.3" footer="0.3"/>
  <pageSetup orientation="portrait"/>
  <headerFooter>
    <oddFooter>&amp;CNBCU Internal</oddFooter>
  </headerFooter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A1:AG68"/>
  <sheetViews>
    <sheetView topLeftCell="J1" workbookViewId="0">
      <selection activeCell="T8" sqref="T8"/>
    </sheetView>
  </sheetViews>
  <sheetFormatPr defaultColWidth="8.81640625" defaultRowHeight="14.5"/>
  <cols>
    <col min="1" max="1" width="9.81640625" style="3" customWidth="1"/>
    <col min="2" max="2" width="10.453125" style="3" customWidth="1"/>
    <col min="3" max="3" width="14.1796875" style="3" customWidth="1"/>
    <col min="4" max="4" width="5.453125" style="3" customWidth="1"/>
    <col min="5" max="6" width="9" style="3" customWidth="1"/>
    <col min="7" max="7" width="8.81640625" style="3" customWidth="1"/>
    <col min="8" max="8" width="19.453125" style="3" customWidth="1"/>
    <col min="9" max="9" width="19.81640625" style="3" customWidth="1"/>
    <col min="10" max="10" width="11.453125" style="3" customWidth="1"/>
    <col min="11" max="11" width="13.1796875" style="3" customWidth="1"/>
    <col min="12" max="12" width="11.1796875" style="3" customWidth="1"/>
    <col min="13" max="14" width="13.1796875" style="3" customWidth="1"/>
    <col min="15" max="15" width="13.81640625" style="3" customWidth="1"/>
    <col min="16" max="16" width="22.453125" style="3" customWidth="1"/>
    <col min="17" max="18" width="19.453125" style="3" customWidth="1"/>
    <col min="19" max="19" width="12.1796875" style="3" customWidth="1"/>
    <col min="20" max="20" width="17.453125" style="3" customWidth="1"/>
    <col min="21" max="21" width="9.81640625" style="3" customWidth="1"/>
    <col min="22" max="22" width="18" style="3" customWidth="1"/>
    <col min="23" max="23" width="19.1796875" style="3" customWidth="1"/>
    <col min="24" max="24" width="13.453125" style="3" customWidth="1"/>
    <col min="25" max="25" width="10.1796875" style="3" customWidth="1"/>
    <col min="26" max="26" width="18.1796875" style="3" customWidth="1"/>
    <col min="27" max="27" width="6.453125" style="3" customWidth="1"/>
    <col min="28" max="28" width="15" style="3" customWidth="1"/>
    <col min="29" max="29" width="9.453125" style="3" customWidth="1"/>
    <col min="30" max="30" width="18" style="3" customWidth="1"/>
    <col min="31" max="31" width="12.1796875" style="3" customWidth="1"/>
    <col min="32" max="32" width="11.453125" style="3" customWidth="1"/>
    <col min="33" max="33" width="13.81640625" style="3" hidden="1" customWidth="1"/>
    <col min="34" max="16384" width="8.81640625" style="3"/>
  </cols>
  <sheetData>
    <row r="1" spans="1:33" s="1" customFormat="1" ht="33" customHeight="1">
      <c r="A1" s="172" t="s">
        <v>22</v>
      </c>
      <c r="B1" s="172" t="s">
        <v>47</v>
      </c>
      <c r="C1" s="172" t="s">
        <v>48</v>
      </c>
      <c r="D1" s="172" t="s">
        <v>79</v>
      </c>
      <c r="E1" s="172" t="s">
        <v>80</v>
      </c>
      <c r="F1" s="172" t="s">
        <v>81</v>
      </c>
      <c r="G1" s="172" t="s">
        <v>82</v>
      </c>
      <c r="H1" s="172" t="s">
        <v>50</v>
      </c>
      <c r="I1" s="172" t="s">
        <v>51</v>
      </c>
      <c r="J1" s="172" t="s">
        <v>53</v>
      </c>
      <c r="K1" s="172" t="s">
        <v>54</v>
      </c>
      <c r="L1" s="172" t="s">
        <v>55</v>
      </c>
      <c r="M1" s="172" t="s">
        <v>56</v>
      </c>
      <c r="N1" s="175" t="s">
        <v>57</v>
      </c>
      <c r="O1" s="172" t="s">
        <v>58</v>
      </c>
      <c r="P1" s="172" t="s">
        <v>83</v>
      </c>
      <c r="Q1" s="172" t="s">
        <v>95</v>
      </c>
      <c r="R1" s="172" t="s">
        <v>60</v>
      </c>
      <c r="S1" s="172" t="s">
        <v>61</v>
      </c>
      <c r="T1" s="172"/>
      <c r="U1" s="172"/>
      <c r="V1" s="172" t="s">
        <v>62</v>
      </c>
      <c r="W1" s="172" t="s">
        <v>63</v>
      </c>
      <c r="X1" s="172" t="s">
        <v>64</v>
      </c>
      <c r="Y1" s="172" t="s">
        <v>85</v>
      </c>
      <c r="Z1" s="172" t="s">
        <v>66</v>
      </c>
      <c r="AA1" s="172" t="s">
        <v>3</v>
      </c>
      <c r="AB1" s="172" t="s">
        <v>67</v>
      </c>
      <c r="AC1" s="172"/>
      <c r="AD1" s="172"/>
      <c r="AE1" s="172"/>
      <c r="AF1" s="172"/>
      <c r="AG1" s="174" t="s">
        <v>86</v>
      </c>
    </row>
    <row r="2" spans="1:33" s="1" customFormat="1" ht="55.5" customHeigh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6"/>
      <c r="O2" s="172"/>
      <c r="P2" s="172"/>
      <c r="Q2" s="172"/>
      <c r="R2" s="172"/>
      <c r="S2" s="4" t="s">
        <v>68</v>
      </c>
      <c r="T2" s="4" t="s">
        <v>69</v>
      </c>
      <c r="U2" s="4" t="s">
        <v>70</v>
      </c>
      <c r="V2" s="172"/>
      <c r="W2" s="172"/>
      <c r="X2" s="172"/>
      <c r="Y2" s="172"/>
      <c r="Z2" s="172"/>
      <c r="AA2" s="172"/>
      <c r="AB2" s="4" t="s">
        <v>96</v>
      </c>
      <c r="AC2" s="4" t="s">
        <v>97</v>
      </c>
      <c r="AD2" s="4" t="s">
        <v>73</v>
      </c>
      <c r="AE2" s="4" t="s">
        <v>74</v>
      </c>
      <c r="AF2" s="4" t="s">
        <v>75</v>
      </c>
      <c r="AG2" s="174"/>
    </row>
    <row r="3" spans="1:33" ht="17.25" customHeight="1">
      <c r="A3" s="42" t="s">
        <v>167</v>
      </c>
      <c r="B3" s="50" t="s">
        <v>168</v>
      </c>
      <c r="C3" s="43" t="s">
        <v>89</v>
      </c>
      <c r="D3" s="23">
        <v>2</v>
      </c>
      <c r="E3" s="44">
        <v>44197</v>
      </c>
      <c r="F3" s="44">
        <v>44225</v>
      </c>
      <c r="G3" s="23" t="s">
        <v>26</v>
      </c>
      <c r="H3" s="23">
        <v>905</v>
      </c>
      <c r="I3" s="23">
        <f t="shared" ref="I3:I10" si="0">H3</f>
        <v>905</v>
      </c>
      <c r="J3" s="23">
        <f t="shared" ref="J3:J10" si="1">H3</f>
        <v>905</v>
      </c>
      <c r="K3" s="24">
        <f t="shared" ref="K3:K10" si="2">H3</f>
        <v>905</v>
      </c>
      <c r="L3" s="23">
        <v>0</v>
      </c>
      <c r="M3" s="23">
        <v>0</v>
      </c>
      <c r="N3" s="23">
        <v>31</v>
      </c>
      <c r="O3" s="24">
        <f>H3</f>
        <v>905</v>
      </c>
      <c r="P3" s="23">
        <v>905</v>
      </c>
      <c r="Q3" s="28">
        <v>0</v>
      </c>
      <c r="R3" s="29">
        <f t="shared" ref="R3:R12" si="3">($P3/$AG3)*8</f>
        <v>905</v>
      </c>
      <c r="S3" s="30">
        <f t="shared" ref="S3:S10" si="4">P3*20/60</f>
        <v>301.66666666666669</v>
      </c>
      <c r="T3" s="30">
        <v>0</v>
      </c>
      <c r="U3" s="26">
        <v>56</v>
      </c>
      <c r="V3" s="29">
        <v>0</v>
      </c>
      <c r="W3" s="31">
        <v>0</v>
      </c>
      <c r="X3" s="29">
        <f t="shared" ref="X3:X10" si="5">SUM(S3,T3,V3,W3)</f>
        <v>301.66666666666669</v>
      </c>
      <c r="Y3" s="29">
        <f t="shared" ref="Y3:Y10" si="6">R3-X3</f>
        <v>603.33333333333326</v>
      </c>
      <c r="Z3" s="36">
        <v>0</v>
      </c>
      <c r="AA3" s="23"/>
      <c r="AB3" s="37">
        <f t="shared" ref="AB3:AB13" si="7">J3/I3</f>
        <v>1</v>
      </c>
      <c r="AC3" s="37">
        <f t="shared" ref="AC3:AC13" si="8">J3/H3</f>
        <v>1</v>
      </c>
      <c r="AD3" s="37">
        <f t="shared" ref="AD3:AD13" si="9">P3/(O3*D3)</f>
        <v>0.5</v>
      </c>
      <c r="AE3" s="37">
        <f t="shared" ref="AE3:AE13" si="10">IFERROR(Y3/R3,0)</f>
        <v>0.66666666666666663</v>
      </c>
      <c r="AF3" s="46">
        <f t="shared" ref="AF3:AF10" si="11">Y3*$B$18</f>
        <v>15083.333333333332</v>
      </c>
      <c r="AG3" s="23">
        <v>8</v>
      </c>
    </row>
    <row r="4" spans="1:33" ht="17.25" customHeight="1">
      <c r="A4" s="42" t="s">
        <v>167</v>
      </c>
      <c r="B4" s="50" t="s">
        <v>168</v>
      </c>
      <c r="C4" s="43" t="s">
        <v>27</v>
      </c>
      <c r="D4" s="23">
        <v>2</v>
      </c>
      <c r="E4" s="44">
        <v>44228</v>
      </c>
      <c r="F4" s="44">
        <v>44253</v>
      </c>
      <c r="G4" s="23" t="s">
        <v>27</v>
      </c>
      <c r="H4" s="23">
        <v>905</v>
      </c>
      <c r="I4" s="23">
        <f t="shared" si="0"/>
        <v>905</v>
      </c>
      <c r="J4" s="23">
        <f t="shared" si="1"/>
        <v>905</v>
      </c>
      <c r="K4" s="24">
        <f t="shared" si="2"/>
        <v>905</v>
      </c>
      <c r="L4" s="23">
        <v>0</v>
      </c>
      <c r="M4" s="23">
        <v>0</v>
      </c>
      <c r="N4" s="23">
        <v>40</v>
      </c>
      <c r="O4" s="24">
        <f>H4</f>
        <v>905</v>
      </c>
      <c r="P4" s="23">
        <v>905</v>
      </c>
      <c r="Q4" s="28">
        <v>0</v>
      </c>
      <c r="R4" s="29">
        <f t="shared" si="3"/>
        <v>905</v>
      </c>
      <c r="S4" s="30">
        <f t="shared" si="4"/>
        <v>301.66666666666669</v>
      </c>
      <c r="T4" s="30">
        <v>0</v>
      </c>
      <c r="U4" s="26">
        <v>108</v>
      </c>
      <c r="V4" s="29">
        <v>0</v>
      </c>
      <c r="W4" s="31">
        <v>0</v>
      </c>
      <c r="X4" s="29">
        <f t="shared" si="5"/>
        <v>301.66666666666669</v>
      </c>
      <c r="Y4" s="29">
        <f t="shared" si="6"/>
        <v>603.33333333333326</v>
      </c>
      <c r="Z4" s="36">
        <v>0</v>
      </c>
      <c r="AA4" s="23"/>
      <c r="AB4" s="37">
        <f t="shared" si="7"/>
        <v>1</v>
      </c>
      <c r="AC4" s="37">
        <f t="shared" si="8"/>
        <v>1</v>
      </c>
      <c r="AD4" s="37">
        <f t="shared" si="9"/>
        <v>0.5</v>
      </c>
      <c r="AE4" s="37">
        <f t="shared" si="10"/>
        <v>0.66666666666666663</v>
      </c>
      <c r="AF4" s="46">
        <f t="shared" si="11"/>
        <v>15083.333333333332</v>
      </c>
      <c r="AG4" s="23">
        <v>8</v>
      </c>
    </row>
    <row r="5" spans="1:33" ht="17.25" customHeight="1">
      <c r="A5" s="42" t="s">
        <v>167</v>
      </c>
      <c r="B5" s="50" t="s">
        <v>169</v>
      </c>
      <c r="C5" s="43" t="s">
        <v>28</v>
      </c>
      <c r="D5" s="23">
        <v>2</v>
      </c>
      <c r="E5" s="44">
        <v>44256</v>
      </c>
      <c r="F5" s="44">
        <v>44286</v>
      </c>
      <c r="G5" s="23" t="s">
        <v>28</v>
      </c>
      <c r="H5" s="23">
        <v>905</v>
      </c>
      <c r="I5" s="23">
        <f t="shared" si="0"/>
        <v>905</v>
      </c>
      <c r="J5" s="23">
        <f t="shared" si="1"/>
        <v>905</v>
      </c>
      <c r="K5" s="24">
        <f t="shared" si="2"/>
        <v>905</v>
      </c>
      <c r="L5" s="23">
        <v>0</v>
      </c>
      <c r="M5" s="23">
        <v>0</v>
      </c>
      <c r="N5" s="23">
        <v>34</v>
      </c>
      <c r="O5" s="24">
        <v>905</v>
      </c>
      <c r="P5" s="23">
        <v>449</v>
      </c>
      <c r="Q5" s="28">
        <v>0</v>
      </c>
      <c r="R5" s="29">
        <f t="shared" si="3"/>
        <v>449</v>
      </c>
      <c r="S5" s="30">
        <f t="shared" si="4"/>
        <v>149.66666666666666</v>
      </c>
      <c r="T5" s="30">
        <v>0</v>
      </c>
      <c r="U5" s="26">
        <v>128</v>
      </c>
      <c r="V5" s="29">
        <v>0</v>
      </c>
      <c r="W5" s="31">
        <v>0</v>
      </c>
      <c r="X5" s="29">
        <f t="shared" si="5"/>
        <v>149.66666666666666</v>
      </c>
      <c r="Y5" s="29">
        <f t="shared" si="6"/>
        <v>299.33333333333337</v>
      </c>
      <c r="Z5" s="36">
        <v>0</v>
      </c>
      <c r="AA5" s="23"/>
      <c r="AB5" s="37">
        <f t="shared" si="7"/>
        <v>1</v>
      </c>
      <c r="AC5" s="37">
        <f t="shared" si="8"/>
        <v>1</v>
      </c>
      <c r="AD5" s="37">
        <f t="shared" si="9"/>
        <v>0.24806629834254143</v>
      </c>
      <c r="AE5" s="37">
        <f t="shared" si="10"/>
        <v>0.66666666666666674</v>
      </c>
      <c r="AF5" s="46">
        <f t="shared" si="11"/>
        <v>7483.3333333333339</v>
      </c>
      <c r="AG5" s="23">
        <v>8</v>
      </c>
    </row>
    <row r="6" spans="1:33" ht="17.25" customHeight="1">
      <c r="A6" s="42" t="s">
        <v>167</v>
      </c>
      <c r="B6" s="50" t="s">
        <v>169</v>
      </c>
      <c r="C6" s="43" t="s">
        <v>29</v>
      </c>
      <c r="D6" s="23">
        <v>2</v>
      </c>
      <c r="E6" s="44">
        <v>44287</v>
      </c>
      <c r="F6" s="44">
        <v>44316</v>
      </c>
      <c r="G6" s="23" t="s">
        <v>29</v>
      </c>
      <c r="H6" s="23">
        <v>905</v>
      </c>
      <c r="I6" s="23">
        <f t="shared" si="0"/>
        <v>905</v>
      </c>
      <c r="J6" s="23">
        <f t="shared" si="1"/>
        <v>905</v>
      </c>
      <c r="K6" s="24">
        <f t="shared" si="2"/>
        <v>905</v>
      </c>
      <c r="L6" s="23">
        <v>0</v>
      </c>
      <c r="M6" s="23">
        <v>0</v>
      </c>
      <c r="N6" s="23">
        <v>30</v>
      </c>
      <c r="O6" s="24">
        <v>905</v>
      </c>
      <c r="P6" s="23">
        <v>1361</v>
      </c>
      <c r="Q6" s="28">
        <v>0</v>
      </c>
      <c r="R6" s="29">
        <f t="shared" si="3"/>
        <v>1361</v>
      </c>
      <c r="S6" s="30">
        <f t="shared" si="4"/>
        <v>453.66666666666669</v>
      </c>
      <c r="T6" s="30">
        <v>0</v>
      </c>
      <c r="U6" s="26">
        <v>112</v>
      </c>
      <c r="V6" s="29">
        <v>0</v>
      </c>
      <c r="W6" s="31">
        <v>0</v>
      </c>
      <c r="X6" s="29">
        <f t="shared" si="5"/>
        <v>453.66666666666669</v>
      </c>
      <c r="Y6" s="29">
        <f t="shared" si="6"/>
        <v>907.33333333333326</v>
      </c>
      <c r="Z6" s="36">
        <v>0</v>
      </c>
      <c r="AA6" s="23"/>
      <c r="AB6" s="37">
        <f t="shared" si="7"/>
        <v>1</v>
      </c>
      <c r="AC6" s="37">
        <f t="shared" si="8"/>
        <v>1</v>
      </c>
      <c r="AD6" s="37">
        <f t="shared" si="9"/>
        <v>0.75193370165745854</v>
      </c>
      <c r="AE6" s="37">
        <f t="shared" si="10"/>
        <v>0.66666666666666663</v>
      </c>
      <c r="AF6" s="46">
        <f t="shared" si="11"/>
        <v>22683.333333333332</v>
      </c>
      <c r="AG6" s="23">
        <v>8</v>
      </c>
    </row>
    <row r="7" spans="1:33" ht="17.25" customHeight="1">
      <c r="A7" s="42" t="s">
        <v>167</v>
      </c>
      <c r="B7" s="42" t="s">
        <v>170</v>
      </c>
      <c r="C7" s="43" t="s">
        <v>30</v>
      </c>
      <c r="D7" s="23">
        <v>2</v>
      </c>
      <c r="E7" s="44">
        <v>44317</v>
      </c>
      <c r="F7" s="44">
        <v>44347</v>
      </c>
      <c r="G7" s="23" t="s">
        <v>30</v>
      </c>
      <c r="H7" s="23">
        <v>905</v>
      </c>
      <c r="I7" s="23">
        <f t="shared" si="0"/>
        <v>905</v>
      </c>
      <c r="J7" s="23">
        <f t="shared" si="1"/>
        <v>905</v>
      </c>
      <c r="K7" s="24">
        <f t="shared" si="2"/>
        <v>905</v>
      </c>
      <c r="L7" s="23">
        <v>0</v>
      </c>
      <c r="M7" s="23">
        <v>0</v>
      </c>
      <c r="N7" s="23">
        <v>36</v>
      </c>
      <c r="O7" s="24">
        <v>905</v>
      </c>
      <c r="P7" s="23">
        <v>905</v>
      </c>
      <c r="Q7" s="28">
        <v>0</v>
      </c>
      <c r="R7" s="29">
        <f t="shared" si="3"/>
        <v>905</v>
      </c>
      <c r="S7" s="30">
        <f t="shared" si="4"/>
        <v>301.66666666666669</v>
      </c>
      <c r="T7" s="30">
        <v>0</v>
      </c>
      <c r="U7" s="26">
        <v>128</v>
      </c>
      <c r="V7" s="29">
        <v>0</v>
      </c>
      <c r="W7" s="31">
        <v>0</v>
      </c>
      <c r="X7" s="29">
        <f t="shared" si="5"/>
        <v>301.66666666666669</v>
      </c>
      <c r="Y7" s="29">
        <f t="shared" si="6"/>
        <v>603.33333333333326</v>
      </c>
      <c r="Z7" s="36">
        <v>0</v>
      </c>
      <c r="AA7" s="23"/>
      <c r="AB7" s="37">
        <f t="shared" si="7"/>
        <v>1</v>
      </c>
      <c r="AC7" s="37">
        <f t="shared" si="8"/>
        <v>1</v>
      </c>
      <c r="AD7" s="37">
        <f t="shared" si="9"/>
        <v>0.5</v>
      </c>
      <c r="AE7" s="37">
        <f t="shared" si="10"/>
        <v>0.66666666666666663</v>
      </c>
      <c r="AF7" s="46">
        <f t="shared" si="11"/>
        <v>15083.333333333332</v>
      </c>
      <c r="AG7" s="23">
        <v>8</v>
      </c>
    </row>
    <row r="8" spans="1:33" ht="17.25" customHeight="1">
      <c r="A8" s="42" t="s">
        <v>167</v>
      </c>
      <c r="B8" s="50" t="s">
        <v>170</v>
      </c>
      <c r="C8" s="43" t="s">
        <v>31</v>
      </c>
      <c r="D8" s="23">
        <v>2</v>
      </c>
      <c r="E8" s="44">
        <v>44348</v>
      </c>
      <c r="F8" s="44">
        <v>44377</v>
      </c>
      <c r="G8" s="23" t="s">
        <v>31</v>
      </c>
      <c r="H8" s="23">
        <v>905</v>
      </c>
      <c r="I8" s="23">
        <f t="shared" si="0"/>
        <v>905</v>
      </c>
      <c r="J8" s="23">
        <f t="shared" si="1"/>
        <v>905</v>
      </c>
      <c r="K8" s="24">
        <f t="shared" si="2"/>
        <v>905</v>
      </c>
      <c r="L8" s="23">
        <v>0</v>
      </c>
      <c r="M8" s="23">
        <v>0</v>
      </c>
      <c r="N8" s="23">
        <v>30</v>
      </c>
      <c r="O8" s="24">
        <v>905</v>
      </c>
      <c r="P8" s="23">
        <v>1810</v>
      </c>
      <c r="Q8" s="28">
        <v>0</v>
      </c>
      <c r="R8" s="29">
        <f t="shared" si="3"/>
        <v>1810</v>
      </c>
      <c r="S8" s="30">
        <f t="shared" si="4"/>
        <v>603.33333333333337</v>
      </c>
      <c r="T8" s="30">
        <v>0</v>
      </c>
      <c r="U8" s="26">
        <v>80</v>
      </c>
      <c r="V8" s="29">
        <v>0</v>
      </c>
      <c r="W8" s="31">
        <v>0</v>
      </c>
      <c r="X8" s="29">
        <f t="shared" si="5"/>
        <v>603.33333333333337</v>
      </c>
      <c r="Y8" s="29">
        <f t="shared" si="6"/>
        <v>1206.6666666666665</v>
      </c>
      <c r="Z8" s="36">
        <v>0</v>
      </c>
      <c r="AA8" s="23"/>
      <c r="AB8" s="37">
        <f t="shared" si="7"/>
        <v>1</v>
      </c>
      <c r="AC8" s="37">
        <f t="shared" si="8"/>
        <v>1</v>
      </c>
      <c r="AD8" s="37">
        <f t="shared" si="9"/>
        <v>1</v>
      </c>
      <c r="AE8" s="37">
        <f t="shared" si="10"/>
        <v>0.66666666666666663</v>
      </c>
      <c r="AF8" s="46">
        <f t="shared" si="11"/>
        <v>30166.666666666664</v>
      </c>
      <c r="AG8" s="23">
        <v>8</v>
      </c>
    </row>
    <row r="9" spans="1:33" ht="17.25" customHeight="1">
      <c r="A9" s="42" t="s">
        <v>167</v>
      </c>
      <c r="B9" s="50" t="s">
        <v>171</v>
      </c>
      <c r="C9" s="43" t="s">
        <v>32</v>
      </c>
      <c r="D9" s="23">
        <v>2</v>
      </c>
      <c r="E9" s="44">
        <v>44378</v>
      </c>
      <c r="F9" s="44">
        <v>44407</v>
      </c>
      <c r="G9" s="23" t="s">
        <v>32</v>
      </c>
      <c r="H9" s="23">
        <v>905</v>
      </c>
      <c r="I9" s="23">
        <f t="shared" si="0"/>
        <v>905</v>
      </c>
      <c r="J9" s="23">
        <f t="shared" si="1"/>
        <v>905</v>
      </c>
      <c r="K9" s="24">
        <f t="shared" si="2"/>
        <v>905</v>
      </c>
      <c r="L9" s="23">
        <v>0</v>
      </c>
      <c r="M9" s="23">
        <v>0</v>
      </c>
      <c r="N9" s="23">
        <v>34</v>
      </c>
      <c r="O9" s="24">
        <v>905</v>
      </c>
      <c r="P9" s="23">
        <v>1810</v>
      </c>
      <c r="Q9" s="28">
        <v>0</v>
      </c>
      <c r="R9" s="29">
        <f t="shared" si="3"/>
        <v>1810</v>
      </c>
      <c r="S9" s="30">
        <f t="shared" si="4"/>
        <v>603.33333333333337</v>
      </c>
      <c r="T9" s="30">
        <v>0</v>
      </c>
      <c r="U9" s="26">
        <v>112</v>
      </c>
      <c r="V9" s="29">
        <v>0</v>
      </c>
      <c r="W9" s="31">
        <v>0</v>
      </c>
      <c r="X9" s="29">
        <f t="shared" si="5"/>
        <v>603.33333333333337</v>
      </c>
      <c r="Y9" s="29">
        <f t="shared" si="6"/>
        <v>1206.6666666666665</v>
      </c>
      <c r="Z9" s="36">
        <v>0</v>
      </c>
      <c r="AA9" s="23"/>
      <c r="AB9" s="37">
        <f t="shared" si="7"/>
        <v>1</v>
      </c>
      <c r="AC9" s="37">
        <f t="shared" si="8"/>
        <v>1</v>
      </c>
      <c r="AD9" s="37">
        <f t="shared" si="9"/>
        <v>1</v>
      </c>
      <c r="AE9" s="37">
        <f t="shared" si="10"/>
        <v>0.66666666666666663</v>
      </c>
      <c r="AF9" s="46">
        <f t="shared" si="11"/>
        <v>30166.666666666664</v>
      </c>
      <c r="AG9" s="23">
        <v>8</v>
      </c>
    </row>
    <row r="10" spans="1:33" ht="17.25" customHeight="1">
      <c r="A10" s="42" t="s">
        <v>167</v>
      </c>
      <c r="B10" s="50" t="s">
        <v>171</v>
      </c>
      <c r="C10" s="43" t="s">
        <v>33</v>
      </c>
      <c r="D10" s="23">
        <v>3</v>
      </c>
      <c r="E10" s="44">
        <v>44410</v>
      </c>
      <c r="F10" s="44">
        <v>44435</v>
      </c>
      <c r="G10" s="23" t="s">
        <v>33</v>
      </c>
      <c r="H10" s="23">
        <v>905</v>
      </c>
      <c r="I10" s="23">
        <f t="shared" si="0"/>
        <v>905</v>
      </c>
      <c r="J10" s="23">
        <f t="shared" si="1"/>
        <v>905</v>
      </c>
      <c r="K10" s="24">
        <f t="shared" si="2"/>
        <v>905</v>
      </c>
      <c r="L10" s="23">
        <v>0</v>
      </c>
      <c r="M10" s="23">
        <v>0</v>
      </c>
      <c r="N10" s="23">
        <v>16</v>
      </c>
      <c r="O10" s="24">
        <v>905</v>
      </c>
      <c r="P10" s="23">
        <v>2715</v>
      </c>
      <c r="Q10" s="28">
        <v>0</v>
      </c>
      <c r="R10" s="29">
        <f t="shared" si="3"/>
        <v>2715</v>
      </c>
      <c r="S10" s="30">
        <f t="shared" si="4"/>
        <v>905</v>
      </c>
      <c r="T10" s="30">
        <v>0</v>
      </c>
      <c r="U10" s="26">
        <v>80</v>
      </c>
      <c r="V10" s="29">
        <v>0</v>
      </c>
      <c r="W10" s="31">
        <v>0</v>
      </c>
      <c r="X10" s="29">
        <f t="shared" si="5"/>
        <v>905</v>
      </c>
      <c r="Y10" s="29">
        <f t="shared" si="6"/>
        <v>1810</v>
      </c>
      <c r="Z10" s="36">
        <v>0</v>
      </c>
      <c r="AA10" s="23"/>
      <c r="AB10" s="37">
        <f t="shared" si="7"/>
        <v>1</v>
      </c>
      <c r="AC10" s="37">
        <f t="shared" si="8"/>
        <v>1</v>
      </c>
      <c r="AD10" s="37">
        <f t="shared" si="9"/>
        <v>1</v>
      </c>
      <c r="AE10" s="37">
        <f t="shared" si="10"/>
        <v>0.66666666666666663</v>
      </c>
      <c r="AF10" s="46">
        <f t="shared" si="11"/>
        <v>45250</v>
      </c>
      <c r="AG10" s="23">
        <v>8</v>
      </c>
    </row>
    <row r="11" spans="1:33" ht="17.25" customHeight="1">
      <c r="A11" s="42" t="s">
        <v>167</v>
      </c>
      <c r="B11" s="50" t="s">
        <v>172</v>
      </c>
      <c r="C11" s="43" t="s">
        <v>34</v>
      </c>
      <c r="D11" s="23">
        <v>2</v>
      </c>
      <c r="E11" s="44">
        <v>44440</v>
      </c>
      <c r="F11" s="44">
        <v>44469</v>
      </c>
      <c r="G11" s="23" t="s">
        <v>34</v>
      </c>
      <c r="H11" s="23">
        <v>905</v>
      </c>
      <c r="I11" s="23">
        <f t="shared" ref="I11" si="12">H11</f>
        <v>905</v>
      </c>
      <c r="J11" s="23">
        <f t="shared" ref="J11" si="13">H11</f>
        <v>905</v>
      </c>
      <c r="K11" s="24">
        <f t="shared" ref="K11" si="14">H11</f>
        <v>905</v>
      </c>
      <c r="L11" s="23">
        <v>0</v>
      </c>
      <c r="M11" s="23">
        <v>0</v>
      </c>
      <c r="N11" s="23">
        <v>8</v>
      </c>
      <c r="O11" s="24">
        <v>905</v>
      </c>
      <c r="P11" s="23">
        <v>1810</v>
      </c>
      <c r="Q11" s="28">
        <v>0</v>
      </c>
      <c r="R11" s="29">
        <f t="shared" si="3"/>
        <v>1810</v>
      </c>
      <c r="S11" s="30">
        <f t="shared" ref="S11" si="15">P11*20/60</f>
        <v>603.33333333333337</v>
      </c>
      <c r="T11" s="30">
        <v>0</v>
      </c>
      <c r="U11" s="26">
        <v>32</v>
      </c>
      <c r="V11" s="29">
        <v>0</v>
      </c>
      <c r="W11" s="31">
        <v>0</v>
      </c>
      <c r="X11" s="29">
        <f t="shared" ref="X11" si="16">SUM(S11,T11,V11,W11)</f>
        <v>603.33333333333337</v>
      </c>
      <c r="Y11" s="29">
        <f t="shared" ref="Y11" si="17">R11-X11</f>
        <v>1206.6666666666665</v>
      </c>
      <c r="Z11" s="36">
        <v>0</v>
      </c>
      <c r="AA11" s="23"/>
      <c r="AB11" s="37">
        <f t="shared" ref="AB11" si="18">J11/I11</f>
        <v>1</v>
      </c>
      <c r="AC11" s="37">
        <f t="shared" ref="AC11" si="19">J11/H11</f>
        <v>1</v>
      </c>
      <c r="AD11" s="37">
        <f t="shared" ref="AD11" si="20">P11/(O11*D11)</f>
        <v>1</v>
      </c>
      <c r="AE11" s="37">
        <f t="shared" ref="AE11" si="21">IFERROR(Y11/R11,0)</f>
        <v>0.66666666666666663</v>
      </c>
      <c r="AF11" s="46">
        <f t="shared" ref="AF11" si="22">Y11*$B$18</f>
        <v>30166.666666666664</v>
      </c>
      <c r="AG11" s="23">
        <v>8</v>
      </c>
    </row>
    <row r="12" spans="1:33" ht="17.25" customHeight="1">
      <c r="A12" s="42" t="s">
        <v>167</v>
      </c>
      <c r="B12" s="50" t="s">
        <v>172</v>
      </c>
      <c r="C12" s="43" t="s">
        <v>35</v>
      </c>
      <c r="D12" s="23">
        <v>2</v>
      </c>
      <c r="E12" s="44">
        <v>44470</v>
      </c>
      <c r="F12" s="44">
        <v>44470</v>
      </c>
      <c r="G12" s="23" t="s">
        <v>35</v>
      </c>
      <c r="H12" s="23">
        <v>905</v>
      </c>
      <c r="I12" s="23">
        <f t="shared" ref="I12" si="23">H12</f>
        <v>905</v>
      </c>
      <c r="J12" s="23">
        <f t="shared" ref="J12" si="24">H12</f>
        <v>905</v>
      </c>
      <c r="K12" s="24">
        <f t="shared" ref="K12" si="25">H12</f>
        <v>905</v>
      </c>
      <c r="L12" s="23">
        <v>0</v>
      </c>
      <c r="M12" s="23">
        <v>0</v>
      </c>
      <c r="N12" s="23">
        <v>10</v>
      </c>
      <c r="O12" s="24">
        <v>905</v>
      </c>
      <c r="P12" s="23">
        <v>1810</v>
      </c>
      <c r="Q12" s="28">
        <v>0</v>
      </c>
      <c r="R12" s="29">
        <f t="shared" si="3"/>
        <v>1810</v>
      </c>
      <c r="S12" s="30">
        <f t="shared" ref="S12" si="26">P12*20/60</f>
        <v>603.33333333333337</v>
      </c>
      <c r="T12" s="30">
        <v>0</v>
      </c>
      <c r="U12" s="26">
        <v>40</v>
      </c>
      <c r="V12" s="29">
        <v>0</v>
      </c>
      <c r="W12" s="31">
        <v>0</v>
      </c>
      <c r="X12" s="29">
        <f t="shared" ref="X12" si="27">SUM(S12,T12,V12,W12)</f>
        <v>603.33333333333337</v>
      </c>
      <c r="Y12" s="29">
        <f t="shared" ref="Y12" si="28">R12-X12</f>
        <v>1206.6666666666665</v>
      </c>
      <c r="Z12" s="36">
        <v>0</v>
      </c>
      <c r="AA12" s="23"/>
      <c r="AB12" s="37">
        <f t="shared" ref="AB12" si="29">J12/I12</f>
        <v>1</v>
      </c>
      <c r="AC12" s="37">
        <f t="shared" ref="AC12" si="30">J12/H12</f>
        <v>1</v>
      </c>
      <c r="AD12" s="37">
        <f t="shared" ref="AD12" si="31">P12/(O12*D12)</f>
        <v>1</v>
      </c>
      <c r="AE12" s="37">
        <f t="shared" ref="AE12" si="32">IFERROR(Y12/R12,0)</f>
        <v>0.66666666666666663</v>
      </c>
      <c r="AF12" s="46">
        <f t="shared" ref="AF12" si="33">Y12*$B$18</f>
        <v>30166.666666666664</v>
      </c>
      <c r="AG12" s="23">
        <v>8</v>
      </c>
    </row>
    <row r="13" spans="1:33" s="2" customFormat="1">
      <c r="A13" s="8" t="str">
        <f>A3</f>
        <v>SAFE</v>
      </c>
      <c r="B13" s="8" t="s">
        <v>90</v>
      </c>
      <c r="C13" s="9" t="s">
        <v>90</v>
      </c>
      <c r="D13" s="9">
        <f ca="1">SUM(D3:INDIRECT("D"&amp;ROW()-1))</f>
        <v>21</v>
      </c>
      <c r="E13" s="9"/>
      <c r="F13" s="9"/>
      <c r="G13" s="9"/>
      <c r="H13" s="9">
        <f ca="1">INDIRECT("H"&amp;ROW()-1)</f>
        <v>905</v>
      </c>
      <c r="I13" s="9">
        <f ca="1">INDIRECT("I"&amp;ROW()-1)</f>
        <v>905</v>
      </c>
      <c r="J13" s="9">
        <f ca="1">INDIRECT("J"&amp;ROW()-1)</f>
        <v>905</v>
      </c>
      <c r="K13" s="9">
        <f ca="1">INDIRECT("K"&amp;ROW()-1)</f>
        <v>905</v>
      </c>
      <c r="L13" s="9">
        <f ca="1">SUM(L3:INDIRECT("L"&amp;ROW()-1))</f>
        <v>0</v>
      </c>
      <c r="M13" s="9">
        <f ca="1">SUM(M3:INDIRECT("M"&amp;ROW()-1))</f>
        <v>0</v>
      </c>
      <c r="N13" s="9">
        <f ca="1">SUM(N3:INDIRECT("N"&amp;ROW()-1))</f>
        <v>269</v>
      </c>
      <c r="O13" s="9">
        <f ca="1">INDIRECT("O"&amp;ROW()-1)</f>
        <v>905</v>
      </c>
      <c r="P13" s="9">
        <f ca="1">SUM(P3:INDIRECT("P"&amp;ROW()-1))</f>
        <v>14480</v>
      </c>
      <c r="Q13" s="9">
        <f ca="1">SUM(Q3:INDIRECT("Q"&amp;ROW()-1))</f>
        <v>0</v>
      </c>
      <c r="R13" s="27">
        <f ca="1">SUM(R3:INDIRECT("R"&amp;ROW()-1))</f>
        <v>14480</v>
      </c>
      <c r="S13" s="27">
        <f ca="1">SUM(S3:INDIRECT("S"&amp;ROW()-1))</f>
        <v>4826.666666666667</v>
      </c>
      <c r="T13" s="9">
        <f ca="1">SUM(T3:INDIRECT("T"&amp;ROW()-1))</f>
        <v>0</v>
      </c>
      <c r="U13" s="9">
        <f ca="1">SUM(U3:INDIRECT("U"&amp;ROW()-1))</f>
        <v>876</v>
      </c>
      <c r="V13" s="9">
        <f ca="1">SUM(V3:INDIRECT("V"&amp;ROW()-1))</f>
        <v>0</v>
      </c>
      <c r="W13" s="9">
        <f ca="1">SUM(W3:INDIRECT("W"&amp;ROW()-1))</f>
        <v>0</v>
      </c>
      <c r="X13" s="27">
        <f ca="1">SUM(X3:INDIRECT("X"&amp;ROW()-1))</f>
        <v>4826.666666666667</v>
      </c>
      <c r="Y13" s="27">
        <f ca="1">SUM(Y3:INDIRECT("Y"&amp;ROW()-1))</f>
        <v>9653.3333333333303</v>
      </c>
      <c r="Z13" s="9">
        <f ca="1">SUM(Z3:INDIRECT("z"&amp;ROW()-1))</f>
        <v>0</v>
      </c>
      <c r="AA13" s="9"/>
      <c r="AB13" s="34">
        <f t="shared" ca="1" si="7"/>
        <v>1</v>
      </c>
      <c r="AC13" s="34">
        <f t="shared" ca="1" si="8"/>
        <v>1</v>
      </c>
      <c r="AD13" s="34">
        <f t="shared" ca="1" si="9"/>
        <v>0.76190476190476186</v>
      </c>
      <c r="AE13" s="39">
        <f t="shared" ca="1" si="10"/>
        <v>0.66666666666666641</v>
      </c>
      <c r="AF13" s="35">
        <f ca="1">SUM(AF3:INDIRECT("AF"&amp;ROW()-1))</f>
        <v>241333.33333333328</v>
      </c>
      <c r="AG13" s="9"/>
    </row>
    <row r="14" spans="1:33" s="2" customFormat="1"/>
    <row r="15" spans="1:33" s="2" customFormat="1">
      <c r="A15" s="10"/>
      <c r="B15" s="11"/>
      <c r="E15" s="2">
        <v>11</v>
      </c>
      <c r="Q15" s="13"/>
      <c r="AD15" s="25"/>
    </row>
    <row r="16" spans="1:33" s="2" customFormat="1">
      <c r="A16" s="10"/>
      <c r="B16" s="11"/>
      <c r="K16" s="2" t="s">
        <v>173</v>
      </c>
      <c r="P16" s="2">
        <v>56</v>
      </c>
      <c r="Q16" s="13"/>
      <c r="AD16" s="25"/>
    </row>
    <row r="17" spans="1:33" s="2" customFormat="1">
      <c r="A17" s="10"/>
      <c r="B17" s="11"/>
      <c r="Q17" s="13"/>
      <c r="AD17" s="25"/>
    </row>
    <row r="18" spans="1:33" s="2" customFormat="1">
      <c r="A18" s="10" t="s">
        <v>91</v>
      </c>
      <c r="B18" s="11">
        <v>25</v>
      </c>
      <c r="P18" s="25"/>
      <c r="Q18" s="13"/>
      <c r="AD18" s="25"/>
    </row>
    <row r="19" spans="1:33" ht="21">
      <c r="A19" s="10" t="s">
        <v>92</v>
      </c>
      <c r="B19" s="12">
        <v>8</v>
      </c>
      <c r="C19" s="2"/>
      <c r="D19" s="2"/>
      <c r="E19" s="2"/>
      <c r="F19" s="2"/>
      <c r="G19" s="2"/>
      <c r="H19" s="2"/>
      <c r="I19" s="2"/>
      <c r="J19" s="25"/>
      <c r="K19" s="25"/>
      <c r="L19" s="2"/>
      <c r="M19" s="2"/>
      <c r="N19" s="2"/>
      <c r="O19" s="2"/>
      <c r="P19" s="2"/>
      <c r="Q19" s="13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51" spans="1:33">
      <c r="N51" s="172" t="s">
        <v>22</v>
      </c>
      <c r="O51" s="172" t="s">
        <v>82</v>
      </c>
      <c r="P51" s="172" t="s">
        <v>60</v>
      </c>
      <c r="Q51" s="172" t="s">
        <v>85</v>
      </c>
      <c r="R51" s="172" t="s">
        <v>74</v>
      </c>
      <c r="S51" s="172" t="s">
        <v>75</v>
      </c>
      <c r="T51" s="173"/>
      <c r="AG51" s="13"/>
    </row>
    <row r="52" spans="1:33">
      <c r="N52" s="172"/>
      <c r="O52" s="172"/>
      <c r="P52" s="172"/>
      <c r="Q52" s="172"/>
      <c r="R52" s="172"/>
      <c r="S52" s="172"/>
      <c r="T52" s="173"/>
      <c r="AG52" s="13"/>
    </row>
    <row r="53" spans="1:33">
      <c r="N53" s="42" t="s">
        <v>167</v>
      </c>
      <c r="O53" s="23" t="s">
        <v>26</v>
      </c>
      <c r="P53" s="26">
        <f t="shared" ref="P53:P64" si="34">SUMIFS($R$3:$R$3,$G$3:$G$3,O53)</f>
        <v>905</v>
      </c>
      <c r="Q53" s="26">
        <f t="shared" ref="Q53:Q64" si="35">SUMIFS($Y$3:$Y$3,$G$3:$G$3,O53)</f>
        <v>603.33333333333326</v>
      </c>
      <c r="R53" s="32">
        <f t="shared" ref="R53:R64" si="36">IFERROR(Q53/P53,0)</f>
        <v>0.66666666666666663</v>
      </c>
      <c r="S53" s="33">
        <f t="shared" ref="S53:S64" si="37">SUMIFS($AF$3:$AF$3,$G$3:$G$3,O53)</f>
        <v>15083.333333333332</v>
      </c>
      <c r="T53" s="18"/>
      <c r="AG53" s="15"/>
    </row>
    <row r="54" spans="1:33">
      <c r="N54" s="42" t="s">
        <v>167</v>
      </c>
      <c r="O54" s="23" t="s">
        <v>27</v>
      </c>
      <c r="P54" s="26">
        <f t="shared" si="34"/>
        <v>0</v>
      </c>
      <c r="Q54" s="26">
        <f t="shared" si="35"/>
        <v>0</v>
      </c>
      <c r="R54" s="32">
        <f t="shared" si="36"/>
        <v>0</v>
      </c>
      <c r="S54" s="33">
        <f t="shared" si="37"/>
        <v>0</v>
      </c>
      <c r="T54" s="18"/>
      <c r="AG54" s="15"/>
    </row>
    <row r="55" spans="1:33">
      <c r="N55" s="42" t="s">
        <v>167</v>
      </c>
      <c r="O55" s="23" t="s">
        <v>28</v>
      </c>
      <c r="P55" s="26">
        <f t="shared" si="34"/>
        <v>0</v>
      </c>
      <c r="Q55" s="26">
        <f t="shared" si="35"/>
        <v>0</v>
      </c>
      <c r="R55" s="32">
        <f t="shared" si="36"/>
        <v>0</v>
      </c>
      <c r="S55" s="33">
        <f t="shared" si="37"/>
        <v>0</v>
      </c>
      <c r="T55" s="18"/>
      <c r="AG55" s="15"/>
    </row>
    <row r="56" spans="1:33">
      <c r="N56" s="42" t="s">
        <v>167</v>
      </c>
      <c r="O56" s="23" t="s">
        <v>29</v>
      </c>
      <c r="P56" s="26">
        <f t="shared" si="34"/>
        <v>0</v>
      </c>
      <c r="Q56" s="26">
        <f t="shared" si="35"/>
        <v>0</v>
      </c>
      <c r="R56" s="32">
        <f t="shared" si="36"/>
        <v>0</v>
      </c>
      <c r="S56" s="33">
        <f t="shared" si="37"/>
        <v>0</v>
      </c>
      <c r="T56" s="18"/>
      <c r="AG56" s="15"/>
    </row>
    <row r="57" spans="1:33">
      <c r="N57" s="42" t="s">
        <v>167</v>
      </c>
      <c r="O57" s="23" t="s">
        <v>30</v>
      </c>
      <c r="P57" s="26">
        <f t="shared" si="34"/>
        <v>0</v>
      </c>
      <c r="Q57" s="26">
        <f t="shared" si="35"/>
        <v>0</v>
      </c>
      <c r="R57" s="32">
        <f t="shared" si="36"/>
        <v>0</v>
      </c>
      <c r="S57" s="33">
        <f t="shared" si="37"/>
        <v>0</v>
      </c>
      <c r="T57" s="18"/>
      <c r="AG57" s="15"/>
    </row>
    <row r="58" spans="1:33">
      <c r="N58" s="42" t="s">
        <v>167</v>
      </c>
      <c r="O58" s="23" t="s">
        <v>31</v>
      </c>
      <c r="P58" s="26">
        <f t="shared" si="34"/>
        <v>0</v>
      </c>
      <c r="Q58" s="26">
        <f t="shared" si="35"/>
        <v>0</v>
      </c>
      <c r="R58" s="32">
        <f t="shared" si="36"/>
        <v>0</v>
      </c>
      <c r="S58" s="33">
        <f t="shared" si="37"/>
        <v>0</v>
      </c>
      <c r="T58" s="18"/>
      <c r="AG58" s="15"/>
    </row>
    <row r="59" spans="1:33" ht="15" customHeight="1">
      <c r="N59" s="42" t="s">
        <v>167</v>
      </c>
      <c r="O59" s="23" t="s">
        <v>32</v>
      </c>
      <c r="P59" s="26">
        <f t="shared" si="34"/>
        <v>0</v>
      </c>
      <c r="Q59" s="26">
        <f t="shared" si="35"/>
        <v>0</v>
      </c>
      <c r="R59" s="32">
        <f t="shared" si="36"/>
        <v>0</v>
      </c>
      <c r="S59" s="33">
        <f t="shared" si="37"/>
        <v>0</v>
      </c>
      <c r="T59" s="18"/>
      <c r="AG59" s="15"/>
    </row>
    <row r="60" spans="1:33">
      <c r="A60" s="173"/>
      <c r="B60" s="173"/>
      <c r="C60" s="173"/>
      <c r="D60" s="173"/>
      <c r="E60" s="173"/>
      <c r="F60" s="173"/>
      <c r="G60" s="173"/>
      <c r="N60" s="42" t="s">
        <v>167</v>
      </c>
      <c r="O60" s="23" t="s">
        <v>33</v>
      </c>
      <c r="P60" s="26">
        <f t="shared" si="34"/>
        <v>0</v>
      </c>
      <c r="Q60" s="26">
        <f t="shared" si="35"/>
        <v>0</v>
      </c>
      <c r="R60" s="32">
        <f t="shared" si="36"/>
        <v>0</v>
      </c>
      <c r="S60" s="33">
        <f t="shared" si="37"/>
        <v>0</v>
      </c>
      <c r="T60" s="18"/>
      <c r="AG60" s="15"/>
    </row>
    <row r="61" spans="1:33">
      <c r="A61" s="173"/>
      <c r="B61" s="173"/>
      <c r="C61" s="173"/>
      <c r="D61" s="173"/>
      <c r="E61" s="173"/>
      <c r="F61" s="173"/>
      <c r="G61" s="173"/>
      <c r="N61" s="42" t="s">
        <v>167</v>
      </c>
      <c r="O61" s="23" t="s">
        <v>34</v>
      </c>
      <c r="P61" s="26">
        <f t="shared" si="34"/>
        <v>0</v>
      </c>
      <c r="Q61" s="26">
        <f t="shared" si="35"/>
        <v>0</v>
      </c>
      <c r="R61" s="32">
        <f t="shared" si="36"/>
        <v>0</v>
      </c>
      <c r="S61" s="33">
        <f t="shared" si="37"/>
        <v>0</v>
      </c>
      <c r="T61" s="18"/>
      <c r="AG61" s="15"/>
    </row>
    <row r="62" spans="1:33">
      <c r="A62" s="14"/>
      <c r="B62" s="15"/>
      <c r="C62" s="15"/>
      <c r="D62" s="16"/>
      <c r="E62" s="16"/>
      <c r="F62" s="17"/>
      <c r="G62" s="18"/>
      <c r="N62" s="42" t="s">
        <v>167</v>
      </c>
      <c r="O62" s="23" t="s">
        <v>35</v>
      </c>
      <c r="P62" s="26">
        <f t="shared" si="34"/>
        <v>0</v>
      </c>
      <c r="Q62" s="26">
        <f t="shared" si="35"/>
        <v>0</v>
      </c>
      <c r="R62" s="32">
        <f t="shared" si="36"/>
        <v>0</v>
      </c>
      <c r="S62" s="33">
        <f t="shared" si="37"/>
        <v>0</v>
      </c>
      <c r="T62" s="18"/>
      <c r="AG62" s="15"/>
    </row>
    <row r="63" spans="1:33">
      <c r="A63" s="14"/>
      <c r="B63" s="15"/>
      <c r="C63" s="15"/>
      <c r="D63" s="16"/>
      <c r="E63" s="16"/>
      <c r="F63" s="17"/>
      <c r="G63" s="18"/>
      <c r="N63" s="42" t="s">
        <v>167</v>
      </c>
      <c r="O63" s="23" t="s">
        <v>36</v>
      </c>
      <c r="P63" s="26">
        <f t="shared" si="34"/>
        <v>0</v>
      </c>
      <c r="Q63" s="26">
        <f t="shared" si="35"/>
        <v>0</v>
      </c>
      <c r="R63" s="32">
        <f t="shared" si="36"/>
        <v>0</v>
      </c>
      <c r="S63" s="33">
        <f t="shared" si="37"/>
        <v>0</v>
      </c>
      <c r="T63" s="18"/>
      <c r="AG63" s="15"/>
    </row>
    <row r="64" spans="1:33">
      <c r="A64" s="14"/>
      <c r="B64" s="15"/>
      <c r="C64" s="15"/>
      <c r="D64" s="16"/>
      <c r="E64" s="16"/>
      <c r="F64" s="17"/>
      <c r="G64" s="18"/>
      <c r="N64" s="42" t="s">
        <v>167</v>
      </c>
      <c r="O64" s="23" t="s">
        <v>37</v>
      </c>
      <c r="P64" s="26">
        <f t="shared" si="34"/>
        <v>0</v>
      </c>
      <c r="Q64" s="26">
        <f t="shared" si="35"/>
        <v>0</v>
      </c>
      <c r="R64" s="32">
        <f t="shared" si="36"/>
        <v>0</v>
      </c>
      <c r="S64" s="33">
        <f t="shared" si="37"/>
        <v>0</v>
      </c>
      <c r="T64" s="18"/>
      <c r="AG64" s="15"/>
    </row>
    <row r="65" spans="1:33">
      <c r="A65" s="14"/>
      <c r="B65" s="15"/>
      <c r="C65" s="15"/>
      <c r="D65" s="16"/>
      <c r="E65" s="16"/>
      <c r="F65" s="17"/>
      <c r="G65" s="18"/>
      <c r="N65" s="8" t="s">
        <v>167</v>
      </c>
      <c r="O65" s="9"/>
      <c r="P65" s="27">
        <f>SUM(P53:P64)</f>
        <v>905</v>
      </c>
      <c r="Q65" s="27">
        <f>SUM(Q53:Q64)</f>
        <v>603.33333333333326</v>
      </c>
      <c r="R65" s="34">
        <f>Q65/P65</f>
        <v>0.66666666666666663</v>
      </c>
      <c r="S65" s="35">
        <f>SUM(S53:S64)</f>
        <v>15083.333333333332</v>
      </c>
      <c r="T65" s="22"/>
      <c r="AG65" s="13"/>
    </row>
    <row r="66" spans="1:33">
      <c r="A66" s="14"/>
      <c r="B66" s="15"/>
      <c r="C66" s="15"/>
      <c r="D66" s="16"/>
      <c r="E66" s="16"/>
      <c r="F66" s="17"/>
      <c r="G66" s="18"/>
    </row>
    <row r="67" spans="1:33">
      <c r="A67" s="19"/>
      <c r="B67" s="19"/>
      <c r="C67" s="13"/>
      <c r="D67" s="20"/>
      <c r="E67" s="20"/>
      <c r="F67" s="21"/>
      <c r="G67" s="22"/>
    </row>
    <row r="68" spans="1:33">
      <c r="A68" s="10" t="s">
        <v>91</v>
      </c>
      <c r="B68" s="11">
        <v>25</v>
      </c>
      <c r="C68" s="2"/>
      <c r="D68" s="2"/>
      <c r="E68" s="2"/>
      <c r="F68" s="2"/>
      <c r="G68" s="2"/>
    </row>
  </sheetData>
  <mergeCells count="41">
    <mergeCell ref="Y1:Y2"/>
    <mergeCell ref="Z1:Z2"/>
    <mergeCell ref="AA1:AA2"/>
    <mergeCell ref="AG1:AG2"/>
    <mergeCell ref="S51:S52"/>
    <mergeCell ref="T51:T52"/>
    <mergeCell ref="V1:V2"/>
    <mergeCell ref="W1:W2"/>
    <mergeCell ref="X1:X2"/>
    <mergeCell ref="S1:U1"/>
    <mergeCell ref="AB1:AF1"/>
    <mergeCell ref="P1:P2"/>
    <mergeCell ref="P51:P52"/>
    <mergeCell ref="Q1:Q2"/>
    <mergeCell ref="Q51:Q52"/>
    <mergeCell ref="R1:R2"/>
    <mergeCell ref="R51:R52"/>
    <mergeCell ref="M1:M2"/>
    <mergeCell ref="N1:N2"/>
    <mergeCell ref="N51:N52"/>
    <mergeCell ref="O1:O2"/>
    <mergeCell ref="O51:O52"/>
    <mergeCell ref="H1:H2"/>
    <mergeCell ref="I1:I2"/>
    <mergeCell ref="J1:J2"/>
    <mergeCell ref="K1:K2"/>
    <mergeCell ref="L1:L2"/>
    <mergeCell ref="A1:A2"/>
    <mergeCell ref="A60:A61"/>
    <mergeCell ref="B1:B2"/>
    <mergeCell ref="B60:B61"/>
    <mergeCell ref="C1:C2"/>
    <mergeCell ref="C60:C61"/>
    <mergeCell ref="G1:G2"/>
    <mergeCell ref="G60:G61"/>
    <mergeCell ref="D1:D2"/>
    <mergeCell ref="D60:D61"/>
    <mergeCell ref="E1:E2"/>
    <mergeCell ref="E60:E61"/>
    <mergeCell ref="F1:F2"/>
    <mergeCell ref="F60:F61"/>
  </mergeCells>
  <pageMargins left="0.7" right="0.7" top="0.75" bottom="0.75" header="0.3" footer="0.3"/>
  <pageSetup orientation="portrait"/>
  <headerFooter>
    <oddFooter>&amp;CNBCU Internal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E30"/>
  <sheetViews>
    <sheetView zoomScalePageLayoutView="80" workbookViewId="0">
      <pane ySplit="3" topLeftCell="A6" activePane="bottomLeft" state="frozen"/>
      <selection pane="bottomLeft" activeCell="A16" sqref="A16"/>
    </sheetView>
  </sheetViews>
  <sheetFormatPr defaultColWidth="8.81640625" defaultRowHeight="14.5"/>
  <cols>
    <col min="1" max="1" width="22.453125" style="103" customWidth="1"/>
    <col min="2" max="3" width="14.453125" style="103" customWidth="1"/>
    <col min="4" max="4" width="8.453125" style="104" customWidth="1"/>
    <col min="5" max="6" width="12.453125" style="103" customWidth="1"/>
    <col min="7" max="7" width="13.453125" style="103" customWidth="1"/>
    <col min="8" max="8" width="11.453125" style="103" customWidth="1"/>
    <col min="9" max="9" width="13.1796875" style="104" customWidth="1"/>
    <col min="10" max="10" width="11.1796875" style="104" customWidth="1"/>
    <col min="11" max="12" width="13.1796875" style="104" customWidth="1"/>
    <col min="13" max="13" width="13.453125" style="104" customWidth="1"/>
    <col min="14" max="14" width="9.453125" style="104" customWidth="1"/>
    <col min="15" max="15" width="12.453125" style="104" customWidth="1"/>
    <col min="16" max="16" width="7.453125" style="104" customWidth="1"/>
    <col min="17" max="17" width="6.453125" style="104" customWidth="1"/>
    <col min="18" max="18" width="9.81640625" style="104" customWidth="1"/>
    <col min="19" max="19" width="19.1796875" style="104" customWidth="1"/>
    <col min="20" max="20" width="21.453125" style="104" customWidth="1"/>
    <col min="21" max="21" width="16.453125" style="104" customWidth="1"/>
    <col min="22" max="22" width="12.1796875" style="104" customWidth="1"/>
    <col min="23" max="23" width="13.453125" style="104" customWidth="1"/>
    <col min="24" max="24" width="18.81640625" style="104" customWidth="1"/>
    <col min="25" max="25" width="9" style="103" customWidth="1"/>
    <col min="26" max="26" width="9.453125" style="103" customWidth="1"/>
    <col min="27" max="27" width="13.453125" style="104" customWidth="1"/>
    <col min="28" max="28" width="12.1796875" style="104" customWidth="1"/>
    <col min="29" max="29" width="11.453125" style="104" customWidth="1"/>
    <col min="30" max="31" width="8.81640625" style="104"/>
  </cols>
  <sheetData>
    <row r="1" spans="1:31" s="100" customFormat="1" ht="34.5" customHeight="1">
      <c r="A1" s="168" t="s">
        <v>22</v>
      </c>
      <c r="B1" s="168" t="s">
        <v>47</v>
      </c>
      <c r="C1" s="168" t="s">
        <v>48</v>
      </c>
      <c r="D1" s="168" t="s">
        <v>49</v>
      </c>
      <c r="E1" s="168" t="s">
        <v>50</v>
      </c>
      <c r="F1" s="168" t="s">
        <v>51</v>
      </c>
      <c r="G1" s="168" t="s">
        <v>52</v>
      </c>
      <c r="H1" s="168" t="s">
        <v>53</v>
      </c>
      <c r="I1" s="168" t="s">
        <v>54</v>
      </c>
      <c r="J1" s="168" t="s">
        <v>55</v>
      </c>
      <c r="K1" s="168" t="s">
        <v>56</v>
      </c>
      <c r="L1" s="168" t="s">
        <v>57</v>
      </c>
      <c r="M1" s="168" t="s">
        <v>58</v>
      </c>
      <c r="N1" s="168" t="s">
        <v>59</v>
      </c>
      <c r="O1" s="168" t="s">
        <v>60</v>
      </c>
      <c r="P1" s="168" t="s">
        <v>61</v>
      </c>
      <c r="Q1" s="168"/>
      <c r="R1" s="168"/>
      <c r="S1" s="168" t="s">
        <v>62</v>
      </c>
      <c r="T1" s="168" t="s">
        <v>63</v>
      </c>
      <c r="U1" s="168" t="s">
        <v>64</v>
      </c>
      <c r="V1" s="168" t="s">
        <v>65</v>
      </c>
      <c r="W1" s="168" t="s">
        <v>66</v>
      </c>
      <c r="X1" s="168" t="s">
        <v>3</v>
      </c>
      <c r="Y1" s="168" t="s">
        <v>67</v>
      </c>
      <c r="Z1" s="168"/>
      <c r="AA1" s="168"/>
      <c r="AB1" s="168"/>
      <c r="AC1" s="168"/>
      <c r="AD1" s="168"/>
      <c r="AE1" s="168"/>
    </row>
    <row r="2" spans="1:31" s="100" customFormat="1" ht="21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05" t="s">
        <v>68</v>
      </c>
      <c r="Q2" s="105" t="s">
        <v>69</v>
      </c>
      <c r="R2" s="105" t="s">
        <v>70</v>
      </c>
      <c r="S2" s="168"/>
      <c r="T2" s="168"/>
      <c r="U2" s="168"/>
      <c r="V2" s="168"/>
      <c r="W2" s="168"/>
      <c r="X2" s="168"/>
      <c r="Y2" s="105" t="s">
        <v>71</v>
      </c>
      <c r="Z2" s="105" t="s">
        <v>72</v>
      </c>
      <c r="AA2" s="105" t="s">
        <v>73</v>
      </c>
      <c r="AB2" s="105" t="s">
        <v>74</v>
      </c>
      <c r="AC2" s="105" t="s">
        <v>75</v>
      </c>
      <c r="AD2" s="113" t="s">
        <v>76</v>
      </c>
      <c r="AE2" s="113" t="s">
        <v>77</v>
      </c>
    </row>
    <row r="3" spans="1:31" s="101" customFormat="1">
      <c r="A3" s="106" t="str">
        <f>Recap!A4</f>
        <v>Recap</v>
      </c>
      <c r="B3" s="107" t="str">
        <f>Recap!B4</f>
        <v>Overall</v>
      </c>
      <c r="C3" s="107" t="str">
        <f>Recap!C4</f>
        <v>Overall</v>
      </c>
      <c r="D3" s="107">
        <f ca="1">Recap!D4</f>
        <v>1</v>
      </c>
      <c r="E3" s="107">
        <f ca="1">Recap!H4</f>
        <v>194</v>
      </c>
      <c r="F3" s="107">
        <f ca="1">Recap!I4</f>
        <v>164</v>
      </c>
      <c r="G3" s="107">
        <f ca="1">Recap!Q4</f>
        <v>0</v>
      </c>
      <c r="H3" s="107">
        <f ca="1">Recap!J4</f>
        <v>164</v>
      </c>
      <c r="I3" s="107">
        <f ca="1">Recap!K4</f>
        <v>164</v>
      </c>
      <c r="J3" s="107">
        <f>Recap!L4</f>
        <v>14</v>
      </c>
      <c r="K3" s="107">
        <f>Recap!M4</f>
        <v>0</v>
      </c>
      <c r="L3" s="107">
        <f ca="1">Recap!N4</f>
        <v>68</v>
      </c>
      <c r="M3" s="110">
        <f ca="1">Recap!O4</f>
        <v>150</v>
      </c>
      <c r="N3" s="107">
        <f ca="1">Recap!P4</f>
        <v>150</v>
      </c>
      <c r="O3" s="29">
        <f ca="1">Recap!R4</f>
        <v>150</v>
      </c>
      <c r="P3" s="111">
        <f ca="1">Recap!S4</f>
        <v>0</v>
      </c>
      <c r="Q3" s="111">
        <f ca="1">Recap!T4</f>
        <v>6</v>
      </c>
      <c r="R3" s="111">
        <f ca="1">Recap!U4</f>
        <v>18</v>
      </c>
      <c r="S3" s="29">
        <f ca="1">Recap!V4</f>
        <v>30</v>
      </c>
      <c r="T3" s="111">
        <f ca="1">Recap!W4</f>
        <v>0</v>
      </c>
      <c r="U3" s="29">
        <f ca="1">Recap!X4</f>
        <v>36</v>
      </c>
      <c r="V3" s="111">
        <f ca="1">ROUND(Recap!Y4,0)</f>
        <v>114</v>
      </c>
      <c r="W3" s="112">
        <f ca="1">Recap!Z4</f>
        <v>0</v>
      </c>
      <c r="X3" s="107">
        <f>Recap!AF4</f>
        <v>0</v>
      </c>
      <c r="Y3" s="37">
        <f ca="1">Recap!AA4</f>
        <v>1</v>
      </c>
      <c r="Z3" s="37">
        <f ca="1">Recap!AB4</f>
        <v>0.84536082474226804</v>
      </c>
      <c r="AA3" s="37">
        <f ca="1">Recap!AC4</f>
        <v>1</v>
      </c>
      <c r="AB3" s="37">
        <f ca="1">Recap!AD4</f>
        <v>0.76</v>
      </c>
      <c r="AC3" s="114">
        <f ca="1">Recap!AE4</f>
        <v>2850</v>
      </c>
      <c r="AD3" s="115"/>
      <c r="AE3" s="115"/>
    </row>
    <row r="4" spans="1:31" s="101" customFormat="1">
      <c r="A4" s="106" t="str">
        <f>ALF!A3</f>
        <v>ALF</v>
      </c>
      <c r="B4" s="107" t="str">
        <f>ALF!B4</f>
        <v>Overall</v>
      </c>
      <c r="C4" s="107" t="str">
        <f>ALF!C4</f>
        <v>Overall</v>
      </c>
      <c r="D4" s="107">
        <f ca="1">ALF!D4</f>
        <v>1</v>
      </c>
      <c r="E4" s="107">
        <f ca="1">ALF!H4</f>
        <v>27</v>
      </c>
      <c r="F4" s="107">
        <f ca="1">ALF!I4</f>
        <v>27</v>
      </c>
      <c r="G4" s="107">
        <f ca="1">ALF!Q4</f>
        <v>0</v>
      </c>
      <c r="H4" s="107">
        <f ca="1">ALF!J4</f>
        <v>27</v>
      </c>
      <c r="I4" s="107">
        <f ca="1">ALF!K4</f>
        <v>27</v>
      </c>
      <c r="J4" s="107">
        <f ca="1">ALF!L4</f>
        <v>8</v>
      </c>
      <c r="K4" s="107">
        <f ca="1">ALF!M4</f>
        <v>0</v>
      </c>
      <c r="L4" s="107">
        <f>ALF!N4</f>
        <v>19</v>
      </c>
      <c r="M4" s="110">
        <f ca="1">ALF!O4</f>
        <v>19</v>
      </c>
      <c r="N4" s="107">
        <f>ALF!P4</f>
        <v>19</v>
      </c>
      <c r="O4" s="29">
        <f ca="1">ALF!R4</f>
        <v>19</v>
      </c>
      <c r="P4" s="111">
        <f>ALF!S4</f>
        <v>5</v>
      </c>
      <c r="Q4" s="111">
        <f>ALF!T4</f>
        <v>6</v>
      </c>
      <c r="R4" s="111">
        <f>ALF!U4</f>
        <v>34</v>
      </c>
      <c r="S4" s="29">
        <f ca="1">ALF!V4</f>
        <v>0</v>
      </c>
      <c r="T4" s="111">
        <f ca="1">ALF!W4</f>
        <v>0</v>
      </c>
      <c r="U4" s="29">
        <f ca="1">ALF!X4</f>
        <v>6</v>
      </c>
      <c r="V4" s="111">
        <f ca="1">ROUND(ALF!Y4,0)</f>
        <v>13</v>
      </c>
      <c r="W4" s="112">
        <f ca="1">ALF!Z4</f>
        <v>4</v>
      </c>
      <c r="X4" s="107">
        <f>ALF!AF4</f>
        <v>0</v>
      </c>
      <c r="Y4" s="37">
        <f ca="1">ALF!AA4</f>
        <v>1</v>
      </c>
      <c r="Z4" s="37">
        <f ca="1">ALF!AB4</f>
        <v>1</v>
      </c>
      <c r="AA4" s="37">
        <f ca="1">ALF!AC4</f>
        <v>1</v>
      </c>
      <c r="AB4" s="37">
        <f ca="1">ALF!AD4</f>
        <v>0.68421052631578949</v>
      </c>
      <c r="AC4" s="114">
        <f ca="1">ALF!AE4</f>
        <v>325</v>
      </c>
      <c r="AD4" s="115"/>
      <c r="AE4" s="115"/>
    </row>
    <row r="5" spans="1:31" s="101" customFormat="1">
      <c r="A5" s="106" t="str">
        <f>POP!A3</f>
        <v>Promotional Order Portal(SF)</v>
      </c>
      <c r="B5" s="107" t="str">
        <f>POP!B4</f>
        <v>Overall</v>
      </c>
      <c r="C5" s="107" t="str">
        <f>POP!C4</f>
        <v>Overall</v>
      </c>
      <c r="D5" s="107">
        <f ca="1">POP!D4</f>
        <v>1</v>
      </c>
      <c r="E5" s="107">
        <f ca="1">POP!H4</f>
        <v>3</v>
      </c>
      <c r="F5" s="107">
        <f ca="1">POP!I4</f>
        <v>3</v>
      </c>
      <c r="G5" s="107">
        <f ca="1">POP!Q4</f>
        <v>24</v>
      </c>
      <c r="H5" s="107">
        <f ca="1">POP!J4</f>
        <v>3</v>
      </c>
      <c r="I5" s="107">
        <f ca="1">POP!K4</f>
        <v>3</v>
      </c>
      <c r="J5" s="107">
        <f ca="1">POP!L4</f>
        <v>0</v>
      </c>
      <c r="K5" s="107">
        <f ca="1">POP!M4</f>
        <v>3</v>
      </c>
      <c r="L5" s="107">
        <f>POP!N4</f>
        <v>0</v>
      </c>
      <c r="M5" s="110">
        <f ca="1">POP!O4</f>
        <v>3</v>
      </c>
      <c r="N5" s="107">
        <f>POP!P4</f>
        <v>3</v>
      </c>
      <c r="O5" s="29">
        <f ca="1">POP!R4</f>
        <v>1.6</v>
      </c>
      <c r="P5" s="111">
        <f>POP!S4</f>
        <v>0</v>
      </c>
      <c r="Q5" s="111">
        <f>POP!T4</f>
        <v>0</v>
      </c>
      <c r="R5" s="111">
        <f>POP!U4</f>
        <v>0</v>
      </c>
      <c r="S5" s="110">
        <f ca="1">POP!V4</f>
        <v>0</v>
      </c>
      <c r="T5" s="111">
        <f ca="1">POP!W4</f>
        <v>0</v>
      </c>
      <c r="U5" s="110">
        <f ca="1">POP!X4</f>
        <v>0</v>
      </c>
      <c r="V5" s="111">
        <f ca="1">ROUND(POP!Y4,0)</f>
        <v>2</v>
      </c>
      <c r="W5" s="107">
        <f ca="1">POP!Z4</f>
        <v>0</v>
      </c>
      <c r="X5" s="107">
        <f>POP!AF4</f>
        <v>0</v>
      </c>
      <c r="Y5" s="37">
        <f ca="1">POP!AA4</f>
        <v>1</v>
      </c>
      <c r="Z5" s="37">
        <f ca="1">POP!AB4</f>
        <v>1</v>
      </c>
      <c r="AA5" s="37">
        <f ca="1">POP!AC4</f>
        <v>1</v>
      </c>
      <c r="AB5" s="37">
        <f ca="1">POP!AD4</f>
        <v>1</v>
      </c>
      <c r="AC5" s="114">
        <f ca="1">POP!AE4</f>
        <v>40</v>
      </c>
      <c r="AD5" s="107"/>
      <c r="AE5" s="107"/>
    </row>
    <row r="6" spans="1:31" s="101" customFormat="1">
      <c r="A6" s="106" t="str">
        <f>Medea!A6</f>
        <v>Medea</v>
      </c>
      <c r="B6" s="107" t="str">
        <f>Medea!B6</f>
        <v>Overall</v>
      </c>
      <c r="C6" s="107" t="str">
        <f>Medea!C6</f>
        <v>Overall</v>
      </c>
      <c r="D6" s="107">
        <f ca="1">Medea!D6</f>
        <v>1</v>
      </c>
      <c r="E6" s="107">
        <f ca="1">Medea!H6</f>
        <v>88</v>
      </c>
      <c r="F6" s="107">
        <f ca="1">Medea!I6</f>
        <v>88</v>
      </c>
      <c r="G6" s="107">
        <f ca="1">Medea!Q6</f>
        <v>0</v>
      </c>
      <c r="H6" s="107">
        <f ca="1">Medea!J6</f>
        <v>88</v>
      </c>
      <c r="I6" s="107">
        <f ca="1">Medea!K6</f>
        <v>88</v>
      </c>
      <c r="J6" s="107">
        <f ca="1">Medea!L6</f>
        <v>1</v>
      </c>
      <c r="K6" s="107">
        <f ca="1">Medea!M6</f>
        <v>0</v>
      </c>
      <c r="L6" s="107">
        <f ca="1">Medea!N6</f>
        <v>19</v>
      </c>
      <c r="M6" s="110">
        <f ca="1">Medea!O6</f>
        <v>87</v>
      </c>
      <c r="N6" s="107">
        <f ca="1">Medea!P6</f>
        <v>87</v>
      </c>
      <c r="O6" s="29">
        <f ca="1">Medea!R6</f>
        <v>88</v>
      </c>
      <c r="P6" s="111">
        <f ca="1">Medea!S6</f>
        <v>24</v>
      </c>
      <c r="Q6" s="111">
        <f ca="1">Medea!T6</f>
        <v>6</v>
      </c>
      <c r="R6" s="111">
        <f ca="1">Medea!U6</f>
        <v>84</v>
      </c>
      <c r="S6" s="29">
        <f ca="1">Medea!V6</f>
        <v>0</v>
      </c>
      <c r="T6" s="111">
        <f ca="1">Medea!W6</f>
        <v>0</v>
      </c>
      <c r="U6" s="29">
        <f ca="1">Medea!X6</f>
        <v>6</v>
      </c>
      <c r="V6" s="111">
        <f ca="1">ROUND(Medea!Y6,0)</f>
        <v>258</v>
      </c>
      <c r="W6" s="112">
        <f ca="1">Medea!Z6</f>
        <v>0</v>
      </c>
      <c r="X6" s="107">
        <f>Medea!AF6</f>
        <v>0</v>
      </c>
      <c r="Y6" s="37">
        <f ca="1">Medea!AA6</f>
        <v>1</v>
      </c>
      <c r="Z6" s="37">
        <f ca="1">Medea!AB6</f>
        <v>1</v>
      </c>
      <c r="AA6" s="37">
        <f ca="1">Medea!AC6</f>
        <v>1</v>
      </c>
      <c r="AB6" s="37">
        <f ca="1">Medea!AD6</f>
        <v>2.9318181818181817</v>
      </c>
      <c r="AC6" s="114">
        <f ca="1">Medea!AE6</f>
        <v>6450</v>
      </c>
      <c r="AD6" s="115"/>
      <c r="AE6" s="115"/>
    </row>
    <row r="7" spans="1:31">
      <c r="A7" s="106" t="e">
        <f>#REF!</f>
        <v>#REF!</v>
      </c>
      <c r="B7" s="108" t="e">
        <f>#REF!</f>
        <v>#REF!</v>
      </c>
      <c r="C7" s="108" t="e">
        <f>#REF!</f>
        <v>#REF!</v>
      </c>
      <c r="D7" s="107" t="e">
        <f>#REF!</f>
        <v>#REF!</v>
      </c>
      <c r="E7" s="107" t="e">
        <f>#REF!</f>
        <v>#REF!</v>
      </c>
      <c r="F7" s="107" t="e">
        <f>#REF!</f>
        <v>#REF!</v>
      </c>
      <c r="G7" s="107" t="e">
        <f>#REF!</f>
        <v>#REF!</v>
      </c>
      <c r="H7" s="107" t="e">
        <f>#REF!</f>
        <v>#REF!</v>
      </c>
      <c r="I7" s="107" t="e">
        <f>#REF!</f>
        <v>#REF!</v>
      </c>
      <c r="J7" s="107">
        <v>404</v>
      </c>
      <c r="K7" s="107" t="e">
        <f>#REF!</f>
        <v>#REF!</v>
      </c>
      <c r="L7" s="107" t="e">
        <f>#REF!</f>
        <v>#REF!</v>
      </c>
      <c r="M7" s="110" t="e">
        <f>#REF!</f>
        <v>#REF!</v>
      </c>
      <c r="N7" s="107" t="e">
        <f>#REF!</f>
        <v>#REF!</v>
      </c>
      <c r="O7" s="29" t="e">
        <f>#REF!</f>
        <v>#REF!</v>
      </c>
      <c r="P7" s="111" t="e">
        <f>#REF!</f>
        <v>#REF!</v>
      </c>
      <c r="Q7" s="111" t="e">
        <f>#REF!</f>
        <v>#REF!</v>
      </c>
      <c r="R7" s="111" t="e">
        <f>#REF!</f>
        <v>#REF!</v>
      </c>
      <c r="S7" s="29" t="e">
        <f>#REF!</f>
        <v>#REF!</v>
      </c>
      <c r="T7" s="111" t="e">
        <f>#REF!</f>
        <v>#REF!</v>
      </c>
      <c r="U7" s="29" t="e">
        <f>#REF!</f>
        <v>#REF!</v>
      </c>
      <c r="V7" s="111" t="e">
        <f>ROUND(#REF!,0)</f>
        <v>#REF!</v>
      </c>
      <c r="W7" s="112" t="e">
        <f>#REF!</f>
        <v>#REF!</v>
      </c>
      <c r="X7" s="107" t="e">
        <f>#REF!</f>
        <v>#REF!</v>
      </c>
      <c r="Y7" s="37" t="e">
        <f>#REF!</f>
        <v>#REF!</v>
      </c>
      <c r="Z7" s="37" t="e">
        <f>#REF!</f>
        <v>#REF!</v>
      </c>
      <c r="AA7" s="37" t="e">
        <f>#REF!</f>
        <v>#REF!</v>
      </c>
      <c r="AB7" s="37" t="e">
        <f>#REF!</f>
        <v>#REF!</v>
      </c>
      <c r="AC7" s="114" t="e">
        <f>#REF!</f>
        <v>#REF!</v>
      </c>
      <c r="AD7" s="115"/>
      <c r="AE7" s="115"/>
    </row>
    <row r="8" spans="1:31" s="102" customFormat="1">
      <c r="A8" s="106" t="str">
        <f>CompassRePlatform!A5</f>
        <v>CompassRePlatform</v>
      </c>
      <c r="B8" s="108" t="str">
        <f>CompassRePlatform!B5</f>
        <v>Overall</v>
      </c>
      <c r="C8" s="108" t="str">
        <f>CompassRePlatform!C5</f>
        <v>Overall</v>
      </c>
      <c r="D8" s="107">
        <f ca="1">CompassRePlatform!D5</f>
        <v>8</v>
      </c>
      <c r="E8" s="107">
        <f ca="1">CompassRePlatform!H5</f>
        <v>2584</v>
      </c>
      <c r="F8" s="107">
        <f ca="1">CompassRePlatform!I5</f>
        <v>2584</v>
      </c>
      <c r="G8" s="107">
        <f ca="1">CompassRePlatform!Q5</f>
        <v>0</v>
      </c>
      <c r="H8" s="107">
        <f ca="1">CompassRePlatform!J5</f>
        <v>2584</v>
      </c>
      <c r="I8" s="107">
        <f ca="1">CompassRePlatform!K5</f>
        <v>0</v>
      </c>
      <c r="J8" s="107">
        <f ca="1">CompassRePlatform!L5</f>
        <v>0</v>
      </c>
      <c r="K8" s="107">
        <f ca="1">CompassRePlatform!M5</f>
        <v>0</v>
      </c>
      <c r="L8" s="107">
        <f ca="1">CompassRePlatform!N5</f>
        <v>116</v>
      </c>
      <c r="M8" s="110">
        <f ca="1">CompassRePlatform!O5</f>
        <v>2584</v>
      </c>
      <c r="N8" s="107">
        <f ca="1">CompassRePlatform!P5</f>
        <v>1147</v>
      </c>
      <c r="O8" s="29">
        <f ca="1">CompassRePlatform!R5</f>
        <v>917.59999999999991</v>
      </c>
      <c r="P8" s="111">
        <f ca="1">CompassRePlatform!S5</f>
        <v>0</v>
      </c>
      <c r="Q8" s="111">
        <f ca="1">CompassRePlatform!T5</f>
        <v>32</v>
      </c>
      <c r="R8" s="111">
        <f ca="1">CompassRePlatform!U5</f>
        <v>0</v>
      </c>
      <c r="S8" s="29">
        <f ca="1">CompassRePlatform!V5</f>
        <v>0</v>
      </c>
      <c r="T8" s="111">
        <f ca="1">CompassRePlatform!W5</f>
        <v>0</v>
      </c>
      <c r="U8" s="29">
        <f ca="1">CompassRePlatform!X5</f>
        <v>32</v>
      </c>
      <c r="V8" s="111">
        <f ca="1">ROUND(CompassRePlatform!Y5,0)</f>
        <v>886</v>
      </c>
      <c r="W8" s="112">
        <f ca="1">CompassRePlatform!Z5</f>
        <v>0</v>
      </c>
      <c r="X8" s="107">
        <f>CompassRePlatform!AF5</f>
        <v>0</v>
      </c>
      <c r="Y8" s="37">
        <f ca="1">CompassRePlatform!AA5</f>
        <v>1</v>
      </c>
      <c r="Z8" s="37">
        <f ca="1">CompassRePlatform!AB5</f>
        <v>1</v>
      </c>
      <c r="AA8" s="37">
        <f ca="1">CompassRePlatform!AC5</f>
        <v>5.5485681114551086E-2</v>
      </c>
      <c r="AB8" s="37">
        <f ca="1">CompassRePlatform!AD5</f>
        <v>0.96512641673931998</v>
      </c>
      <c r="AC8" s="114">
        <f ca="1">CompassRePlatform!AE5</f>
        <v>22140</v>
      </c>
      <c r="AD8" s="116"/>
      <c r="AE8" s="116"/>
    </row>
    <row r="9" spans="1:31" s="102" customFormat="1">
      <c r="A9" s="106" t="str">
        <f>GTM!A6</f>
        <v>GTM</v>
      </c>
      <c r="B9" s="107" t="str">
        <f>GTM!B6</f>
        <v>Overall</v>
      </c>
      <c r="C9" s="107" t="str">
        <f>GTM!C6</f>
        <v>Overall</v>
      </c>
      <c r="D9" s="107">
        <f ca="1">GTM!D6</f>
        <v>3</v>
      </c>
      <c r="E9" s="107">
        <f ca="1">GTM!H6</f>
        <v>674</v>
      </c>
      <c r="F9" s="107">
        <f ca="1">GTM!I6</f>
        <v>674</v>
      </c>
      <c r="G9" s="107">
        <f ca="1">GTM!Q6</f>
        <v>212</v>
      </c>
      <c r="H9" s="107">
        <f ca="1">GTM!J6</f>
        <v>674</v>
      </c>
      <c r="I9" s="107">
        <f ca="1">GTM!K6</f>
        <v>674</v>
      </c>
      <c r="J9" s="107">
        <f ca="1">GTM!L6</f>
        <v>7</v>
      </c>
      <c r="K9" s="107">
        <f ca="1">GTM!M6</f>
        <v>94</v>
      </c>
      <c r="L9" s="107">
        <f ca="1">GTM!N6</f>
        <v>132</v>
      </c>
      <c r="M9" s="110">
        <f ca="1">GTM!O6</f>
        <v>667</v>
      </c>
      <c r="N9" s="107">
        <f ca="1">GTM!P6</f>
        <v>1396</v>
      </c>
      <c r="O9" s="29">
        <f ca="1">GTM!R6</f>
        <v>844.8</v>
      </c>
      <c r="P9" s="111">
        <f>GTM!S6</f>
        <v>48</v>
      </c>
      <c r="Q9" s="111">
        <f>GTM!T6</f>
        <v>4</v>
      </c>
      <c r="R9" s="111">
        <f>GTM!U6</f>
        <v>0</v>
      </c>
      <c r="S9" s="29">
        <f ca="1">GTM!V6</f>
        <v>0</v>
      </c>
      <c r="T9" s="111">
        <f ca="1">GTM!W6</f>
        <v>0</v>
      </c>
      <c r="U9" s="29">
        <f ca="1">GTM!X6</f>
        <v>4</v>
      </c>
      <c r="V9" s="111">
        <f ca="1">ROUND(GTM!Y6,0)</f>
        <v>841</v>
      </c>
      <c r="W9" s="112">
        <f ca="1">GTM!Z6</f>
        <v>0</v>
      </c>
      <c r="X9" s="107">
        <f>GTM!AF6</f>
        <v>0</v>
      </c>
      <c r="Y9" s="37">
        <f ca="1">GTM!AA6</f>
        <v>1</v>
      </c>
      <c r="Z9" s="37">
        <f ca="1">GTM!AB6</f>
        <v>1</v>
      </c>
      <c r="AA9" s="37">
        <f ca="1">GTM!AC6</f>
        <v>0.69765117441279356</v>
      </c>
      <c r="AB9" s="37">
        <f ca="1">GTM!AD6</f>
        <v>0.99526515151515149</v>
      </c>
      <c r="AC9" s="114">
        <f ca="1">GTM!AE6</f>
        <v>55540</v>
      </c>
      <c r="AD9" s="116"/>
      <c r="AE9" s="116"/>
    </row>
    <row r="10" spans="1:31">
      <c r="A10" s="106" t="str">
        <f>TBT!A6</f>
        <v>TBT and RSG</v>
      </c>
      <c r="B10" s="108" t="str">
        <f>TBT!B6</f>
        <v>Overall</v>
      </c>
      <c r="C10" s="108" t="str">
        <f>TBT!C6</f>
        <v>Overall</v>
      </c>
      <c r="D10" s="107">
        <f ca="1">TBT!D6</f>
        <v>3</v>
      </c>
      <c r="E10" s="107">
        <f ca="1">TBT!H6</f>
        <v>178</v>
      </c>
      <c r="F10" s="107">
        <f ca="1">TBT!I6</f>
        <v>178</v>
      </c>
      <c r="G10" s="107">
        <f ca="1">TBT!Q6</f>
        <v>6</v>
      </c>
      <c r="H10" s="107">
        <f ca="1">TBT!J6</f>
        <v>178</v>
      </c>
      <c r="I10" s="107">
        <f ca="1">TBT!K6</f>
        <v>173</v>
      </c>
      <c r="J10" s="107">
        <f ca="1">TBT!L6</f>
        <v>0</v>
      </c>
      <c r="K10" s="107">
        <f ca="1">TBT!M6</f>
        <v>1</v>
      </c>
      <c r="L10" s="107">
        <f ca="1">TBT!N6</f>
        <v>52</v>
      </c>
      <c r="M10" s="110">
        <f ca="1">TBT!O6</f>
        <v>173</v>
      </c>
      <c r="N10" s="107">
        <f ca="1">TBT!P6</f>
        <v>517</v>
      </c>
      <c r="O10" s="29">
        <f ca="1">TBT!R6</f>
        <v>413.6</v>
      </c>
      <c r="P10" s="107">
        <f ca="1">TBT!S6</f>
        <v>38</v>
      </c>
      <c r="Q10" s="107">
        <f ca="1">TBT!T6</f>
        <v>20</v>
      </c>
      <c r="R10" s="107">
        <f ca="1">TBT!U6</f>
        <v>84</v>
      </c>
      <c r="S10" s="29">
        <f ca="1">TBT!V6</f>
        <v>0</v>
      </c>
      <c r="T10" s="107">
        <f ca="1">TBT!W6</f>
        <v>0</v>
      </c>
      <c r="U10" s="29">
        <f ca="1">TBT!X6</f>
        <v>20</v>
      </c>
      <c r="V10" s="111">
        <f ca="1">ROUND(TBT!Y6,0)</f>
        <v>394</v>
      </c>
      <c r="W10" s="107">
        <f ca="1">TBT!Z6</f>
        <v>0</v>
      </c>
      <c r="X10" s="107">
        <f>TBT!AF6</f>
        <v>0</v>
      </c>
      <c r="Y10" s="37">
        <f ca="1">TBT!AA6</f>
        <v>1</v>
      </c>
      <c r="Z10" s="37">
        <f ca="1">TBT!AB6</f>
        <v>1</v>
      </c>
      <c r="AA10" s="37">
        <f ca="1">TBT!AC6</f>
        <v>0.9961464354527938</v>
      </c>
      <c r="AB10" s="37">
        <f ca="1">TBT!AD6</f>
        <v>0.95164410058027082</v>
      </c>
      <c r="AC10" s="114">
        <f ca="1">TBT!AE6</f>
        <v>9840</v>
      </c>
      <c r="AD10" s="117"/>
      <c r="AE10" s="117"/>
    </row>
    <row r="11" spans="1:31">
      <c r="A11" s="106">
        <f>RF_Mercury!A4</f>
        <v>0</v>
      </c>
      <c r="B11" s="107" t="str">
        <f>RF_Mercury!B4</f>
        <v>Overall</v>
      </c>
      <c r="C11" s="107" t="str">
        <f>RF_Mercury!C4</f>
        <v>Overall</v>
      </c>
      <c r="D11" s="107">
        <f ca="1">RF_Mercury!D4</f>
        <v>1</v>
      </c>
      <c r="E11" s="107">
        <f ca="1">RF_Mercury!H4</f>
        <v>404</v>
      </c>
      <c r="F11" s="107">
        <f ca="1">RF_Mercury!I4</f>
        <v>404</v>
      </c>
      <c r="G11" s="107">
        <f>RF_Mercury!Q4</f>
        <v>64</v>
      </c>
      <c r="H11" s="107">
        <f ca="1">RF_Mercury!J4</f>
        <v>404</v>
      </c>
      <c r="I11" s="107">
        <f ca="1">RF_Mercury!K4</f>
        <v>404</v>
      </c>
      <c r="J11" s="107">
        <f ca="1">RF_Mercury!L4</f>
        <v>0</v>
      </c>
      <c r="K11" s="107">
        <f>RF_Mercury!M4</f>
        <v>126</v>
      </c>
      <c r="L11" s="107">
        <f>RF_Mercury!N4</f>
        <v>10</v>
      </c>
      <c r="M11" s="110">
        <f ca="1">RF_Mercury!O4</f>
        <v>404</v>
      </c>
      <c r="N11" s="107">
        <f>RF_Mercury!P4</f>
        <v>404</v>
      </c>
      <c r="O11" s="29">
        <f>RF_Mercury!R4</f>
        <v>444.8</v>
      </c>
      <c r="P11" s="111">
        <f>RF_Mercury!S4</f>
        <v>40</v>
      </c>
      <c r="Q11" s="111">
        <f>RF_Mercury!T4</f>
        <v>16</v>
      </c>
      <c r="R11" s="111">
        <f>RF_Mercury!U4</f>
        <v>8</v>
      </c>
      <c r="S11" s="29">
        <f ca="1">RF_Mercury!V4</f>
        <v>0</v>
      </c>
      <c r="T11" s="111">
        <f ca="1">RF_Mercury!W4</f>
        <v>0</v>
      </c>
      <c r="U11" s="29">
        <f>RF_Mercury!X4</f>
        <v>8</v>
      </c>
      <c r="V11" s="111">
        <f>ROUND(RF_Mercury!Y4,0)</f>
        <v>437</v>
      </c>
      <c r="W11" s="112">
        <f ca="1">RF_Mercury!Z4</f>
        <v>0</v>
      </c>
      <c r="X11" s="107">
        <f>RF_Mercury!AF4</f>
        <v>0</v>
      </c>
      <c r="Y11" s="37">
        <f ca="1">RF_Mercury!AA4</f>
        <v>1</v>
      </c>
      <c r="Z11" s="37">
        <f ca="1">RF_Mercury!AB4</f>
        <v>1</v>
      </c>
      <c r="AA11" s="37">
        <f ca="1">RF_Mercury!AC4</f>
        <v>1</v>
      </c>
      <c r="AB11" s="37">
        <f>RF_Mercury!AD4</f>
        <v>0.98201438848920863</v>
      </c>
      <c r="AC11" s="114">
        <f>RF_Mercury!AE4</f>
        <v>10920</v>
      </c>
      <c r="AD11" s="115"/>
      <c r="AE11" s="115"/>
    </row>
    <row r="12" spans="1:31">
      <c r="A12" s="106" t="str">
        <f>USH_EzRez!A4</f>
        <v>USH EzRez</v>
      </c>
      <c r="B12" s="107" t="str">
        <f>USH_EzRez!B4</f>
        <v>Overall</v>
      </c>
      <c r="C12" s="107" t="str">
        <f>USH_EzRez!C4</f>
        <v>Overall</v>
      </c>
      <c r="D12" s="107">
        <f ca="1">USH_EzRez!D4</f>
        <v>1</v>
      </c>
      <c r="E12" s="107">
        <f ca="1">USH_EzRez!H4</f>
        <v>131</v>
      </c>
      <c r="F12" s="107">
        <f ca="1">USH_EzRez!I4</f>
        <v>131</v>
      </c>
      <c r="G12" s="107">
        <f ca="1">USH_EzRez!Q4</f>
        <v>0</v>
      </c>
      <c r="H12" s="107">
        <f ca="1">USH_EzRez!J4</f>
        <v>131</v>
      </c>
      <c r="I12" s="107">
        <f ca="1">USH_EzRez!K4</f>
        <v>131</v>
      </c>
      <c r="J12" s="107">
        <f ca="1">USH_EzRez!L4</f>
        <v>0</v>
      </c>
      <c r="K12" s="107">
        <f ca="1">USH_EzRez!M4</f>
        <v>0</v>
      </c>
      <c r="L12" s="107">
        <f ca="1">USH_EzRez!N4</f>
        <v>0</v>
      </c>
      <c r="M12" s="110">
        <f ca="1">USH_EzRez!O4</f>
        <v>131</v>
      </c>
      <c r="N12" s="107">
        <f ca="1">USH_EzRez!P4</f>
        <v>50</v>
      </c>
      <c r="O12" s="29">
        <f ca="1">USH_EzRez!R4</f>
        <v>20</v>
      </c>
      <c r="P12" s="111">
        <f ca="1">USH_EzRez!S4</f>
        <v>4</v>
      </c>
      <c r="Q12" s="111">
        <f ca="1">USH_EzRez!T4</f>
        <v>1</v>
      </c>
      <c r="R12" s="111">
        <f ca="1">USH_EzRez!U4</f>
        <v>0</v>
      </c>
      <c r="S12" s="29">
        <f ca="1">USH_EzRez!V4</f>
        <v>0</v>
      </c>
      <c r="T12" s="111">
        <f ca="1">USH_EzRez!W4</f>
        <v>0</v>
      </c>
      <c r="U12" s="29">
        <f ca="1">USH_EzRez!X4</f>
        <v>1</v>
      </c>
      <c r="V12" s="111">
        <f ca="1">ROUND(USH_EzRez!Y4,0)</f>
        <v>19</v>
      </c>
      <c r="W12" s="112">
        <f ca="1">USH_EzRez!Z4</f>
        <v>1</v>
      </c>
      <c r="X12" s="107">
        <f>USH_EzRez!AF4</f>
        <v>0</v>
      </c>
      <c r="Y12" s="37">
        <f ca="1">USH_EzRez!AA4</f>
        <v>1</v>
      </c>
      <c r="Z12" s="37">
        <f ca="1">USH_EzRez!AB4</f>
        <v>1</v>
      </c>
      <c r="AA12" s="37">
        <f ca="1">USH_EzRez!AC4</f>
        <v>0.38167938931297712</v>
      </c>
      <c r="AB12" s="37">
        <f ca="1">USH_EzRez!AD4</f>
        <v>0.95</v>
      </c>
      <c r="AC12" s="114">
        <f ca="1">USH_EzRez!AE4</f>
        <v>475</v>
      </c>
      <c r="AD12" s="115"/>
      <c r="AE12" s="115"/>
    </row>
    <row r="13" spans="1:31" s="102" customFormat="1">
      <c r="A13" s="106" t="str">
        <f>'USH OmniBasket'!A4</f>
        <v>USH OmniBasket</v>
      </c>
      <c r="B13" s="107" t="str">
        <f>'USH OmniBasket'!B4</f>
        <v>Overall</v>
      </c>
      <c r="C13" s="107" t="str">
        <f>'USH OmniBasket'!C4</f>
        <v>Overall</v>
      </c>
      <c r="D13" s="107">
        <f ca="1">'USH OmniBasket'!D4</f>
        <v>310</v>
      </c>
      <c r="E13" s="107">
        <f ca="1">'USH OmniBasket'!H4</f>
        <v>149</v>
      </c>
      <c r="F13" s="107">
        <f ca="1">'USH OmniBasket'!I4</f>
        <v>149</v>
      </c>
      <c r="G13" s="107">
        <f ca="1">'USH OmniBasket'!Q4</f>
        <v>0</v>
      </c>
      <c r="H13" s="107">
        <f ca="1">'USH OmniBasket'!J4</f>
        <v>149</v>
      </c>
      <c r="I13" s="107">
        <f ca="1">'USH OmniBasket'!K4</f>
        <v>149</v>
      </c>
      <c r="J13" s="107">
        <f ca="1">'USH OmniBasket'!L4</f>
        <v>5</v>
      </c>
      <c r="K13" s="107">
        <f ca="1">'USH OmniBasket'!M4</f>
        <v>0</v>
      </c>
      <c r="L13" s="107">
        <f ca="1">'USH OmniBasket'!N4</f>
        <v>0</v>
      </c>
      <c r="M13" s="110">
        <f ca="1">'USH OmniBasket'!O4</f>
        <v>144</v>
      </c>
      <c r="N13" s="107">
        <f ca="1">'USH OmniBasket'!P4</f>
        <v>6600</v>
      </c>
      <c r="O13" s="29">
        <f ca="1">'USH OmniBasket'!R4</f>
        <v>8800</v>
      </c>
      <c r="P13" s="111">
        <f ca="1">'USH OmniBasket'!S4</f>
        <v>126</v>
      </c>
      <c r="Q13" s="111">
        <f ca="1">'USH OmniBasket'!T4</f>
        <v>57</v>
      </c>
      <c r="R13" s="111">
        <f ca="1">'USH OmniBasket'!U4</f>
        <v>0</v>
      </c>
      <c r="S13" s="29">
        <f ca="1">'USH OmniBasket'!V4</f>
        <v>0</v>
      </c>
      <c r="T13" s="111">
        <f ca="1">'USH OmniBasket'!W4</f>
        <v>0</v>
      </c>
      <c r="U13" s="29" t="s">
        <v>78</v>
      </c>
      <c r="V13" s="111">
        <f ca="1">ROUND('USH OmniBasket'!Y4,0)</f>
        <v>8743</v>
      </c>
      <c r="W13" s="112">
        <f ca="1">'USH OmniBasket'!Z4</f>
        <v>0</v>
      </c>
      <c r="X13" s="107">
        <f>'USH OmniBasket'!AF4</f>
        <v>0</v>
      </c>
      <c r="Y13" s="37">
        <f ca="1">'USH OmniBasket'!AA4</f>
        <v>1</v>
      </c>
      <c r="Z13" s="37">
        <f ca="1">'USH OmniBasket'!AB4</f>
        <v>1</v>
      </c>
      <c r="AA13" s="37">
        <f ca="1">'USH OmniBasket'!AC4</f>
        <v>0.14784946236559141</v>
      </c>
      <c r="AB13" s="37">
        <f ca="1">'USH OmniBasket'!AD4</f>
        <v>0.99352272727272728</v>
      </c>
      <c r="AC13" s="114">
        <f ca="1">'USH OmniBasket'!AE4</f>
        <v>218575</v>
      </c>
      <c r="AD13" s="116"/>
      <c r="AE13" s="116"/>
    </row>
    <row r="14" spans="1:31" s="102" customFormat="1">
      <c r="A14" s="104" t="str">
        <f>TicketingPOS!A4</f>
        <v>TicketingPOS</v>
      </c>
      <c r="B14" s="107" t="str">
        <f>TicketingPOS!B4</f>
        <v>Overall</v>
      </c>
      <c r="C14" s="107" t="str">
        <f>TicketingPOS!C4</f>
        <v>Overall</v>
      </c>
      <c r="D14" s="107">
        <f>TicketingPOS!D4</f>
        <v>1</v>
      </c>
      <c r="E14" s="107">
        <f ca="1">TicketingPOS!H4</f>
        <v>178</v>
      </c>
      <c r="F14" s="107">
        <f ca="1">TicketingPOS!I4</f>
        <v>178</v>
      </c>
      <c r="G14" s="107">
        <f ca="1">TicketingPOS!Q4</f>
        <v>0</v>
      </c>
      <c r="H14" s="107">
        <f ca="1">TicketingPOS!J4</f>
        <v>178</v>
      </c>
      <c r="I14" s="107">
        <f ca="1">TicketingPOS!K4</f>
        <v>178</v>
      </c>
      <c r="J14" s="107">
        <f ca="1">TicketingPOS!L4</f>
        <v>26</v>
      </c>
      <c r="K14" s="107">
        <f ca="1">TicketingPOS!M4</f>
        <v>0</v>
      </c>
      <c r="L14" s="107">
        <f ca="1">TicketingPOS!N4</f>
        <v>4</v>
      </c>
      <c r="M14" s="110">
        <f ca="1">TicketingPOS!O4</f>
        <v>152</v>
      </c>
      <c r="N14" s="107">
        <f ca="1">TicketingPOS!P4</f>
        <v>4</v>
      </c>
      <c r="O14" s="29">
        <f ca="1">TicketingPOS!R4</f>
        <v>5.333333333333333</v>
      </c>
      <c r="P14" s="111">
        <f ca="1">TicketingPOS!S4</f>
        <v>0</v>
      </c>
      <c r="Q14" s="111">
        <f ca="1">TicketingPOS!T4</f>
        <v>0</v>
      </c>
      <c r="R14" s="111">
        <f ca="1">TicketingPOS!U4</f>
        <v>8</v>
      </c>
      <c r="S14" s="29">
        <f ca="1">TicketingPOS!V4</f>
        <v>0</v>
      </c>
      <c r="T14" s="111">
        <f ca="1">TicketingPOS!W4</f>
        <v>0</v>
      </c>
      <c r="U14" s="29">
        <f ca="1">TicketingPOS!X4</f>
        <v>0</v>
      </c>
      <c r="V14" s="111">
        <f ca="1">ROUND(TicketingPOS!Y4,0)</f>
        <v>5</v>
      </c>
      <c r="W14" s="112">
        <f ca="1">TicketingPOS!Z4</f>
        <v>1</v>
      </c>
      <c r="X14" s="107">
        <f>TicketingPOS!AF4</f>
        <v>0</v>
      </c>
      <c r="Y14" s="37">
        <f ca="1">TicketingPOS!AA4</f>
        <v>1</v>
      </c>
      <c r="Z14" s="37">
        <f ca="1">TicketingPOS!AB4</f>
        <v>1</v>
      </c>
      <c r="AA14" s="37">
        <f ca="1">TicketingPOS!AC4</f>
        <v>2.6315789473684209E-2</v>
      </c>
      <c r="AB14" s="37">
        <f ca="1">TicketingPOS!AD4</f>
        <v>1</v>
      </c>
      <c r="AC14" s="114">
        <f ca="1">TicketingPOS!AE4</f>
        <v>133.33333333333331</v>
      </c>
      <c r="AD14" s="116"/>
      <c r="AE14" s="116"/>
    </row>
    <row r="15" spans="1:31">
      <c r="A15" s="106" t="str">
        <f>WideOrbit!A16</f>
        <v>WideOrbit</v>
      </c>
      <c r="B15" s="108" t="str">
        <f>WideOrbit!B16</f>
        <v>Overall</v>
      </c>
      <c r="C15" s="108" t="str">
        <f>WideOrbit!C16</f>
        <v>Overall</v>
      </c>
      <c r="D15" s="107">
        <f ca="1">WideOrbit!D16</f>
        <v>13</v>
      </c>
      <c r="E15" s="107">
        <f ca="1">WideOrbit!H16</f>
        <v>406</v>
      </c>
      <c r="F15" s="107">
        <f ca="1">WideOrbit!I16</f>
        <v>406</v>
      </c>
      <c r="G15" s="107">
        <f ca="1">WideOrbit!Q16</f>
        <v>415</v>
      </c>
      <c r="H15" s="107">
        <f ca="1">WideOrbit!J16</f>
        <v>406</v>
      </c>
      <c r="I15" s="107">
        <f ca="1">WideOrbit!K16</f>
        <v>406</v>
      </c>
      <c r="J15" s="107">
        <f ca="1">WideOrbit!L16</f>
        <v>0</v>
      </c>
      <c r="K15" s="107">
        <f ca="1">WideOrbit!M16</f>
        <v>74</v>
      </c>
      <c r="L15" s="107">
        <f ca="1">WideOrbit!N16</f>
        <v>92</v>
      </c>
      <c r="M15" s="110">
        <f ca="1">WideOrbit!O16</f>
        <v>406</v>
      </c>
      <c r="N15" s="107">
        <f ca="1">WideOrbit!P16</f>
        <v>1545</v>
      </c>
      <c r="O15" s="29">
        <f ca="1">WideOrbit!R16</f>
        <v>1030</v>
      </c>
      <c r="P15" s="107">
        <f ca="1">WideOrbit!S16</f>
        <v>193</v>
      </c>
      <c r="Q15" s="107">
        <f ca="1">WideOrbit!T16</f>
        <v>44.5</v>
      </c>
      <c r="R15" s="107">
        <f ca="1">WideOrbit!U16</f>
        <v>93</v>
      </c>
      <c r="S15" s="29">
        <f ca="1">WideOrbit!V16</f>
        <v>34.666666666666664</v>
      </c>
      <c r="T15" s="107">
        <f ca="1">WideOrbit!W16</f>
        <v>0</v>
      </c>
      <c r="U15" s="29">
        <f ca="1">WideOrbit!X16</f>
        <v>244.16666666666669</v>
      </c>
      <c r="V15" s="111">
        <f ca="1">ROUND(WideOrbit!Y16,0)</f>
        <v>786</v>
      </c>
      <c r="W15" s="107">
        <f ca="1">WideOrbit!Z16</f>
        <v>11</v>
      </c>
      <c r="X15" s="107">
        <f>WideOrbit!AF16</f>
        <v>0</v>
      </c>
      <c r="Y15" s="37">
        <f ca="1">WideOrbit!AA16</f>
        <v>1</v>
      </c>
      <c r="Z15" s="37">
        <f ca="1">WideOrbit!AB16</f>
        <v>1</v>
      </c>
      <c r="AA15" s="37">
        <f ca="1">WideOrbit!AC16</f>
        <v>0.29272451686244788</v>
      </c>
      <c r="AB15" s="37">
        <f ca="1">WideOrbit!AD16</f>
        <v>0.76294498381877029</v>
      </c>
      <c r="AC15" s="114">
        <f ca="1">WideOrbit!AE16</f>
        <v>19645.833333333332</v>
      </c>
      <c r="AD15" s="117"/>
      <c r="AE15" s="117"/>
    </row>
    <row r="16" spans="1:31">
      <c r="A16" s="106" t="e">
        <f>#REF!</f>
        <v>#REF!</v>
      </c>
      <c r="B16" s="107" t="e">
        <f>#REF!</f>
        <v>#REF!</v>
      </c>
      <c r="C16" s="107" t="e">
        <f>#REF!</f>
        <v>#REF!</v>
      </c>
      <c r="D16" s="107" t="e">
        <f>#REF!</f>
        <v>#REF!</v>
      </c>
      <c r="E16" s="107" t="e">
        <f>#REF!</f>
        <v>#REF!</v>
      </c>
      <c r="F16" s="107" t="e">
        <f>#REF!</f>
        <v>#REF!</v>
      </c>
      <c r="G16" s="107" t="e">
        <f>#REF!</f>
        <v>#REF!</v>
      </c>
      <c r="H16" s="107" t="e">
        <f>#REF!</f>
        <v>#REF!</v>
      </c>
      <c r="I16" s="107" t="e">
        <f>#REF!</f>
        <v>#REF!</v>
      </c>
      <c r="J16" s="107" t="e">
        <f>#REF!</f>
        <v>#REF!</v>
      </c>
      <c r="K16" s="107" t="e">
        <f>#REF!</f>
        <v>#REF!</v>
      </c>
      <c r="L16" s="107" t="e">
        <f>#REF!</f>
        <v>#REF!</v>
      </c>
      <c r="M16" s="110" t="e">
        <f>#REF!</f>
        <v>#REF!</v>
      </c>
      <c r="N16" s="107" t="e">
        <f>#REF!</f>
        <v>#REF!</v>
      </c>
      <c r="O16" s="29" t="e">
        <f>#REF!</f>
        <v>#REF!</v>
      </c>
      <c r="P16" s="111" t="e">
        <f>#REF!</f>
        <v>#REF!</v>
      </c>
      <c r="Q16" s="111" t="e">
        <f>#REF!</f>
        <v>#REF!</v>
      </c>
      <c r="R16" s="111" t="e">
        <f>#REF!</f>
        <v>#REF!</v>
      </c>
      <c r="S16" s="29" t="e">
        <f>#REF!</f>
        <v>#REF!</v>
      </c>
      <c r="T16" s="111" t="e">
        <f>#REF!</f>
        <v>#REF!</v>
      </c>
      <c r="U16" s="29" t="e">
        <f>#REF!</f>
        <v>#REF!</v>
      </c>
      <c r="V16" s="111" t="e">
        <f>ROUND(#REF!,0)</f>
        <v>#REF!</v>
      </c>
      <c r="W16" s="107" t="e">
        <f>#REF!</f>
        <v>#REF!</v>
      </c>
      <c r="X16" s="107" t="e">
        <f>#REF!</f>
        <v>#REF!</v>
      </c>
      <c r="Y16" s="37" t="e">
        <f>#REF!</f>
        <v>#REF!</v>
      </c>
      <c r="Z16" s="37" t="e">
        <f>#REF!</f>
        <v>#REF!</v>
      </c>
      <c r="AA16" s="37" t="e">
        <f>#REF!</f>
        <v>#REF!</v>
      </c>
      <c r="AB16" s="37" t="e">
        <f>#REF!</f>
        <v>#REF!</v>
      </c>
      <c r="AC16" s="114" t="e">
        <f>#REF!</f>
        <v>#REF!</v>
      </c>
      <c r="AD16" s="117"/>
      <c r="AE16" s="117"/>
    </row>
    <row r="17" spans="1:31">
      <c r="A17" s="106" t="str">
        <f>CAR!A4</f>
        <v>CAR</v>
      </c>
      <c r="B17" s="108" t="str">
        <f>CAR!B4</f>
        <v>Overall</v>
      </c>
      <c r="C17" s="108" t="str">
        <f>CAR!C4</f>
        <v>Overall</v>
      </c>
      <c r="D17" s="107">
        <f ca="1">CAR!D4</f>
        <v>1</v>
      </c>
      <c r="E17" s="107">
        <f ca="1">CAR!H4</f>
        <v>239</v>
      </c>
      <c r="F17" s="107">
        <f ca="1">CAR!I4</f>
        <v>239</v>
      </c>
      <c r="G17" s="107">
        <f ca="1">CAR!Q4</f>
        <v>0</v>
      </c>
      <c r="H17" s="107">
        <f ca="1">CAR!J4</f>
        <v>239</v>
      </c>
      <c r="I17" s="107">
        <f ca="1">CAR!K4</f>
        <v>239</v>
      </c>
      <c r="J17" s="107">
        <f ca="1">CAR!L4</f>
        <v>0</v>
      </c>
      <c r="K17" s="107">
        <f ca="1">CAR!M4</f>
        <v>0</v>
      </c>
      <c r="L17" s="107">
        <f ca="1">CAR!N4</f>
        <v>40</v>
      </c>
      <c r="M17" s="110">
        <f ca="1">CAR!O4</f>
        <v>239</v>
      </c>
      <c r="N17" s="107">
        <f ca="1">CAR!P4</f>
        <v>239</v>
      </c>
      <c r="O17" s="29">
        <f ca="1">CAR!R4</f>
        <v>239</v>
      </c>
      <c r="P17" s="107">
        <f ca="1">CAR!S4</f>
        <v>8</v>
      </c>
      <c r="Q17" s="107">
        <f ca="1">CAR!T4</f>
        <v>6</v>
      </c>
      <c r="R17" s="107">
        <f ca="1">CAR!U4</f>
        <v>22</v>
      </c>
      <c r="S17" s="29">
        <f ca="1">CAR!V4</f>
        <v>0</v>
      </c>
      <c r="T17" s="107">
        <f ca="1">CAR!W4</f>
        <v>0</v>
      </c>
      <c r="U17" s="29">
        <f ca="1">CAR!X4</f>
        <v>6</v>
      </c>
      <c r="V17" s="111">
        <f ca="1">ROUND(CAR!Y4,0)</f>
        <v>233</v>
      </c>
      <c r="W17" s="107">
        <f ca="1">CAR!Z4</f>
        <v>1</v>
      </c>
      <c r="X17" s="107">
        <f>CAR!AF4</f>
        <v>0</v>
      </c>
      <c r="Y17" s="37">
        <f ca="1">CAR!AA4</f>
        <v>1</v>
      </c>
      <c r="Z17" s="37">
        <f ca="1">CAR!AB4</f>
        <v>1</v>
      </c>
      <c r="AA17" s="37">
        <f ca="1">CAR!AC4</f>
        <v>1</v>
      </c>
      <c r="AB17" s="37">
        <f ca="1">CAR!AD4</f>
        <v>0.97489539748953979</v>
      </c>
      <c r="AC17" s="114">
        <f ca="1">CAR!AE4</f>
        <v>5825</v>
      </c>
      <c r="AD17" s="117"/>
      <c r="AE17" s="117"/>
    </row>
    <row r="18" spans="1:31" s="102" customFormat="1" ht="14.25" customHeight="1">
      <c r="A18" s="106" t="str">
        <f>KAM!A4</f>
        <v>KAM</v>
      </c>
      <c r="B18" s="108" t="str">
        <f>KAM!B4</f>
        <v>Overall</v>
      </c>
      <c r="C18" s="108" t="str">
        <f>KAM!C4</f>
        <v>Overall</v>
      </c>
      <c r="D18" s="107">
        <f ca="1">KAM!D4</f>
        <v>1</v>
      </c>
      <c r="E18" s="107">
        <f ca="1">KAM!H4</f>
        <v>319</v>
      </c>
      <c r="F18" s="107">
        <f ca="1">KAM!I4</f>
        <v>309</v>
      </c>
      <c r="G18" s="107">
        <f ca="1">KAM!Q4</f>
        <v>0</v>
      </c>
      <c r="H18" s="107">
        <f ca="1">KAM!J4</f>
        <v>309</v>
      </c>
      <c r="I18" s="107">
        <f ca="1">KAM!K4</f>
        <v>309</v>
      </c>
      <c r="J18" s="107">
        <f ca="1">KAM!L4</f>
        <v>0</v>
      </c>
      <c r="K18" s="107">
        <f ca="1">KAM!M4</f>
        <v>0</v>
      </c>
      <c r="L18" s="107">
        <f ca="1">KAM!N4</f>
        <v>0</v>
      </c>
      <c r="M18" s="110">
        <f ca="1">KAM!O4</f>
        <v>309</v>
      </c>
      <c r="N18" s="107">
        <f ca="1">KAM!P4</f>
        <v>309</v>
      </c>
      <c r="O18" s="29">
        <f ca="1">KAM!R4</f>
        <v>309</v>
      </c>
      <c r="P18" s="107">
        <f ca="1">KAM!S4</f>
        <v>18</v>
      </c>
      <c r="Q18" s="107">
        <f ca="1">KAM!T4</f>
        <v>0</v>
      </c>
      <c r="R18" s="107">
        <f ca="1">KAM!U4</f>
        <v>0</v>
      </c>
      <c r="S18" s="29">
        <f ca="1">KAM!V4</f>
        <v>10</v>
      </c>
      <c r="T18" s="107">
        <f ca="1">KAM!W4</f>
        <v>0</v>
      </c>
      <c r="U18" s="29">
        <f ca="1">KAM!X4</f>
        <v>10</v>
      </c>
      <c r="V18" s="111">
        <f ca="1">ROUND(KAM!Y4,0)</f>
        <v>299</v>
      </c>
      <c r="W18" s="107">
        <f ca="1">KAM!Z4</f>
        <v>0</v>
      </c>
      <c r="X18" s="107">
        <f>KAM!AF4</f>
        <v>0</v>
      </c>
      <c r="Y18" s="37">
        <f ca="1">KAM!AA4</f>
        <v>1</v>
      </c>
      <c r="Z18" s="37">
        <f ca="1">KAM!AB4</f>
        <v>0.96865203761755481</v>
      </c>
      <c r="AA18" s="37">
        <f ca="1">KAM!AC4</f>
        <v>1</v>
      </c>
      <c r="AB18" s="37">
        <f ca="1">KAM!AD4</f>
        <v>0.96763754045307449</v>
      </c>
      <c r="AC18" s="114">
        <f ca="1">KAM!AE4</f>
        <v>7475</v>
      </c>
      <c r="AD18" s="118"/>
      <c r="AE18" s="118"/>
    </row>
    <row r="19" spans="1:31" s="102" customFormat="1" ht="14.25" customHeight="1">
      <c r="A19" s="106" t="str">
        <f>Finance!A4</f>
        <v>Finance</v>
      </c>
      <c r="B19" s="108" t="str">
        <f>Finance!B4</f>
        <v>Overall</v>
      </c>
      <c r="C19" s="108" t="str">
        <f>Finance!C4</f>
        <v>Overall</v>
      </c>
      <c r="D19" s="107">
        <f ca="1">Finance!D4</f>
        <v>4</v>
      </c>
      <c r="E19" s="107">
        <f ca="1">Finance!H4</f>
        <v>115</v>
      </c>
      <c r="F19" s="107">
        <f ca="1">Finance!I4</f>
        <v>115</v>
      </c>
      <c r="G19" s="107">
        <f ca="1">Finance!Q4</f>
        <v>0</v>
      </c>
      <c r="H19" s="107">
        <f ca="1">Finance!J4</f>
        <v>115</v>
      </c>
      <c r="I19" s="107">
        <f ca="1">Finance!K4</f>
        <v>115</v>
      </c>
      <c r="J19" s="107">
        <f ca="1">Finance!L4</f>
        <v>4</v>
      </c>
      <c r="K19" s="107">
        <f ca="1">Finance!M4</f>
        <v>0</v>
      </c>
      <c r="L19" s="107">
        <f ca="1">Finance!N4</f>
        <v>72</v>
      </c>
      <c r="M19" s="110">
        <f ca="1">Finance!O4</f>
        <v>111</v>
      </c>
      <c r="N19" s="107">
        <f ca="1">Finance!P4</f>
        <v>444</v>
      </c>
      <c r="O19" s="29">
        <f ca="1">Finance!R4</f>
        <v>888</v>
      </c>
      <c r="P19" s="107">
        <f ca="1">Finance!S4</f>
        <v>0</v>
      </c>
      <c r="Q19" s="107">
        <f ca="1">Finance!T4</f>
        <v>16</v>
      </c>
      <c r="R19" s="107">
        <f ca="1">Finance!U4</f>
        <v>152</v>
      </c>
      <c r="S19" s="29">
        <f ca="1">Finance!V4</f>
        <v>0</v>
      </c>
      <c r="T19" s="107">
        <f ca="1">Finance!W4</f>
        <v>0</v>
      </c>
      <c r="U19" s="29">
        <f ca="1">Finance!X4</f>
        <v>16</v>
      </c>
      <c r="V19" s="111">
        <f ca="1">ROUND(Finance!Y4,0)</f>
        <v>872</v>
      </c>
      <c r="W19" s="107">
        <f ca="1">Finance!Z4</f>
        <v>0</v>
      </c>
      <c r="X19" s="107">
        <f>Finance!AF4</f>
        <v>0</v>
      </c>
      <c r="Y19" s="37">
        <f ca="1">Finance!AA4</f>
        <v>1</v>
      </c>
      <c r="Z19" s="37">
        <f ca="1">Finance!AB4</f>
        <v>1</v>
      </c>
      <c r="AA19" s="37">
        <f ca="1">Finance!AC4</f>
        <v>1</v>
      </c>
      <c r="AB19" s="37">
        <f ca="1">Finance!AD4</f>
        <v>0.98198198198198194</v>
      </c>
      <c r="AC19" s="114">
        <f ca="1">Finance!AE4</f>
        <v>21800</v>
      </c>
      <c r="AD19" s="118"/>
      <c r="AE19" s="118"/>
    </row>
    <row r="20" spans="1:31" s="102" customFormat="1" ht="14.25" customHeight="1">
      <c r="A20" s="106" t="str">
        <f>Linearschedule_BulkCreate!A5</f>
        <v>LinearSchedule_BulkCreate</v>
      </c>
      <c r="B20" s="107" t="str">
        <f>Linearschedule_BulkCreate!B5</f>
        <v>Overall</v>
      </c>
      <c r="C20" s="107" t="str">
        <f>Linearschedule_BulkCreate!C5</f>
        <v>Overall</v>
      </c>
      <c r="D20" s="107">
        <f ca="1">Linearschedule_BulkCreate!D5</f>
        <v>8</v>
      </c>
      <c r="E20" s="107">
        <f ca="1">Linearschedule_BulkCreate!H5</f>
        <v>520</v>
      </c>
      <c r="F20" s="107">
        <f ca="1">Linearschedule_BulkCreate!I5</f>
        <v>464</v>
      </c>
      <c r="G20" s="107">
        <f>Linearschedule_BulkCreate!Q5</f>
        <v>72</v>
      </c>
      <c r="H20" s="107">
        <f ca="1">Linearschedule_BulkCreate!J5</f>
        <v>340</v>
      </c>
      <c r="I20" s="107">
        <f ca="1">Linearschedule_BulkCreate!K5</f>
        <v>340</v>
      </c>
      <c r="J20" s="107">
        <f ca="1">Linearschedule_BulkCreate!L5</f>
        <v>0</v>
      </c>
      <c r="K20" s="107">
        <f ca="1">Linearschedule_BulkCreate!M5</f>
        <v>660</v>
      </c>
      <c r="L20" s="107">
        <f ca="1">Linearschedule_BulkCreate!N5</f>
        <v>363</v>
      </c>
      <c r="M20" s="110">
        <f ca="1">Linearschedule_BulkCreate!O5</f>
        <v>6</v>
      </c>
      <c r="N20" s="107">
        <f ca="1">Linearschedule_BulkCreate!P5</f>
        <v>700</v>
      </c>
      <c r="O20" s="29">
        <f ca="1">Linearschedule_BulkCreate!R5</f>
        <v>672</v>
      </c>
      <c r="P20" s="107">
        <f ca="1">Linearschedule_BulkCreate!S5</f>
        <v>0</v>
      </c>
      <c r="Q20" s="107">
        <f ca="1">Linearschedule_BulkCreate!T5</f>
        <v>0</v>
      </c>
      <c r="R20" s="107">
        <f ca="1">Linearschedule_BulkCreate!U5</f>
        <v>184</v>
      </c>
      <c r="S20" s="29">
        <f ca="1">Linearschedule_BulkCreate!V5</f>
        <v>0</v>
      </c>
      <c r="T20" s="107">
        <f ca="1">Linearschedule_BulkCreate!W5</f>
        <v>0</v>
      </c>
      <c r="U20" s="29">
        <f ca="1">Linearschedule_BulkCreate!X5</f>
        <v>0</v>
      </c>
      <c r="V20" s="111">
        <f ca="1">ROUND(Linearschedule_BulkCreate!Y5,0)</f>
        <v>672</v>
      </c>
      <c r="W20" s="107">
        <f ca="1">Linearschedule_BulkCreate!Z5</f>
        <v>2</v>
      </c>
      <c r="X20" s="107">
        <f>Linearschedule_BulkCreate!AF5</f>
        <v>0</v>
      </c>
      <c r="Y20" s="37">
        <f ca="1">Linearschedule_BulkCreate!AA5</f>
        <v>0.73275862068965514</v>
      </c>
      <c r="Z20" s="37">
        <f ca="1">Linearschedule_BulkCreate!AB5</f>
        <v>0.65384615384615385</v>
      </c>
      <c r="AA20" s="37">
        <f ca="1">Linearschedule_BulkCreate!AC5</f>
        <v>14.583333333333334</v>
      </c>
      <c r="AB20" s="37">
        <f ca="1">Linearschedule_BulkCreate!AD5</f>
        <v>1</v>
      </c>
      <c r="AC20" s="119">
        <f ca="1">Linearschedule_BulkCreate!AE5</f>
        <v>16800</v>
      </c>
      <c r="AD20" s="118"/>
      <c r="AE20" s="118"/>
    </row>
    <row r="21" spans="1:31" s="102" customFormat="1" ht="14.25" customHeight="1">
      <c r="A21" s="106" t="str">
        <f>Score!A11</f>
        <v>Score</v>
      </c>
      <c r="B21" s="108" t="str">
        <f>Score!B11</f>
        <v>Overall</v>
      </c>
      <c r="C21" s="108" t="str">
        <f>Score!C11</f>
        <v>Overall</v>
      </c>
      <c r="D21" s="107">
        <f ca="1">Score!D11</f>
        <v>9</v>
      </c>
      <c r="E21" s="107">
        <f ca="1">Score!H11</f>
        <v>1436</v>
      </c>
      <c r="F21" s="107">
        <f ca="1">Score!I11</f>
        <v>1436</v>
      </c>
      <c r="G21" s="107">
        <f ca="1">Score!Q11</f>
        <v>0</v>
      </c>
      <c r="H21" s="107">
        <f ca="1">Score!J11</f>
        <v>471</v>
      </c>
      <c r="I21" s="107">
        <f>Score!K11</f>
        <v>471</v>
      </c>
      <c r="J21" s="107">
        <f>Score!L11</f>
        <v>0</v>
      </c>
      <c r="K21" s="107">
        <f ca="1">Score!M11</f>
        <v>0</v>
      </c>
      <c r="L21" s="107">
        <f ca="1">Score!N11</f>
        <v>0</v>
      </c>
      <c r="M21" s="110">
        <f ca="1">Score!O11</f>
        <v>471</v>
      </c>
      <c r="N21" s="107">
        <f ca="1">Score!P11</f>
        <v>1395</v>
      </c>
      <c r="O21" s="29">
        <f ca="1">Score!R11</f>
        <v>272</v>
      </c>
      <c r="P21" s="107">
        <f ca="1">Score!S11</f>
        <v>108</v>
      </c>
      <c r="Q21" s="107">
        <f ca="1">Score!T11</f>
        <v>0</v>
      </c>
      <c r="R21" s="107">
        <f ca="1">Score!U11</f>
        <v>0</v>
      </c>
      <c r="S21" s="29">
        <f ca="1">Score!V11</f>
        <v>0</v>
      </c>
      <c r="T21" s="107">
        <f ca="1">Score!W11</f>
        <v>0</v>
      </c>
      <c r="U21" s="29">
        <f ca="1">Score!X11</f>
        <v>108</v>
      </c>
      <c r="V21" s="111">
        <f ca="1">ROUND(Score!Y11,0)</f>
        <v>164</v>
      </c>
      <c r="W21" s="107">
        <f ca="1">Score!Z11</f>
        <v>0</v>
      </c>
      <c r="X21" s="107">
        <f>Score!AA11</f>
        <v>0</v>
      </c>
      <c r="Y21" s="37">
        <f ca="1">Score!AB11</f>
        <v>0.32799442896935932</v>
      </c>
      <c r="Z21" s="37">
        <f ca="1">Score!AC11</f>
        <v>0.32799442896935932</v>
      </c>
      <c r="AA21" s="37">
        <f ca="1">Score!AD11</f>
        <v>0.32908704883227174</v>
      </c>
      <c r="AB21" s="37">
        <f ca="1">Score!AE11</f>
        <v>0.6029411764705882</v>
      </c>
      <c r="AC21" s="114">
        <f ca="1">Score!AF11</f>
        <v>4100</v>
      </c>
      <c r="AD21" s="118"/>
      <c r="AE21" s="118"/>
    </row>
    <row r="22" spans="1:31" s="102" customFormat="1" ht="14.25" customHeight="1">
      <c r="A22" s="106" t="str">
        <f>DeptSystems!A12</f>
        <v>DeptSystems</v>
      </c>
      <c r="B22" s="108" t="str">
        <f>DeptSystems!B12</f>
        <v>Overall</v>
      </c>
      <c r="C22" s="108" t="str">
        <f>DeptSystems!C12</f>
        <v>Overall</v>
      </c>
      <c r="D22" s="107">
        <f ca="1">DeptSystems!D12</f>
        <v>5</v>
      </c>
      <c r="E22" s="107">
        <f ca="1">DeptSystems!H12</f>
        <v>311</v>
      </c>
      <c r="F22" s="107">
        <f ca="1">DeptSystems!I12</f>
        <v>311</v>
      </c>
      <c r="G22" s="107">
        <f ca="1">DeptSystems!Q12</f>
        <v>0</v>
      </c>
      <c r="H22" s="107">
        <f ca="1">DeptSystems!J12</f>
        <v>311</v>
      </c>
      <c r="I22" s="107">
        <f ca="1">DeptSystems!K12</f>
        <v>311</v>
      </c>
      <c r="J22" s="107">
        <f ca="1">DeptSystems!L12</f>
        <v>0</v>
      </c>
      <c r="K22" s="107">
        <f ca="1">DeptSystems!M12</f>
        <v>0</v>
      </c>
      <c r="L22" s="107">
        <f ca="1">DeptSystems!N12</f>
        <v>126</v>
      </c>
      <c r="M22" s="110">
        <f ca="1">DeptSystems!O12</f>
        <v>311</v>
      </c>
      <c r="N22" s="107">
        <f ca="1">DeptSystems!P12</f>
        <v>2358</v>
      </c>
      <c r="O22" s="29">
        <f ca="1">DeptSystems!R12</f>
        <v>460</v>
      </c>
      <c r="P22" s="107">
        <f ca="1">DeptSystems!S12</f>
        <v>215</v>
      </c>
      <c r="Q22" s="107">
        <f ca="1">DeptSystems!T12</f>
        <v>0</v>
      </c>
      <c r="R22" s="107">
        <f ca="1">DeptSystems!U12</f>
        <v>32</v>
      </c>
      <c r="S22" s="29">
        <f ca="1">DeptSystems!V12</f>
        <v>0</v>
      </c>
      <c r="T22" s="107">
        <f ca="1">DeptSystems!W12</f>
        <v>0</v>
      </c>
      <c r="U22" s="29">
        <f ca="1">DeptSystems!X12</f>
        <v>215</v>
      </c>
      <c r="V22" s="111">
        <f ca="1">ROUND(DeptSystems!Y12,0)</f>
        <v>245</v>
      </c>
      <c r="W22" s="107">
        <f ca="1">DeptSystems!Z12</f>
        <v>0</v>
      </c>
      <c r="X22" s="107">
        <f>DeptSystems!AA12</f>
        <v>0</v>
      </c>
      <c r="Y22" s="37">
        <f ca="1">DeptSystems!AB12</f>
        <v>1</v>
      </c>
      <c r="Z22" s="37">
        <f ca="1">DeptSystems!AC12</f>
        <v>1</v>
      </c>
      <c r="AA22" s="37">
        <f ca="1">DeptSystems!AD12</f>
        <v>1.5163987138263666</v>
      </c>
      <c r="AB22" s="37">
        <f ca="1">DeptSystems!AE12</f>
        <v>0.53260869565217395</v>
      </c>
      <c r="AC22" s="114">
        <f ca="1">DeptSystems!AF12</f>
        <v>6125</v>
      </c>
      <c r="AD22" s="118"/>
      <c r="AE22" s="118"/>
    </row>
    <row r="23" spans="1:31" s="102" customFormat="1" ht="14.25" customHeight="1">
      <c r="A23" s="106" t="str">
        <f>Sphere!A11</f>
        <v>Sphere</v>
      </c>
      <c r="B23" s="108" t="str">
        <f>Sphere!B11</f>
        <v>Overall</v>
      </c>
      <c r="C23" s="108" t="str">
        <f>Sphere!C11</f>
        <v>Overall</v>
      </c>
      <c r="D23" s="107">
        <f ca="1">Sphere!D11</f>
        <v>8</v>
      </c>
      <c r="E23" s="107">
        <f ca="1">Sphere!H11</f>
        <v>769</v>
      </c>
      <c r="F23" s="107">
        <f ca="1">Sphere!I11</f>
        <v>769</v>
      </c>
      <c r="G23" s="107">
        <f ca="1">Sphere!Q11</f>
        <v>0</v>
      </c>
      <c r="H23" s="107">
        <f ca="1">Sphere!J11</f>
        <v>769</v>
      </c>
      <c r="I23" s="107">
        <f ca="1">Sphere!K11</f>
        <v>769</v>
      </c>
      <c r="J23" s="107">
        <f ca="1">Sphere!L11</f>
        <v>0</v>
      </c>
      <c r="K23" s="107">
        <f ca="1">Sphere!M11</f>
        <v>0</v>
      </c>
      <c r="L23" s="107">
        <f ca="1">Sphere!N11</f>
        <v>25</v>
      </c>
      <c r="M23" s="110">
        <f ca="1">Sphere!O11</f>
        <v>769</v>
      </c>
      <c r="N23" s="107">
        <f ca="1">Sphere!P11</f>
        <v>749</v>
      </c>
      <c r="O23" s="29">
        <f ca="1">Sphere!R11</f>
        <v>206</v>
      </c>
      <c r="P23" s="107">
        <f ca="1">Sphere!S11</f>
        <v>93</v>
      </c>
      <c r="Q23" s="107">
        <f ca="1">Sphere!T11</f>
        <v>0</v>
      </c>
      <c r="R23" s="107">
        <f ca="1">Sphere!U11</f>
        <v>8</v>
      </c>
      <c r="S23" s="29">
        <f ca="1">Sphere!V11</f>
        <v>0</v>
      </c>
      <c r="T23" s="107">
        <f ca="1">Sphere!W11</f>
        <v>0</v>
      </c>
      <c r="U23" s="29">
        <f ca="1">Sphere!X11</f>
        <v>93</v>
      </c>
      <c r="V23" s="111">
        <f ca="1">ROUND(Sphere!Y11,0)</f>
        <v>113</v>
      </c>
      <c r="W23" s="107">
        <f ca="1">Sphere!Z11</f>
        <v>0</v>
      </c>
      <c r="X23" s="107">
        <f>Sphere!AA11</f>
        <v>0</v>
      </c>
      <c r="Y23" s="37">
        <f ca="1">Sphere!AB11</f>
        <v>1</v>
      </c>
      <c r="Z23" s="37">
        <f ca="1">Sphere!AC11</f>
        <v>1</v>
      </c>
      <c r="AA23" s="37">
        <f ca="1">Sphere!AD11</f>
        <v>0.12174902470741222</v>
      </c>
      <c r="AB23" s="37">
        <f ca="1">Sphere!AE11</f>
        <v>0.54854368932038833</v>
      </c>
      <c r="AC23" s="114">
        <f ca="1">Sphere!AF11</f>
        <v>2825</v>
      </c>
      <c r="AD23" s="118"/>
      <c r="AE23" s="118"/>
    </row>
    <row r="24" spans="1:31" s="102" customFormat="1" ht="14.25" customHeight="1">
      <c r="A24" s="106" t="str">
        <f>CAFE!A10</f>
        <v>CAFÉ</v>
      </c>
      <c r="B24" s="108" t="str">
        <f>CAFE!B10</f>
        <v>Overall</v>
      </c>
      <c r="C24" s="108" t="str">
        <f>CAFE!C10</f>
        <v>Overall</v>
      </c>
      <c r="D24" s="107">
        <f ca="1">CAFE!D10</f>
        <v>22</v>
      </c>
      <c r="E24" s="107">
        <f ca="1">CAFE!H10</f>
        <v>73</v>
      </c>
      <c r="F24" s="107">
        <f ca="1">CAFE!I10</f>
        <v>73</v>
      </c>
      <c r="G24" s="107">
        <f ca="1">CAFE!Q10</f>
        <v>102</v>
      </c>
      <c r="H24" s="107">
        <f ca="1">CAFE!J10</f>
        <v>73</v>
      </c>
      <c r="I24" s="107">
        <f ca="1">CAFE!K10</f>
        <v>73</v>
      </c>
      <c r="J24" s="107">
        <f ca="1">CAFE!L10</f>
        <v>0</v>
      </c>
      <c r="K24" s="107">
        <f ca="1">CAFE!M10</f>
        <v>11</v>
      </c>
      <c r="L24" s="107">
        <f ca="1">CAFE!N10</f>
        <v>36</v>
      </c>
      <c r="M24" s="110">
        <f ca="1">CAFE!O10</f>
        <v>68</v>
      </c>
      <c r="N24" s="107">
        <f ca="1">CAFE!P10</f>
        <v>464</v>
      </c>
      <c r="O24" s="29">
        <f ca="1">CAFE!R10</f>
        <v>5362</v>
      </c>
      <c r="P24" s="107">
        <f ca="1">CAFE!S10</f>
        <v>2761</v>
      </c>
      <c r="Q24" s="107">
        <f ca="1">CAFE!T10</f>
        <v>3</v>
      </c>
      <c r="R24" s="107">
        <f ca="1">CAFE!U10</f>
        <v>188</v>
      </c>
      <c r="S24" s="29">
        <f ca="1">CAFE!V10</f>
        <v>0</v>
      </c>
      <c r="T24" s="107">
        <f ca="1">CAFE!W10</f>
        <v>0</v>
      </c>
      <c r="U24" s="29">
        <f ca="1">CAFE!X10</f>
        <v>2764</v>
      </c>
      <c r="V24" s="111">
        <f ca="1">ROUND(CAFE!Y10,0)</f>
        <v>2598</v>
      </c>
      <c r="W24" s="107">
        <f ca="1">CAFE!Z10</f>
        <v>11</v>
      </c>
      <c r="X24" s="107">
        <f>CAFE!AA10</f>
        <v>0</v>
      </c>
      <c r="Y24" s="37">
        <f ca="1">CAFE!AB10</f>
        <v>1</v>
      </c>
      <c r="Z24" s="37">
        <f ca="1">CAFE!AC10</f>
        <v>1</v>
      </c>
      <c r="AA24" s="37">
        <f ca="1">CAFE!AD10</f>
        <v>0.31016042780748665</v>
      </c>
      <c r="AB24" s="37">
        <f ca="1">CAFE!AE10</f>
        <v>0.48452070123088398</v>
      </c>
      <c r="AC24" s="114">
        <f ca="1">CAFE!AF10</f>
        <v>64950</v>
      </c>
      <c r="AD24" s="118"/>
      <c r="AE24" s="118"/>
    </row>
    <row r="25" spans="1:31" s="102" customFormat="1" ht="14.25" customHeight="1">
      <c r="A25" s="106" t="str">
        <f>SAFE!A13</f>
        <v>SAFE</v>
      </c>
      <c r="B25" s="108" t="str">
        <f>SAFE!B13</f>
        <v>Overall</v>
      </c>
      <c r="C25" s="108" t="str">
        <f>SAFE!C13</f>
        <v>Overall</v>
      </c>
      <c r="D25" s="107">
        <f ca="1">SAFE!D13</f>
        <v>21</v>
      </c>
      <c r="E25" s="107">
        <f ca="1">SAFE!H13</f>
        <v>905</v>
      </c>
      <c r="F25" s="107">
        <f ca="1">SAFE!I13</f>
        <v>905</v>
      </c>
      <c r="G25" s="107">
        <f ca="1">SAFE!Q13</f>
        <v>0</v>
      </c>
      <c r="H25" s="107">
        <f ca="1">SAFE!J13</f>
        <v>905</v>
      </c>
      <c r="I25" s="107">
        <f ca="1">SAFE!K13</f>
        <v>905</v>
      </c>
      <c r="J25" s="107">
        <f ca="1">SAFE!L13</f>
        <v>0</v>
      </c>
      <c r="K25" s="107">
        <f ca="1">SAFE!M13</f>
        <v>0</v>
      </c>
      <c r="L25" s="107">
        <f ca="1">SAFE!N13</f>
        <v>269</v>
      </c>
      <c r="M25" s="110">
        <f ca="1">SAFE!O13</f>
        <v>905</v>
      </c>
      <c r="N25" s="107">
        <f ca="1">SAFE!P13</f>
        <v>14480</v>
      </c>
      <c r="O25" s="29">
        <f ca="1">SAFE!R13</f>
        <v>14480</v>
      </c>
      <c r="P25" s="111">
        <f ca="1">SAFE!S13</f>
        <v>4826.666666666667</v>
      </c>
      <c r="Q25" s="107">
        <f ca="1">SAFE!T13</f>
        <v>0</v>
      </c>
      <c r="R25" s="107">
        <f ca="1">SAFE!U13</f>
        <v>876</v>
      </c>
      <c r="S25" s="29">
        <f ca="1">SAFE!V13</f>
        <v>0</v>
      </c>
      <c r="T25" s="107">
        <f ca="1">SAFE!W13</f>
        <v>0</v>
      </c>
      <c r="U25" s="29">
        <f ca="1">SAFE!X13</f>
        <v>4826.666666666667</v>
      </c>
      <c r="V25" s="111">
        <f ca="1">ROUND(SAFE!Y13,0)</f>
        <v>9653</v>
      </c>
      <c r="W25" s="107">
        <f ca="1">SAFE!Z13</f>
        <v>0</v>
      </c>
      <c r="X25" s="107">
        <f>SAFE!AA13</f>
        <v>0</v>
      </c>
      <c r="Y25" s="37">
        <f ca="1">SAFE!AB13</f>
        <v>1</v>
      </c>
      <c r="Z25" s="37">
        <f ca="1">SAFE!AC13</f>
        <v>1</v>
      </c>
      <c r="AA25" s="37">
        <f ca="1">SAFE!AD13</f>
        <v>0.76190476190476186</v>
      </c>
      <c r="AB25" s="37">
        <f ca="1">SAFE!AE13</f>
        <v>0.66666666666666641</v>
      </c>
      <c r="AC25" s="114">
        <f ca="1">SAFE!AF13</f>
        <v>241333.33333333328</v>
      </c>
      <c r="AD25" s="118"/>
      <c r="AE25" s="118"/>
    </row>
    <row r="26" spans="1:31" s="102" customFormat="1" ht="14.25" customHeight="1">
      <c r="A26" s="106" t="str">
        <f>PDM!A6</f>
        <v>PDM</v>
      </c>
      <c r="B26" s="108" t="str">
        <f>PDM!B6</f>
        <v>Overall</v>
      </c>
      <c r="C26" s="108" t="str">
        <f>PDM!C6</f>
        <v>Overall</v>
      </c>
      <c r="D26" s="107">
        <f ca="1">PDM!D6</f>
        <v>3</v>
      </c>
      <c r="E26" s="107">
        <f ca="1">PDM!H6</f>
        <v>1023</v>
      </c>
      <c r="F26" s="107">
        <f ca="1">PDM!I6</f>
        <v>1023</v>
      </c>
      <c r="G26" s="107">
        <f ca="1">PDM!Q6</f>
        <v>0</v>
      </c>
      <c r="H26" s="107">
        <f ca="1">PDM!J6</f>
        <v>907</v>
      </c>
      <c r="I26" s="107">
        <f ca="1">PDM!K6</f>
        <v>907</v>
      </c>
      <c r="J26" s="107">
        <f ca="1">PDM!L6</f>
        <v>0</v>
      </c>
      <c r="K26" s="107">
        <f ca="1">PDM!M6</f>
        <v>0</v>
      </c>
      <c r="L26" s="107">
        <v>0</v>
      </c>
      <c r="M26" s="110">
        <f ca="1">PDM!O6</f>
        <v>907</v>
      </c>
      <c r="N26" s="107">
        <f ca="1">PDM!P6</f>
        <v>0</v>
      </c>
      <c r="O26" s="29">
        <f ca="1">PDM!R6</f>
        <v>0</v>
      </c>
      <c r="P26" s="111">
        <f ca="1">PDM!S6</f>
        <v>0</v>
      </c>
      <c r="Q26" s="107">
        <f ca="1">PDM!T6</f>
        <v>0</v>
      </c>
      <c r="R26" s="107">
        <f ca="1">PDM!U6</f>
        <v>0</v>
      </c>
      <c r="S26" s="29">
        <f ca="1">PDM!V6</f>
        <v>0</v>
      </c>
      <c r="T26" s="107">
        <f ca="1">PDM!W6</f>
        <v>0</v>
      </c>
      <c r="U26" s="29">
        <f ca="1">PDM!X6</f>
        <v>0</v>
      </c>
      <c r="V26" s="111">
        <f ca="1">ROUND(PDM!Y6,0)</f>
        <v>0</v>
      </c>
      <c r="W26" s="107">
        <f ca="1">PDM!Z6</f>
        <v>0</v>
      </c>
      <c r="X26" s="107">
        <f>PDM!AA6</f>
        <v>0</v>
      </c>
      <c r="Y26" s="37">
        <f ca="1">PDM!AB6</f>
        <v>0.88660801564027369</v>
      </c>
      <c r="Z26" s="37">
        <f ca="1">PDM!AC6</f>
        <v>0.88660801564027369</v>
      </c>
      <c r="AA26" s="37">
        <f ca="1">PDM!AD6</f>
        <v>0</v>
      </c>
      <c r="AB26" s="37">
        <f ca="1">PDM!AE6</f>
        <v>0</v>
      </c>
      <c r="AC26" s="114">
        <f ca="1">PDM!AF6</f>
        <v>0</v>
      </c>
      <c r="AD26" s="118"/>
      <c r="AE26" s="118"/>
    </row>
    <row r="27" spans="1:31" s="102" customFormat="1" ht="14.25" customHeight="1">
      <c r="A27" s="106" t="str">
        <f>ProM!A5</f>
        <v>ProM</v>
      </c>
      <c r="B27" s="108" t="str">
        <f>ProM!B5</f>
        <v>Overall</v>
      </c>
      <c r="C27" s="108" t="str">
        <f>ProM!C5</f>
        <v>Overall</v>
      </c>
      <c r="D27" s="107">
        <f ca="1">ProM!D5</f>
        <v>2</v>
      </c>
      <c r="E27" s="107">
        <f ca="1">ProM!H5</f>
        <v>1832</v>
      </c>
      <c r="F27" s="107">
        <f ca="1">ProM!I5</f>
        <v>1832</v>
      </c>
      <c r="G27" s="107">
        <f ca="1">ProM!Q5</f>
        <v>0</v>
      </c>
      <c r="H27" s="107">
        <f ca="1">ProM!J5</f>
        <v>1832</v>
      </c>
      <c r="I27" s="107">
        <f ca="1">ProM!K5</f>
        <v>896</v>
      </c>
      <c r="J27" s="107">
        <f ca="1">ProM!L5</f>
        <v>0</v>
      </c>
      <c r="K27" s="107">
        <f ca="1">ProM!M5</f>
        <v>0</v>
      </c>
      <c r="L27" s="107">
        <f ca="1">ProM!N5</f>
        <v>0</v>
      </c>
      <c r="M27" s="110">
        <f ca="1">ProM!O5</f>
        <v>896</v>
      </c>
      <c r="N27" s="107">
        <f ca="1">ProM!P5</f>
        <v>0</v>
      </c>
      <c r="O27" s="29">
        <f ca="1">ProM!R5</f>
        <v>0</v>
      </c>
      <c r="P27" s="111">
        <f ca="1">ProM!S5</f>
        <v>0</v>
      </c>
      <c r="Q27" s="107">
        <f ca="1">ProM!T5</f>
        <v>0</v>
      </c>
      <c r="R27" s="107">
        <f ca="1">ProM!U5</f>
        <v>0</v>
      </c>
      <c r="S27" s="29">
        <f ca="1">ProM!V5</f>
        <v>0</v>
      </c>
      <c r="T27" s="107">
        <f ca="1">ProM!W5</f>
        <v>0</v>
      </c>
      <c r="U27" s="29">
        <f ca="1">ProM!X5</f>
        <v>0</v>
      </c>
      <c r="V27" s="111">
        <f ca="1">ROUND(ProM!Y5,0)</f>
        <v>0</v>
      </c>
      <c r="W27" s="107">
        <f ca="1">ProM!Z5</f>
        <v>0</v>
      </c>
      <c r="X27" s="107">
        <f>ProM!AA5</f>
        <v>0</v>
      </c>
      <c r="Y27" s="37">
        <f ca="1">ProM!AB5</f>
        <v>1</v>
      </c>
      <c r="Z27" s="37">
        <f ca="1">ProM!AC5</f>
        <v>1</v>
      </c>
      <c r="AA27" s="37">
        <f ca="1">ProM!AD5</f>
        <v>0</v>
      </c>
      <c r="AB27" s="37">
        <f ca="1">ProM!AE5</f>
        <v>0</v>
      </c>
      <c r="AC27" s="114">
        <f ca="1">ProM!AF5</f>
        <v>0</v>
      </c>
      <c r="AD27" s="118"/>
      <c r="AE27" s="118"/>
    </row>
    <row r="28" spans="1:31" s="102" customFormat="1" ht="14.25" customHeight="1">
      <c r="A28" s="106" t="str">
        <f>AssetTracker!A6</f>
        <v>AssetTracker</v>
      </c>
      <c r="B28" s="108" t="str">
        <f>AssetTracker!B6</f>
        <v>Overall</v>
      </c>
      <c r="C28" s="108" t="str">
        <f>AssetTracker!C6</f>
        <v>Overall</v>
      </c>
      <c r="D28" s="107">
        <f ca="1">AssetTracker!D6</f>
        <v>3</v>
      </c>
      <c r="E28" s="107">
        <f ca="1">AssetTracker!H6</f>
        <v>490</v>
      </c>
      <c r="F28" s="107">
        <f ca="1">AssetTracker!I6</f>
        <v>473</v>
      </c>
      <c r="G28" s="107">
        <f ca="1">AssetTracker!Q6</f>
        <v>0</v>
      </c>
      <c r="H28" s="107">
        <f ca="1">AssetTracker!J6</f>
        <v>473</v>
      </c>
      <c r="I28" s="107">
        <f ca="1">AssetTracker!K6</f>
        <v>473</v>
      </c>
      <c r="J28" s="107">
        <f ca="1">AssetTracker!L6</f>
        <v>0</v>
      </c>
      <c r="K28" s="107">
        <f ca="1">AssetTracker!M6</f>
        <v>0</v>
      </c>
      <c r="L28" s="107">
        <f ca="1">AssetTracker!N6</f>
        <v>0</v>
      </c>
      <c r="M28" s="110">
        <f ca="1">AssetTracker!O6</f>
        <v>473</v>
      </c>
      <c r="N28" s="107">
        <f ca="1">AssetTracker!P6</f>
        <v>0</v>
      </c>
      <c r="O28" s="29">
        <f ca="1">AssetTracker!R6</f>
        <v>0</v>
      </c>
      <c r="P28" s="111">
        <f ca="1">AssetTracker!S6</f>
        <v>0</v>
      </c>
      <c r="Q28" s="107">
        <f ca="1">AssetTracker!T6</f>
        <v>0</v>
      </c>
      <c r="R28" s="107">
        <f ca="1">AssetTracker!U6</f>
        <v>0</v>
      </c>
      <c r="S28" s="29">
        <f ca="1">AssetTracker!V6</f>
        <v>0</v>
      </c>
      <c r="T28" s="107">
        <f ca="1">AssetTracker!W6</f>
        <v>0</v>
      </c>
      <c r="U28" s="29">
        <f ca="1">AssetTracker!X6</f>
        <v>0</v>
      </c>
      <c r="V28" s="111">
        <f ca="1">ROUND(AssetTracker!Y6,0)</f>
        <v>0</v>
      </c>
      <c r="W28" s="107">
        <f ca="1">AssetTracker!Z6</f>
        <v>0</v>
      </c>
      <c r="X28" s="107">
        <f>AssetTracker!AA6</f>
        <v>0</v>
      </c>
      <c r="Y28" s="37">
        <f ca="1">AssetTracker!AB6</f>
        <v>1</v>
      </c>
      <c r="Z28" s="37">
        <f ca="1">AssetTracker!AC6</f>
        <v>0.96530612244897962</v>
      </c>
      <c r="AA28" s="37">
        <f ca="1">AssetTracker!AD6</f>
        <v>0</v>
      </c>
      <c r="AB28" s="37">
        <f ca="1">AssetTracker!AE6</f>
        <v>0</v>
      </c>
      <c r="AC28" s="114">
        <f ca="1">AssetTracker!AF6</f>
        <v>0</v>
      </c>
      <c r="AD28" s="118"/>
      <c r="AE28" s="118"/>
    </row>
    <row r="29" spans="1:31" s="102" customFormat="1" ht="14.25" customHeight="1">
      <c r="A29" s="106" t="str">
        <f>APAR!A6</f>
        <v>APAR</v>
      </c>
      <c r="B29" s="108" t="str">
        <f>APAR!B6</f>
        <v>Overall</v>
      </c>
      <c r="C29" s="108" t="str">
        <f>APAR!C6</f>
        <v>Overall</v>
      </c>
      <c r="D29" s="107">
        <f ca="1">APAR!D6</f>
        <v>3</v>
      </c>
      <c r="E29" s="107">
        <f ca="1">APAR!H6</f>
        <v>206</v>
      </c>
      <c r="F29" s="107">
        <f ca="1">APAR!I6</f>
        <v>206</v>
      </c>
      <c r="G29" s="107">
        <f ca="1">APAR!Q6</f>
        <v>0</v>
      </c>
      <c r="H29" s="107">
        <f ca="1">APAR!J6</f>
        <v>37</v>
      </c>
      <c r="I29" s="107">
        <f ca="1">APAR!K6</f>
        <v>66</v>
      </c>
      <c r="J29" s="107">
        <f ca="1">APAR!L6</f>
        <v>120</v>
      </c>
      <c r="K29" s="107">
        <f ca="1">APAR!M6</f>
        <v>0</v>
      </c>
      <c r="L29" s="107">
        <f ca="1">APAR!N6</f>
        <v>0</v>
      </c>
      <c r="M29" s="110">
        <f ca="1">APAR!O6</f>
        <v>37</v>
      </c>
      <c r="N29" s="107">
        <f ca="1">APAR!P6</f>
        <v>0</v>
      </c>
      <c r="O29" s="29">
        <f ca="1">APAR!R6</f>
        <v>0</v>
      </c>
      <c r="P29" s="111">
        <f ca="1">APAR!S6</f>
        <v>0</v>
      </c>
      <c r="Q29" s="107">
        <f ca="1">APAR!T6</f>
        <v>0</v>
      </c>
      <c r="R29" s="107">
        <f ca="1">APAR!U6</f>
        <v>0</v>
      </c>
      <c r="S29" s="29">
        <f ca="1">APAR!V6</f>
        <v>0</v>
      </c>
      <c r="T29" s="107">
        <f ca="1">APAR!W6</f>
        <v>0</v>
      </c>
      <c r="U29" s="29">
        <f ca="1">APAR!X6</f>
        <v>0</v>
      </c>
      <c r="V29" s="111">
        <f ca="1">ROUND(APAR!Y6,0)</f>
        <v>0</v>
      </c>
      <c r="W29" s="107">
        <f ca="1">APAR!Z6</f>
        <v>0</v>
      </c>
      <c r="X29" s="107">
        <f>APAR!AA6</f>
        <v>0</v>
      </c>
      <c r="Y29" s="37">
        <f ca="1">APAR!AB6</f>
        <v>0.1796116504854369</v>
      </c>
      <c r="Z29" s="37">
        <f ca="1">APAR!AC6</f>
        <v>0.1796116504854369</v>
      </c>
      <c r="AA29" s="37">
        <f ca="1">APAR!AD6</f>
        <v>0</v>
      </c>
      <c r="AB29" s="37">
        <f ca="1">APAR!AE6</f>
        <v>0</v>
      </c>
      <c r="AC29" s="114">
        <f ca="1">APAR!AF6</f>
        <v>0</v>
      </c>
      <c r="AD29" s="118"/>
      <c r="AE29" s="118"/>
    </row>
    <row r="30" spans="1:31" s="102" customFormat="1" ht="14.25" customHeight="1">
      <c r="A30" s="106" t="str">
        <f>TVROCS!A10</f>
        <v>TVROCS</v>
      </c>
      <c r="B30" s="108" t="str">
        <f>TVROCS!B10</f>
        <v>Overall</v>
      </c>
      <c r="C30" s="109" t="str">
        <f>TVROCS!C10</f>
        <v>Overall</v>
      </c>
      <c r="D30" s="107">
        <f ca="1">TVROCS!D10</f>
        <v>7</v>
      </c>
      <c r="E30" s="107">
        <f ca="1">TVROCS!H10</f>
        <v>83</v>
      </c>
      <c r="F30" s="107">
        <f ca="1">TVROCS!I10</f>
        <v>83</v>
      </c>
      <c r="G30" s="107">
        <f ca="1">TVROCS!Q10</f>
        <v>1</v>
      </c>
      <c r="H30" s="107">
        <f ca="1">TVROCS!J10</f>
        <v>83</v>
      </c>
      <c r="I30" s="107">
        <f ca="1">TVROCS!K10</f>
        <v>83</v>
      </c>
      <c r="J30" s="107">
        <f ca="1">TVROCS!L10</f>
        <v>0</v>
      </c>
      <c r="K30" s="107">
        <f ca="1">TVROCS!M10</f>
        <v>1</v>
      </c>
      <c r="L30" s="107">
        <f ca="1">TVROCS!N10</f>
        <v>0</v>
      </c>
      <c r="M30" s="110">
        <f ca="1">TVROCS!O10</f>
        <v>83</v>
      </c>
      <c r="N30" s="107">
        <f ca="1">TVROCS!P10</f>
        <v>83</v>
      </c>
      <c r="O30" s="29">
        <f ca="1">TVROCS!R10</f>
        <v>83</v>
      </c>
      <c r="P30" s="111">
        <f ca="1">TVROCS!S10</f>
        <v>14</v>
      </c>
      <c r="Q30" s="111">
        <f ca="1">TVROCS!T10</f>
        <v>0</v>
      </c>
      <c r="R30" s="111">
        <f ca="1">TVROCS!U10</f>
        <v>0</v>
      </c>
      <c r="S30" s="29">
        <f ca="1">TVROCS!V10</f>
        <v>0</v>
      </c>
      <c r="T30" s="111">
        <f ca="1">TVROCS!W10</f>
        <v>0</v>
      </c>
      <c r="U30" s="29">
        <f ca="1">TVROCS!X10</f>
        <v>14</v>
      </c>
      <c r="V30" s="111">
        <f ca="1">ROUND(TVROCS!Y10,0)</f>
        <v>69</v>
      </c>
      <c r="W30" s="112">
        <f ca="1">TVROCS!Z10</f>
        <v>0</v>
      </c>
      <c r="X30" s="107">
        <f>TVROCS!AA10</f>
        <v>0</v>
      </c>
      <c r="Y30" s="37">
        <f ca="1">TVROCS!AB10</f>
        <v>1</v>
      </c>
      <c r="Z30" s="37">
        <f ca="1">TVROCS!AC10</f>
        <v>1</v>
      </c>
      <c r="AA30" s="37">
        <f ca="1">TVROCS!AD10</f>
        <v>0.14285714285714285</v>
      </c>
      <c r="AB30" s="37">
        <f ca="1">TVROCS!AE10</f>
        <v>0.83132530120481929</v>
      </c>
      <c r="AC30" s="114">
        <f ca="1">TVROCS!AF10</f>
        <v>1725</v>
      </c>
      <c r="AD30" s="118"/>
      <c r="AE30" s="118"/>
    </row>
  </sheetData>
  <mergeCells count="23">
    <mergeCell ref="X1:X2"/>
    <mergeCell ref="O1:O2"/>
    <mergeCell ref="S1:S2"/>
    <mergeCell ref="T1:T2"/>
    <mergeCell ref="U1:U2"/>
    <mergeCell ref="V1:V2"/>
    <mergeCell ref="P1:R1"/>
    <mergeCell ref="Y1:AE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W1:W2"/>
  </mergeCells>
  <pageMargins left="0.7" right="0.7" top="0.75" bottom="0.75" header="0.3" footer="0.3"/>
  <pageSetup orientation="portrait"/>
  <headerFooter>
    <oddFooter>&amp;CNBCU Internal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A1:AG60"/>
  <sheetViews>
    <sheetView workbookViewId="0">
      <selection activeCell="G9" sqref="G9"/>
    </sheetView>
  </sheetViews>
  <sheetFormatPr defaultColWidth="8.81640625" defaultRowHeight="14.5"/>
  <cols>
    <col min="1" max="1" width="9.81640625" style="3" customWidth="1"/>
    <col min="2" max="2" width="10.453125" style="3" customWidth="1"/>
    <col min="3" max="3" width="14.1796875" style="3" customWidth="1"/>
    <col min="4" max="4" width="5.453125" style="3" customWidth="1"/>
    <col min="5" max="6" width="9" style="3" customWidth="1"/>
    <col min="7" max="7" width="8.81640625" style="3" customWidth="1"/>
    <col min="8" max="8" width="19.453125" style="3" customWidth="1"/>
    <col min="9" max="9" width="19.81640625" style="3" customWidth="1"/>
    <col min="10" max="10" width="11.453125" style="3" customWidth="1"/>
    <col min="11" max="11" width="13.1796875" style="3" customWidth="1"/>
    <col min="12" max="12" width="11.1796875" style="3" customWidth="1"/>
    <col min="13" max="14" width="13.1796875" style="3" customWidth="1"/>
    <col min="15" max="15" width="13.81640625" style="3" customWidth="1"/>
    <col min="16" max="16" width="22.453125" style="3" customWidth="1"/>
    <col min="17" max="18" width="19.453125" style="3" customWidth="1"/>
    <col min="19" max="19" width="12.1796875" style="3" customWidth="1"/>
    <col min="20" max="20" width="17.453125" style="3" customWidth="1"/>
    <col min="21" max="21" width="9.81640625" style="3" customWidth="1"/>
    <col min="22" max="22" width="18" style="3" customWidth="1"/>
    <col min="23" max="23" width="19.1796875" style="3" customWidth="1"/>
    <col min="24" max="24" width="13.453125" style="3" customWidth="1"/>
    <col min="25" max="25" width="10.1796875" style="3" customWidth="1"/>
    <col min="26" max="26" width="18.1796875" style="3" customWidth="1"/>
    <col min="27" max="27" width="6.453125" style="3" customWidth="1"/>
    <col min="28" max="28" width="15" style="3" customWidth="1"/>
    <col min="29" max="29" width="9.453125" style="3" customWidth="1"/>
    <col min="30" max="30" width="18" style="3" customWidth="1"/>
    <col min="31" max="31" width="12.1796875" style="3" customWidth="1"/>
    <col min="32" max="32" width="11.453125" style="3" customWidth="1"/>
    <col min="33" max="33" width="13.81640625" style="3" hidden="1" customWidth="1"/>
    <col min="34" max="16384" width="8.81640625" style="3"/>
  </cols>
  <sheetData>
    <row r="1" spans="1:33" s="1" customFormat="1" ht="33" customHeight="1">
      <c r="A1" s="172" t="s">
        <v>22</v>
      </c>
      <c r="B1" s="172" t="s">
        <v>47</v>
      </c>
      <c r="C1" s="172" t="s">
        <v>48</v>
      </c>
      <c r="D1" s="172" t="s">
        <v>79</v>
      </c>
      <c r="E1" s="172" t="s">
        <v>80</v>
      </c>
      <c r="F1" s="172" t="s">
        <v>81</v>
      </c>
      <c r="G1" s="172" t="s">
        <v>82</v>
      </c>
      <c r="H1" s="172" t="s">
        <v>50</v>
      </c>
      <c r="I1" s="172" t="s">
        <v>51</v>
      </c>
      <c r="J1" s="172" t="s">
        <v>53</v>
      </c>
      <c r="K1" s="172" t="s">
        <v>54</v>
      </c>
      <c r="L1" s="172" t="s">
        <v>55</v>
      </c>
      <c r="M1" s="172" t="s">
        <v>56</v>
      </c>
      <c r="N1" s="175" t="s">
        <v>57</v>
      </c>
      <c r="O1" s="172" t="s">
        <v>58</v>
      </c>
      <c r="P1" s="172" t="s">
        <v>83</v>
      </c>
      <c r="Q1" s="172" t="s">
        <v>95</v>
      </c>
      <c r="R1" s="172" t="s">
        <v>60</v>
      </c>
      <c r="S1" s="172" t="s">
        <v>61</v>
      </c>
      <c r="T1" s="172"/>
      <c r="U1" s="172"/>
      <c r="V1" s="172" t="s">
        <v>62</v>
      </c>
      <c r="W1" s="172" t="s">
        <v>63</v>
      </c>
      <c r="X1" s="172" t="s">
        <v>64</v>
      </c>
      <c r="Y1" s="172" t="s">
        <v>85</v>
      </c>
      <c r="Z1" s="172" t="s">
        <v>66</v>
      </c>
      <c r="AA1" s="172" t="s">
        <v>3</v>
      </c>
      <c r="AB1" s="172" t="s">
        <v>67</v>
      </c>
      <c r="AC1" s="172"/>
      <c r="AD1" s="172"/>
      <c r="AE1" s="172"/>
      <c r="AF1" s="172"/>
      <c r="AG1" s="174" t="s">
        <v>86</v>
      </c>
    </row>
    <row r="2" spans="1:33" s="1" customFormat="1" ht="55.5" customHeigh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6"/>
      <c r="O2" s="172"/>
      <c r="P2" s="172"/>
      <c r="Q2" s="172"/>
      <c r="R2" s="172"/>
      <c r="S2" s="4" t="s">
        <v>68</v>
      </c>
      <c r="T2" s="4" t="s">
        <v>69</v>
      </c>
      <c r="U2" s="4" t="s">
        <v>70</v>
      </c>
      <c r="V2" s="172"/>
      <c r="W2" s="172"/>
      <c r="X2" s="172"/>
      <c r="Y2" s="172"/>
      <c r="Z2" s="172"/>
      <c r="AA2" s="172"/>
      <c r="AB2" s="4" t="s">
        <v>96</v>
      </c>
      <c r="AC2" s="4" t="s">
        <v>97</v>
      </c>
      <c r="AD2" s="4" t="s">
        <v>73</v>
      </c>
      <c r="AE2" s="4" t="s">
        <v>74</v>
      </c>
      <c r="AF2" s="4" t="s">
        <v>75</v>
      </c>
      <c r="AG2" s="174"/>
    </row>
    <row r="3" spans="1:33" ht="17.25" customHeight="1">
      <c r="A3" s="42" t="s">
        <v>174</v>
      </c>
      <c r="B3" s="42" t="s">
        <v>88</v>
      </c>
      <c r="C3" s="43" t="s">
        <v>89</v>
      </c>
      <c r="D3" s="23">
        <v>1</v>
      </c>
      <c r="E3" s="44">
        <v>44197</v>
      </c>
      <c r="F3" s="44">
        <v>44225</v>
      </c>
      <c r="G3" s="23" t="s">
        <v>26</v>
      </c>
      <c r="H3" s="23">
        <v>1832</v>
      </c>
      <c r="I3" s="23">
        <f>H3</f>
        <v>1832</v>
      </c>
      <c r="J3" s="23">
        <f>H3</f>
        <v>1832</v>
      </c>
      <c r="K3" s="24">
        <v>896</v>
      </c>
      <c r="L3" s="23">
        <v>0</v>
      </c>
      <c r="M3" s="23">
        <v>0</v>
      </c>
      <c r="N3" s="23">
        <v>0</v>
      </c>
      <c r="O3" s="24">
        <v>896</v>
      </c>
      <c r="P3" s="23">
        <v>0</v>
      </c>
      <c r="Q3" s="28">
        <v>0</v>
      </c>
      <c r="R3" s="29">
        <f t="shared" ref="R3:R4" si="0">(P3*45)/60</f>
        <v>0</v>
      </c>
      <c r="S3" s="49">
        <f t="shared" ref="S3:S4" si="1">(P3*15)/60</f>
        <v>0</v>
      </c>
      <c r="T3" s="30">
        <v>0</v>
      </c>
      <c r="U3" s="26">
        <v>0</v>
      </c>
      <c r="V3" s="29">
        <v>0</v>
      </c>
      <c r="W3" s="31">
        <v>0</v>
      </c>
      <c r="X3" s="29">
        <f t="shared" ref="X3:X4" si="2">SUM(S3,T3,V3,W3)</f>
        <v>0</v>
      </c>
      <c r="Y3" s="29">
        <f t="shared" ref="Y3:Y4" si="3">R3-X3</f>
        <v>0</v>
      </c>
      <c r="Z3" s="36">
        <v>0</v>
      </c>
      <c r="AA3" s="23"/>
      <c r="AB3" s="37">
        <f t="shared" ref="AB3:AB5" si="4">J3/I3</f>
        <v>1</v>
      </c>
      <c r="AC3" s="37">
        <f t="shared" ref="AC3:AC5" si="5">J3/H3</f>
        <v>1</v>
      </c>
      <c r="AD3" s="37">
        <f t="shared" ref="AD3:AD5" si="6">P3/(O3*D3)</f>
        <v>0</v>
      </c>
      <c r="AE3" s="37">
        <f t="shared" ref="AE3:AE5" si="7">IFERROR(Y3/R3,0)</f>
        <v>0</v>
      </c>
      <c r="AF3" s="46">
        <f>Y3*$B$10</f>
        <v>0</v>
      </c>
      <c r="AG3" s="23">
        <v>8</v>
      </c>
    </row>
    <row r="4" spans="1:33" ht="17.25" customHeight="1">
      <c r="A4" s="42" t="s">
        <v>174</v>
      </c>
      <c r="B4" s="42" t="s">
        <v>88</v>
      </c>
      <c r="C4" s="43" t="s">
        <v>175</v>
      </c>
      <c r="D4" s="23">
        <v>1</v>
      </c>
      <c r="E4" s="44">
        <v>44228</v>
      </c>
      <c r="F4" s="44">
        <v>44281</v>
      </c>
      <c r="G4" s="23" t="s">
        <v>27</v>
      </c>
      <c r="H4" s="23">
        <v>1832</v>
      </c>
      <c r="I4" s="23">
        <f>H4</f>
        <v>1832</v>
      </c>
      <c r="J4" s="23">
        <f>H4</f>
        <v>1832</v>
      </c>
      <c r="K4" s="24">
        <v>896</v>
      </c>
      <c r="L4" s="23">
        <v>0</v>
      </c>
      <c r="M4" s="23">
        <v>0</v>
      </c>
      <c r="N4" s="23">
        <v>0</v>
      </c>
      <c r="O4" s="24">
        <v>896</v>
      </c>
      <c r="P4" s="23">
        <v>0</v>
      </c>
      <c r="Q4" s="28">
        <v>0</v>
      </c>
      <c r="R4" s="29">
        <f t="shared" si="0"/>
        <v>0</v>
      </c>
      <c r="S4" s="49">
        <f t="shared" si="1"/>
        <v>0</v>
      </c>
      <c r="T4" s="30">
        <v>0</v>
      </c>
      <c r="U4" s="26">
        <v>0</v>
      </c>
      <c r="V4" s="29">
        <v>0</v>
      </c>
      <c r="W4" s="31">
        <v>0</v>
      </c>
      <c r="X4" s="29">
        <f t="shared" si="2"/>
        <v>0</v>
      </c>
      <c r="Y4" s="29">
        <f t="shared" si="3"/>
        <v>0</v>
      </c>
      <c r="Z4" s="36">
        <v>0</v>
      </c>
      <c r="AA4" s="23"/>
      <c r="AB4" s="37">
        <f t="shared" si="4"/>
        <v>1</v>
      </c>
      <c r="AC4" s="37">
        <f t="shared" si="5"/>
        <v>1</v>
      </c>
      <c r="AD4" s="37">
        <f t="shared" si="6"/>
        <v>0</v>
      </c>
      <c r="AE4" s="37">
        <f t="shared" si="7"/>
        <v>0</v>
      </c>
      <c r="AF4" s="46">
        <f>Y4*$B$10</f>
        <v>0</v>
      </c>
      <c r="AG4" s="23">
        <v>8</v>
      </c>
    </row>
    <row r="5" spans="1:33" s="2" customFormat="1">
      <c r="A5" s="8" t="str">
        <f>A3</f>
        <v>ProM</v>
      </c>
      <c r="B5" s="8" t="s">
        <v>90</v>
      </c>
      <c r="C5" s="9" t="s">
        <v>90</v>
      </c>
      <c r="D5" s="9">
        <f ca="1">SUM(D3:INDIRECT("D"&amp;ROW()-1))</f>
        <v>2</v>
      </c>
      <c r="E5" s="9"/>
      <c r="F5" s="9"/>
      <c r="G5" s="9"/>
      <c r="H5" s="9">
        <f ca="1">INDIRECT("H"&amp;ROW()-1)</f>
        <v>1832</v>
      </c>
      <c r="I5" s="9">
        <f ca="1">INDIRECT("I"&amp;ROW()-1)</f>
        <v>1832</v>
      </c>
      <c r="J5" s="9">
        <f ca="1">INDIRECT("J"&amp;ROW()-1)</f>
        <v>1832</v>
      </c>
      <c r="K5" s="9">
        <f ca="1">INDIRECT("K"&amp;ROW()-1)</f>
        <v>896</v>
      </c>
      <c r="L5" s="9">
        <f ca="1">SUM(L3:INDIRECT("L"&amp;ROW()-1))</f>
        <v>0</v>
      </c>
      <c r="M5" s="9">
        <f ca="1">SUM(M3:INDIRECT("M"&amp;ROW()-1))</f>
        <v>0</v>
      </c>
      <c r="N5" s="9">
        <f ca="1">SUM(N3:INDIRECT("N"&amp;ROW()-1))</f>
        <v>0</v>
      </c>
      <c r="O5" s="9">
        <f ca="1">INDIRECT("O"&amp;ROW()-1)</f>
        <v>896</v>
      </c>
      <c r="P5" s="9">
        <f ca="1">SUM(P3:INDIRECT("P"&amp;ROW()-1))</f>
        <v>0</v>
      </c>
      <c r="Q5" s="9">
        <f ca="1">SUM(Q3:INDIRECT("Q"&amp;ROW()-1))</f>
        <v>0</v>
      </c>
      <c r="R5" s="27">
        <f ca="1">SUM(R3:INDIRECT("R"&amp;ROW()-1))</f>
        <v>0</v>
      </c>
      <c r="S5" s="9">
        <f ca="1">SUM(S3:INDIRECT("S"&amp;ROW()-1))</f>
        <v>0</v>
      </c>
      <c r="T5" s="9">
        <f ca="1">SUM(T3:INDIRECT("T"&amp;ROW()-1))</f>
        <v>0</v>
      </c>
      <c r="U5" s="9">
        <f ca="1">SUM(U3:INDIRECT("U"&amp;ROW()-1))</f>
        <v>0</v>
      </c>
      <c r="V5" s="9">
        <f ca="1">SUM(V3:INDIRECT("V"&amp;ROW()-1))</f>
        <v>0</v>
      </c>
      <c r="W5" s="9">
        <f ca="1">SUM(W3:INDIRECT("W"&amp;ROW()-1))</f>
        <v>0</v>
      </c>
      <c r="X5" s="9">
        <f ca="1">SUM(X3:INDIRECT("X"&amp;ROW()-1))</f>
        <v>0</v>
      </c>
      <c r="Y5" s="27">
        <f ca="1">SUM(Y3:INDIRECT("Y"&amp;ROW()-1))</f>
        <v>0</v>
      </c>
      <c r="Z5" s="9">
        <f ca="1">SUM(Z3:INDIRECT("z"&amp;ROW()-1))</f>
        <v>0</v>
      </c>
      <c r="AA5" s="9"/>
      <c r="AB5" s="34">
        <f t="shared" ca="1" si="4"/>
        <v>1</v>
      </c>
      <c r="AC5" s="34">
        <f t="shared" ca="1" si="5"/>
        <v>1</v>
      </c>
      <c r="AD5" s="34">
        <f t="shared" ca="1" si="6"/>
        <v>0</v>
      </c>
      <c r="AE5" s="39">
        <f t="shared" ca="1" si="7"/>
        <v>0</v>
      </c>
      <c r="AF5" s="35">
        <f ca="1">SUM(AF3:INDIRECT("AF"&amp;ROW()-1))</f>
        <v>0</v>
      </c>
      <c r="AG5" s="9"/>
    </row>
    <row r="6" spans="1:33" s="2" customFormat="1"/>
    <row r="7" spans="1:33" s="2" customFormat="1">
      <c r="A7" s="10"/>
      <c r="B7" s="11"/>
      <c r="E7" s="2">
        <v>11</v>
      </c>
      <c r="Q7" s="13"/>
      <c r="AD7" s="25"/>
    </row>
    <row r="8" spans="1:33" s="2" customFormat="1">
      <c r="A8" s="10"/>
      <c r="B8" s="11"/>
      <c r="Q8" s="13"/>
      <c r="AD8" s="25"/>
    </row>
    <row r="9" spans="1:33" s="2" customFormat="1">
      <c r="A9" s="10"/>
      <c r="B9" s="11"/>
      <c r="Q9" s="13"/>
      <c r="AD9" s="25"/>
    </row>
    <row r="10" spans="1:33" s="2" customFormat="1">
      <c r="A10" s="10" t="s">
        <v>91</v>
      </c>
      <c r="B10" s="11">
        <v>25</v>
      </c>
      <c r="P10" s="25"/>
      <c r="Q10" s="13"/>
      <c r="AD10" s="25"/>
    </row>
    <row r="11" spans="1:33" ht="21">
      <c r="A11" s="10" t="s">
        <v>92</v>
      </c>
      <c r="B11" s="12">
        <v>8</v>
      </c>
      <c r="C11" s="2"/>
      <c r="D11" s="2"/>
      <c r="E11" s="2"/>
      <c r="F11" s="2"/>
      <c r="G11" s="2"/>
      <c r="H11" s="2"/>
      <c r="I11" s="2"/>
      <c r="J11" s="25"/>
      <c r="K11" s="25"/>
      <c r="L11" s="2"/>
      <c r="M11" s="2"/>
      <c r="N11" s="2"/>
      <c r="O11" s="2"/>
      <c r="P11" s="2"/>
      <c r="Q11" s="13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43" spans="14:33">
      <c r="N43" s="172" t="s">
        <v>22</v>
      </c>
      <c r="O43" s="172" t="s">
        <v>82</v>
      </c>
      <c r="P43" s="172" t="s">
        <v>60</v>
      </c>
      <c r="Q43" s="172" t="s">
        <v>85</v>
      </c>
      <c r="R43" s="172" t="s">
        <v>74</v>
      </c>
      <c r="S43" s="172" t="s">
        <v>75</v>
      </c>
      <c r="T43" s="173"/>
      <c r="AG43" s="13"/>
    </row>
    <row r="44" spans="14:33">
      <c r="N44" s="172"/>
      <c r="O44" s="172"/>
      <c r="P44" s="172"/>
      <c r="Q44" s="172"/>
      <c r="R44" s="172"/>
      <c r="S44" s="172"/>
      <c r="T44" s="173"/>
      <c r="AG44" s="13"/>
    </row>
    <row r="45" spans="14:33">
      <c r="N45" s="42" t="s">
        <v>174</v>
      </c>
      <c r="O45" s="23" t="s">
        <v>26</v>
      </c>
      <c r="P45" s="26">
        <f t="shared" ref="P45:P56" si="8">SUMIFS($R$3:$R$3,$G$3:$G$3,O45)</f>
        <v>0</v>
      </c>
      <c r="Q45" s="26">
        <f t="shared" ref="Q45:Q56" si="9">SUMIFS($Y$3:$Y$3,$G$3:$G$3,O45)</f>
        <v>0</v>
      </c>
      <c r="R45" s="32">
        <f t="shared" ref="R45:R56" si="10">IFERROR(Q45/P45,0)</f>
        <v>0</v>
      </c>
      <c r="S45" s="33">
        <f t="shared" ref="S45:S56" si="11">SUMIFS($AF$3:$AF$3,$G$3:$G$3,O45)</f>
        <v>0</v>
      </c>
      <c r="T45" s="18"/>
      <c r="AG45" s="15"/>
    </row>
    <row r="46" spans="14:33">
      <c r="N46" s="42" t="s">
        <v>174</v>
      </c>
      <c r="O46" s="23" t="s">
        <v>27</v>
      </c>
      <c r="P46" s="26">
        <f t="shared" si="8"/>
        <v>0</v>
      </c>
      <c r="Q46" s="26">
        <f t="shared" si="9"/>
        <v>0</v>
      </c>
      <c r="R46" s="32">
        <f t="shared" si="10"/>
        <v>0</v>
      </c>
      <c r="S46" s="33">
        <f t="shared" si="11"/>
        <v>0</v>
      </c>
      <c r="T46" s="18"/>
      <c r="AG46" s="15"/>
    </row>
    <row r="47" spans="14:33">
      <c r="N47" s="42" t="s">
        <v>174</v>
      </c>
      <c r="O47" s="23" t="s">
        <v>28</v>
      </c>
      <c r="P47" s="26">
        <f t="shared" si="8"/>
        <v>0</v>
      </c>
      <c r="Q47" s="26">
        <f t="shared" si="9"/>
        <v>0</v>
      </c>
      <c r="R47" s="32">
        <f t="shared" si="10"/>
        <v>0</v>
      </c>
      <c r="S47" s="33">
        <f t="shared" si="11"/>
        <v>0</v>
      </c>
      <c r="T47" s="18"/>
      <c r="AG47" s="15"/>
    </row>
    <row r="48" spans="14:33">
      <c r="N48" s="42" t="s">
        <v>174</v>
      </c>
      <c r="O48" s="23" t="s">
        <v>29</v>
      </c>
      <c r="P48" s="26">
        <f t="shared" si="8"/>
        <v>0</v>
      </c>
      <c r="Q48" s="26">
        <f t="shared" si="9"/>
        <v>0</v>
      </c>
      <c r="R48" s="32">
        <f t="shared" si="10"/>
        <v>0</v>
      </c>
      <c r="S48" s="33">
        <f t="shared" si="11"/>
        <v>0</v>
      </c>
      <c r="T48" s="18"/>
      <c r="AG48" s="15"/>
    </row>
    <row r="49" spans="1:33">
      <c r="N49" s="42" t="s">
        <v>174</v>
      </c>
      <c r="O49" s="23" t="s">
        <v>30</v>
      </c>
      <c r="P49" s="26">
        <f t="shared" si="8"/>
        <v>0</v>
      </c>
      <c r="Q49" s="26">
        <f t="shared" si="9"/>
        <v>0</v>
      </c>
      <c r="R49" s="32">
        <f t="shared" si="10"/>
        <v>0</v>
      </c>
      <c r="S49" s="33">
        <f t="shared" si="11"/>
        <v>0</v>
      </c>
      <c r="T49" s="18"/>
      <c r="AG49" s="15"/>
    </row>
    <row r="50" spans="1:33">
      <c r="N50" s="42" t="s">
        <v>174</v>
      </c>
      <c r="O50" s="23" t="s">
        <v>31</v>
      </c>
      <c r="P50" s="26">
        <f t="shared" si="8"/>
        <v>0</v>
      </c>
      <c r="Q50" s="26">
        <f t="shared" si="9"/>
        <v>0</v>
      </c>
      <c r="R50" s="32">
        <f t="shared" si="10"/>
        <v>0</v>
      </c>
      <c r="S50" s="33">
        <f t="shared" si="11"/>
        <v>0</v>
      </c>
      <c r="T50" s="18"/>
      <c r="AG50" s="15"/>
    </row>
    <row r="51" spans="1:33" ht="15" customHeight="1">
      <c r="N51" s="42" t="s">
        <v>174</v>
      </c>
      <c r="O51" s="23" t="s">
        <v>32</v>
      </c>
      <c r="P51" s="26">
        <f t="shared" si="8"/>
        <v>0</v>
      </c>
      <c r="Q51" s="26">
        <f t="shared" si="9"/>
        <v>0</v>
      </c>
      <c r="R51" s="32">
        <f t="shared" si="10"/>
        <v>0</v>
      </c>
      <c r="S51" s="33">
        <f t="shared" si="11"/>
        <v>0</v>
      </c>
      <c r="T51" s="18"/>
      <c r="AG51" s="15"/>
    </row>
    <row r="52" spans="1:33">
      <c r="A52" s="173"/>
      <c r="B52" s="173"/>
      <c r="C52" s="173"/>
      <c r="D52" s="173"/>
      <c r="E52" s="173"/>
      <c r="F52" s="173"/>
      <c r="G52" s="173"/>
      <c r="N52" s="42" t="s">
        <v>174</v>
      </c>
      <c r="O52" s="23" t="s">
        <v>33</v>
      </c>
      <c r="P52" s="26">
        <f t="shared" si="8"/>
        <v>0</v>
      </c>
      <c r="Q52" s="26">
        <f t="shared" si="9"/>
        <v>0</v>
      </c>
      <c r="R52" s="32">
        <f t="shared" si="10"/>
        <v>0</v>
      </c>
      <c r="S52" s="33">
        <f t="shared" si="11"/>
        <v>0</v>
      </c>
      <c r="T52" s="18"/>
      <c r="AG52" s="15"/>
    </row>
    <row r="53" spans="1:33">
      <c r="A53" s="173"/>
      <c r="B53" s="173"/>
      <c r="C53" s="173"/>
      <c r="D53" s="173"/>
      <c r="E53" s="173"/>
      <c r="F53" s="173"/>
      <c r="G53" s="173"/>
      <c r="N53" s="42" t="s">
        <v>174</v>
      </c>
      <c r="O53" s="23" t="s">
        <v>34</v>
      </c>
      <c r="P53" s="26">
        <f t="shared" si="8"/>
        <v>0</v>
      </c>
      <c r="Q53" s="26">
        <f t="shared" si="9"/>
        <v>0</v>
      </c>
      <c r="R53" s="32">
        <f t="shared" si="10"/>
        <v>0</v>
      </c>
      <c r="S53" s="33">
        <f t="shared" si="11"/>
        <v>0</v>
      </c>
      <c r="T53" s="18"/>
      <c r="AG53" s="15"/>
    </row>
    <row r="54" spans="1:33">
      <c r="A54" s="14"/>
      <c r="B54" s="15"/>
      <c r="C54" s="15"/>
      <c r="D54" s="16"/>
      <c r="E54" s="16"/>
      <c r="F54" s="17"/>
      <c r="G54" s="18"/>
      <c r="N54" s="42" t="s">
        <v>174</v>
      </c>
      <c r="O54" s="23" t="s">
        <v>35</v>
      </c>
      <c r="P54" s="26">
        <f t="shared" si="8"/>
        <v>0</v>
      </c>
      <c r="Q54" s="26">
        <f t="shared" si="9"/>
        <v>0</v>
      </c>
      <c r="R54" s="32">
        <f t="shared" si="10"/>
        <v>0</v>
      </c>
      <c r="S54" s="33">
        <f t="shared" si="11"/>
        <v>0</v>
      </c>
      <c r="T54" s="18"/>
      <c r="AG54" s="15"/>
    </row>
    <row r="55" spans="1:33">
      <c r="A55" s="14"/>
      <c r="B55" s="15"/>
      <c r="C55" s="15"/>
      <c r="D55" s="16"/>
      <c r="E55" s="16"/>
      <c r="F55" s="17"/>
      <c r="G55" s="18"/>
      <c r="N55" s="42" t="s">
        <v>174</v>
      </c>
      <c r="O55" s="23" t="s">
        <v>36</v>
      </c>
      <c r="P55" s="26">
        <f t="shared" si="8"/>
        <v>0</v>
      </c>
      <c r="Q55" s="26">
        <f t="shared" si="9"/>
        <v>0</v>
      </c>
      <c r="R55" s="32">
        <f t="shared" si="10"/>
        <v>0</v>
      </c>
      <c r="S55" s="33">
        <f t="shared" si="11"/>
        <v>0</v>
      </c>
      <c r="T55" s="18"/>
      <c r="AG55" s="15"/>
    </row>
    <row r="56" spans="1:33">
      <c r="A56" s="14"/>
      <c r="B56" s="15"/>
      <c r="C56" s="15"/>
      <c r="D56" s="16"/>
      <c r="E56" s="16"/>
      <c r="F56" s="17"/>
      <c r="G56" s="18"/>
      <c r="N56" s="42" t="s">
        <v>174</v>
      </c>
      <c r="O56" s="23" t="s">
        <v>37</v>
      </c>
      <c r="P56" s="26">
        <f t="shared" si="8"/>
        <v>0</v>
      </c>
      <c r="Q56" s="26">
        <f t="shared" si="9"/>
        <v>0</v>
      </c>
      <c r="R56" s="32">
        <f t="shared" si="10"/>
        <v>0</v>
      </c>
      <c r="S56" s="33">
        <f t="shared" si="11"/>
        <v>0</v>
      </c>
      <c r="T56" s="18"/>
      <c r="AG56" s="15"/>
    </row>
    <row r="57" spans="1:33">
      <c r="A57" s="14"/>
      <c r="B57" s="15"/>
      <c r="C57" s="15"/>
      <c r="D57" s="16"/>
      <c r="E57" s="16"/>
      <c r="F57" s="17"/>
      <c r="G57" s="18"/>
      <c r="N57" s="8" t="s">
        <v>174</v>
      </c>
      <c r="O57" s="9"/>
      <c r="P57" s="27">
        <f>SUM(P45:P56)</f>
        <v>0</v>
      </c>
      <c r="Q57" s="27">
        <f>SUM(Q45:Q56)</f>
        <v>0</v>
      </c>
      <c r="R57" s="34" t="e">
        <f>Q57/P57</f>
        <v>#DIV/0!</v>
      </c>
      <c r="S57" s="35">
        <f>SUM(S45:S56)</f>
        <v>0</v>
      </c>
      <c r="T57" s="22"/>
      <c r="AG57" s="13"/>
    </row>
    <row r="58" spans="1:33">
      <c r="A58" s="14"/>
      <c r="B58" s="15"/>
      <c r="C58" s="15"/>
      <c r="D58" s="16"/>
      <c r="E58" s="16"/>
      <c r="F58" s="17"/>
      <c r="G58" s="18"/>
    </row>
    <row r="59" spans="1:33">
      <c r="A59" s="19"/>
      <c r="B59" s="19"/>
      <c r="C59" s="13"/>
      <c r="D59" s="20"/>
      <c r="E59" s="20"/>
      <c r="F59" s="21"/>
      <c r="G59" s="22"/>
    </row>
    <row r="60" spans="1:33">
      <c r="A60" s="10" t="s">
        <v>91</v>
      </c>
      <c r="B60" s="11">
        <v>25</v>
      </c>
      <c r="C60" s="2"/>
      <c r="D60" s="2"/>
      <c r="E60" s="2"/>
      <c r="F60" s="2"/>
      <c r="G60" s="2"/>
    </row>
  </sheetData>
  <mergeCells count="41">
    <mergeCell ref="Y1:Y2"/>
    <mergeCell ref="Z1:Z2"/>
    <mergeCell ref="AA1:AA2"/>
    <mergeCell ref="AG1:AG2"/>
    <mergeCell ref="S43:S44"/>
    <mergeCell ref="T43:T44"/>
    <mergeCell ref="V1:V2"/>
    <mergeCell ref="W1:W2"/>
    <mergeCell ref="X1:X2"/>
    <mergeCell ref="S1:U1"/>
    <mergeCell ref="AB1:AF1"/>
    <mergeCell ref="P1:P2"/>
    <mergeCell ref="P43:P44"/>
    <mergeCell ref="Q1:Q2"/>
    <mergeCell ref="Q43:Q44"/>
    <mergeCell ref="R1:R2"/>
    <mergeCell ref="R43:R44"/>
    <mergeCell ref="M1:M2"/>
    <mergeCell ref="N1:N2"/>
    <mergeCell ref="N43:N44"/>
    <mergeCell ref="O1:O2"/>
    <mergeCell ref="O43:O44"/>
    <mergeCell ref="H1:H2"/>
    <mergeCell ref="I1:I2"/>
    <mergeCell ref="J1:J2"/>
    <mergeCell ref="K1:K2"/>
    <mergeCell ref="L1:L2"/>
    <mergeCell ref="A1:A2"/>
    <mergeCell ref="A52:A53"/>
    <mergeCell ref="B1:B2"/>
    <mergeCell ref="B52:B53"/>
    <mergeCell ref="C1:C2"/>
    <mergeCell ref="C52:C53"/>
    <mergeCell ref="G1:G2"/>
    <mergeCell ref="G52:G53"/>
    <mergeCell ref="D1:D2"/>
    <mergeCell ref="D52:D53"/>
    <mergeCell ref="E1:E2"/>
    <mergeCell ref="E52:E53"/>
    <mergeCell ref="F1:F2"/>
    <mergeCell ref="F52:F53"/>
  </mergeCells>
  <pageMargins left="0.7" right="0.7" top="0.75" bottom="0.75" header="0.3" footer="0.3"/>
  <pageSetup orientation="portrait"/>
  <headerFooter>
    <oddFooter>&amp;CNBCU Internal</oddFooter>
  </headerFooter>
  <drawing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A1:AG65"/>
  <sheetViews>
    <sheetView topLeftCell="I1" workbookViewId="0">
      <selection activeCell="W21" sqref="W21"/>
    </sheetView>
  </sheetViews>
  <sheetFormatPr defaultColWidth="8.81640625" defaultRowHeight="14.5"/>
  <cols>
    <col min="1" max="1" width="9.81640625" style="3" customWidth="1"/>
    <col min="2" max="2" width="12" style="3" customWidth="1"/>
    <col min="3" max="3" width="14.1796875" style="3" customWidth="1"/>
    <col min="4" max="4" width="5.453125" style="3" customWidth="1"/>
    <col min="5" max="6" width="9" style="3" customWidth="1"/>
    <col min="7" max="7" width="8.81640625" style="3" customWidth="1"/>
    <col min="8" max="8" width="19.453125" style="3" customWidth="1"/>
    <col min="9" max="9" width="19.81640625" style="3" customWidth="1"/>
    <col min="10" max="10" width="11.453125" style="3" customWidth="1"/>
    <col min="11" max="11" width="13.1796875" style="3" customWidth="1"/>
    <col min="12" max="12" width="11.1796875" style="3" customWidth="1"/>
    <col min="13" max="14" width="13.1796875" style="3" customWidth="1"/>
    <col min="15" max="15" width="13.81640625" style="3" customWidth="1"/>
    <col min="16" max="16" width="22.453125" style="3" customWidth="1"/>
    <col min="17" max="18" width="19.453125" style="3" customWidth="1"/>
    <col min="19" max="19" width="12.1796875" style="3" customWidth="1"/>
    <col min="20" max="20" width="17.453125" style="3" customWidth="1"/>
    <col min="21" max="21" width="9.81640625" style="3" customWidth="1"/>
    <col min="22" max="22" width="18" style="3" customWidth="1"/>
    <col min="23" max="23" width="19.1796875" style="3" customWidth="1"/>
    <col min="24" max="24" width="13.453125" style="3" customWidth="1"/>
    <col min="25" max="25" width="10.1796875" style="3" customWidth="1"/>
    <col min="26" max="26" width="18.1796875" style="3" customWidth="1"/>
    <col min="27" max="27" width="6.453125" style="3" customWidth="1"/>
    <col min="28" max="28" width="15" style="3" customWidth="1"/>
    <col min="29" max="29" width="9.453125" style="3" customWidth="1"/>
    <col min="30" max="30" width="18" style="3" customWidth="1"/>
    <col min="31" max="31" width="12.1796875" style="3" customWidth="1"/>
    <col min="32" max="32" width="11.453125" style="3" customWidth="1"/>
    <col min="33" max="33" width="13.81640625" style="3" hidden="1" customWidth="1"/>
    <col min="34" max="16384" width="8.81640625" style="3"/>
  </cols>
  <sheetData>
    <row r="1" spans="1:33" s="1" customFormat="1" ht="33" customHeight="1">
      <c r="A1" s="172" t="s">
        <v>22</v>
      </c>
      <c r="B1" s="172" t="s">
        <v>47</v>
      </c>
      <c r="C1" s="172" t="s">
        <v>48</v>
      </c>
      <c r="D1" s="172" t="s">
        <v>79</v>
      </c>
      <c r="E1" s="172" t="s">
        <v>80</v>
      </c>
      <c r="F1" s="172" t="s">
        <v>81</v>
      </c>
      <c r="G1" s="172" t="s">
        <v>82</v>
      </c>
      <c r="H1" s="172" t="s">
        <v>50</v>
      </c>
      <c r="I1" s="172" t="s">
        <v>51</v>
      </c>
      <c r="J1" s="172" t="s">
        <v>53</v>
      </c>
      <c r="K1" s="172" t="s">
        <v>54</v>
      </c>
      <c r="L1" s="172" t="s">
        <v>55</v>
      </c>
      <c r="M1" s="172" t="s">
        <v>56</v>
      </c>
      <c r="N1" s="175" t="s">
        <v>57</v>
      </c>
      <c r="O1" s="172" t="s">
        <v>58</v>
      </c>
      <c r="P1" s="172" t="s">
        <v>83</v>
      </c>
      <c r="Q1" s="172" t="s">
        <v>95</v>
      </c>
      <c r="R1" s="172" t="s">
        <v>60</v>
      </c>
      <c r="S1" s="172" t="s">
        <v>61</v>
      </c>
      <c r="T1" s="172"/>
      <c r="U1" s="172"/>
      <c r="V1" s="172" t="s">
        <v>62</v>
      </c>
      <c r="W1" s="172" t="s">
        <v>63</v>
      </c>
      <c r="X1" s="172" t="s">
        <v>64</v>
      </c>
      <c r="Y1" s="172" t="s">
        <v>85</v>
      </c>
      <c r="Z1" s="172" t="s">
        <v>66</v>
      </c>
      <c r="AA1" s="172" t="s">
        <v>3</v>
      </c>
      <c r="AB1" s="172" t="s">
        <v>67</v>
      </c>
      <c r="AC1" s="172"/>
      <c r="AD1" s="172"/>
      <c r="AE1" s="172"/>
      <c r="AF1" s="172"/>
      <c r="AG1" s="174" t="s">
        <v>86</v>
      </c>
    </row>
    <row r="2" spans="1:33" s="1" customFormat="1" ht="55.5" customHeigh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6"/>
      <c r="O2" s="172"/>
      <c r="P2" s="172"/>
      <c r="Q2" s="172"/>
      <c r="R2" s="172"/>
      <c r="S2" s="4" t="s">
        <v>68</v>
      </c>
      <c r="T2" s="4" t="s">
        <v>69</v>
      </c>
      <c r="U2" s="4" t="s">
        <v>70</v>
      </c>
      <c r="V2" s="172"/>
      <c r="W2" s="172"/>
      <c r="X2" s="172"/>
      <c r="Y2" s="172"/>
      <c r="Z2" s="172"/>
      <c r="AA2" s="172"/>
      <c r="AB2" s="4" t="s">
        <v>96</v>
      </c>
      <c r="AC2" s="4" t="s">
        <v>97</v>
      </c>
      <c r="AD2" s="4" t="s">
        <v>73</v>
      </c>
      <c r="AE2" s="4" t="s">
        <v>74</v>
      </c>
      <c r="AF2" s="4" t="s">
        <v>75</v>
      </c>
      <c r="AG2" s="174"/>
    </row>
    <row r="3" spans="1:33" ht="17.25" customHeight="1">
      <c r="A3" s="42" t="s">
        <v>176</v>
      </c>
      <c r="B3" s="48" t="s">
        <v>112</v>
      </c>
      <c r="C3" s="43" t="s">
        <v>89</v>
      </c>
      <c r="D3" s="23">
        <v>1</v>
      </c>
      <c r="E3" s="44">
        <v>44197</v>
      </c>
      <c r="F3" s="44">
        <v>44225</v>
      </c>
      <c r="G3" s="23" t="s">
        <v>26</v>
      </c>
      <c r="H3" s="23">
        <v>83</v>
      </c>
      <c r="I3" s="23">
        <f t="shared" ref="I3:I9" si="0">H3</f>
        <v>83</v>
      </c>
      <c r="J3" s="23">
        <f t="shared" ref="J3:J9" si="1">H3</f>
        <v>83</v>
      </c>
      <c r="K3" s="24">
        <f t="shared" ref="K3:K9" si="2">H3</f>
        <v>83</v>
      </c>
      <c r="L3" s="23">
        <v>0</v>
      </c>
      <c r="M3" s="23">
        <v>1</v>
      </c>
      <c r="N3" s="23">
        <v>0</v>
      </c>
      <c r="O3" s="24">
        <f>H3</f>
        <v>83</v>
      </c>
      <c r="P3" s="23">
        <v>83</v>
      </c>
      <c r="Q3" s="28">
        <v>1</v>
      </c>
      <c r="R3" s="29">
        <v>83</v>
      </c>
      <c r="S3" s="30">
        <v>14</v>
      </c>
      <c r="T3" s="30">
        <v>0</v>
      </c>
      <c r="U3" s="26">
        <v>0</v>
      </c>
      <c r="V3" s="29">
        <v>0</v>
      </c>
      <c r="W3" s="31">
        <v>0</v>
      </c>
      <c r="X3" s="29">
        <f t="shared" ref="X3:X9" si="3">SUM(S3,T3,V3,W3)</f>
        <v>14</v>
      </c>
      <c r="Y3" s="29">
        <f t="shared" ref="Y3:Y9" si="4">R3-X3</f>
        <v>69</v>
      </c>
      <c r="Z3" s="36">
        <v>0</v>
      </c>
      <c r="AA3" s="23"/>
      <c r="AB3" s="37">
        <f t="shared" ref="AB3:AB10" si="5">J3/I3</f>
        <v>1</v>
      </c>
      <c r="AC3" s="37">
        <f t="shared" ref="AC3:AC10" si="6">J3/H3</f>
        <v>1</v>
      </c>
      <c r="AD3" s="37">
        <f t="shared" ref="AD3:AD10" si="7">P3/(O3*D3)</f>
        <v>1</v>
      </c>
      <c r="AE3" s="37">
        <f t="shared" ref="AE3:AE10" si="8">IFERROR(Y3/R3,0)</f>
        <v>0.83132530120481929</v>
      </c>
      <c r="AF3" s="46">
        <f t="shared" ref="AF3:AF9" si="9">Y3*$B$15</f>
        <v>1725</v>
      </c>
      <c r="AG3" s="23">
        <v>8</v>
      </c>
    </row>
    <row r="4" spans="1:33" ht="17.25" customHeight="1">
      <c r="A4" s="42" t="s">
        <v>176</v>
      </c>
      <c r="B4" s="42" t="s">
        <v>88</v>
      </c>
      <c r="C4" s="43" t="s">
        <v>175</v>
      </c>
      <c r="D4" s="23">
        <v>1</v>
      </c>
      <c r="E4" s="44">
        <v>44228</v>
      </c>
      <c r="F4" s="44">
        <v>44253</v>
      </c>
      <c r="G4" s="23" t="s">
        <v>27</v>
      </c>
      <c r="H4" s="23">
        <v>83</v>
      </c>
      <c r="I4" s="23">
        <f t="shared" si="0"/>
        <v>83</v>
      </c>
      <c r="J4" s="23">
        <f t="shared" si="1"/>
        <v>83</v>
      </c>
      <c r="K4" s="24">
        <f t="shared" si="2"/>
        <v>83</v>
      </c>
      <c r="L4" s="23">
        <v>0</v>
      </c>
      <c r="M4" s="23">
        <v>0</v>
      </c>
      <c r="N4" s="23">
        <v>0</v>
      </c>
      <c r="O4" s="24">
        <f>H4</f>
        <v>83</v>
      </c>
      <c r="P4" s="23">
        <v>0</v>
      </c>
      <c r="Q4" s="28">
        <v>0</v>
      </c>
      <c r="R4" s="29">
        <v>0</v>
      </c>
      <c r="S4" s="30">
        <v>0</v>
      </c>
      <c r="T4" s="30">
        <v>0</v>
      </c>
      <c r="U4" s="26">
        <v>0</v>
      </c>
      <c r="V4" s="29">
        <v>0</v>
      </c>
      <c r="W4" s="31">
        <v>0</v>
      </c>
      <c r="X4" s="29">
        <f t="shared" si="3"/>
        <v>0</v>
      </c>
      <c r="Y4" s="29">
        <f t="shared" si="4"/>
        <v>0</v>
      </c>
      <c r="Z4" s="36">
        <v>0</v>
      </c>
      <c r="AA4" s="23"/>
      <c r="AB4" s="37">
        <f t="shared" si="5"/>
        <v>1</v>
      </c>
      <c r="AC4" s="37">
        <f t="shared" si="6"/>
        <v>1</v>
      </c>
      <c r="AD4" s="37">
        <f t="shared" si="7"/>
        <v>0</v>
      </c>
      <c r="AE4" s="37">
        <f t="shared" si="8"/>
        <v>0</v>
      </c>
      <c r="AF4" s="46">
        <f t="shared" si="9"/>
        <v>0</v>
      </c>
      <c r="AG4" s="23">
        <v>8</v>
      </c>
    </row>
    <row r="5" spans="1:33" ht="17.25" customHeight="1">
      <c r="A5" s="42" t="s">
        <v>176</v>
      </c>
      <c r="B5" s="42" t="s">
        <v>88</v>
      </c>
      <c r="C5" s="43" t="s">
        <v>177</v>
      </c>
      <c r="D5" s="23">
        <v>1</v>
      </c>
      <c r="E5" s="44">
        <v>44256</v>
      </c>
      <c r="F5" s="44">
        <v>44286</v>
      </c>
      <c r="G5" s="23" t="s">
        <v>28</v>
      </c>
      <c r="H5" s="23">
        <v>83</v>
      </c>
      <c r="I5" s="23">
        <f t="shared" si="0"/>
        <v>83</v>
      </c>
      <c r="J5" s="23">
        <f t="shared" si="1"/>
        <v>83</v>
      </c>
      <c r="K5" s="24">
        <f t="shared" si="2"/>
        <v>83</v>
      </c>
      <c r="L5" s="23">
        <v>0</v>
      </c>
      <c r="M5" s="23">
        <v>0</v>
      </c>
      <c r="N5" s="23">
        <v>0</v>
      </c>
      <c r="O5" s="24">
        <f t="shared" ref="O5:O10" si="10">H5</f>
        <v>83</v>
      </c>
      <c r="P5" s="23">
        <v>0</v>
      </c>
      <c r="Q5" s="28">
        <v>0</v>
      </c>
      <c r="R5" s="29">
        <v>0</v>
      </c>
      <c r="S5" s="30">
        <v>0</v>
      </c>
      <c r="T5" s="30">
        <v>0</v>
      </c>
      <c r="U5" s="26">
        <v>0</v>
      </c>
      <c r="V5" s="29">
        <v>0</v>
      </c>
      <c r="W5" s="31">
        <v>0</v>
      </c>
      <c r="X5" s="29">
        <f t="shared" si="3"/>
        <v>0</v>
      </c>
      <c r="Y5" s="29">
        <f t="shared" si="4"/>
        <v>0</v>
      </c>
      <c r="Z5" s="36">
        <v>0</v>
      </c>
      <c r="AA5" s="23"/>
      <c r="AB5" s="37">
        <f t="shared" si="5"/>
        <v>1</v>
      </c>
      <c r="AC5" s="37">
        <f t="shared" si="6"/>
        <v>1</v>
      </c>
      <c r="AD5" s="37">
        <f t="shared" si="7"/>
        <v>0</v>
      </c>
      <c r="AE5" s="37">
        <f t="shared" si="8"/>
        <v>0</v>
      </c>
      <c r="AF5" s="46">
        <f t="shared" si="9"/>
        <v>0</v>
      </c>
      <c r="AG5" s="23">
        <v>8</v>
      </c>
    </row>
    <row r="6" spans="1:33" ht="17.25" customHeight="1">
      <c r="A6" s="42" t="s">
        <v>176</v>
      </c>
      <c r="B6" s="42" t="s">
        <v>88</v>
      </c>
      <c r="C6" s="43" t="s">
        <v>178</v>
      </c>
      <c r="D6" s="23">
        <v>1</v>
      </c>
      <c r="E6" s="44">
        <v>44287</v>
      </c>
      <c r="F6" s="44">
        <v>44316</v>
      </c>
      <c r="G6" s="23" t="s">
        <v>29</v>
      </c>
      <c r="H6" s="23">
        <v>83</v>
      </c>
      <c r="I6" s="23">
        <f t="shared" si="0"/>
        <v>83</v>
      </c>
      <c r="J6" s="23">
        <f t="shared" si="1"/>
        <v>83</v>
      </c>
      <c r="K6" s="24">
        <f t="shared" si="2"/>
        <v>83</v>
      </c>
      <c r="L6" s="23">
        <v>0</v>
      </c>
      <c r="M6" s="23">
        <v>0</v>
      </c>
      <c r="N6" s="23">
        <v>0</v>
      </c>
      <c r="O6" s="24">
        <f t="shared" si="10"/>
        <v>83</v>
      </c>
      <c r="P6" s="23">
        <v>0</v>
      </c>
      <c r="Q6" s="28">
        <v>0</v>
      </c>
      <c r="R6" s="29">
        <v>0</v>
      </c>
      <c r="S6" s="30">
        <v>0</v>
      </c>
      <c r="T6" s="30">
        <v>0</v>
      </c>
      <c r="U6" s="26">
        <v>0</v>
      </c>
      <c r="V6" s="29">
        <v>0</v>
      </c>
      <c r="W6" s="31">
        <v>0</v>
      </c>
      <c r="X6" s="29">
        <f t="shared" si="3"/>
        <v>0</v>
      </c>
      <c r="Y6" s="29">
        <f t="shared" si="4"/>
        <v>0</v>
      </c>
      <c r="Z6" s="36">
        <v>0</v>
      </c>
      <c r="AA6" s="23"/>
      <c r="AB6" s="37">
        <f t="shared" si="5"/>
        <v>1</v>
      </c>
      <c r="AC6" s="37">
        <f t="shared" si="6"/>
        <v>1</v>
      </c>
      <c r="AD6" s="37">
        <f t="shared" si="7"/>
        <v>0</v>
      </c>
      <c r="AE6" s="37">
        <f t="shared" si="8"/>
        <v>0</v>
      </c>
      <c r="AF6" s="46">
        <f t="shared" si="9"/>
        <v>0</v>
      </c>
      <c r="AG6" s="23">
        <v>8</v>
      </c>
    </row>
    <row r="7" spans="1:33" ht="17.25" customHeight="1">
      <c r="A7" s="42" t="s">
        <v>176</v>
      </c>
      <c r="B7" s="42" t="s">
        <v>88</v>
      </c>
      <c r="C7" s="43" t="s">
        <v>179</v>
      </c>
      <c r="D7" s="23">
        <v>1</v>
      </c>
      <c r="E7" s="44">
        <v>44317</v>
      </c>
      <c r="F7" s="44">
        <v>44347</v>
      </c>
      <c r="G7" s="23" t="s">
        <v>30</v>
      </c>
      <c r="H7" s="23">
        <v>83</v>
      </c>
      <c r="I7" s="23">
        <f t="shared" si="0"/>
        <v>83</v>
      </c>
      <c r="J7" s="23">
        <f t="shared" si="1"/>
        <v>83</v>
      </c>
      <c r="K7" s="24">
        <f t="shared" si="2"/>
        <v>83</v>
      </c>
      <c r="L7" s="23">
        <v>0</v>
      </c>
      <c r="M7" s="23">
        <v>0</v>
      </c>
      <c r="N7" s="23">
        <v>0</v>
      </c>
      <c r="O7" s="24">
        <f t="shared" si="10"/>
        <v>83</v>
      </c>
      <c r="P7" s="23">
        <v>0</v>
      </c>
      <c r="Q7" s="28">
        <v>0</v>
      </c>
      <c r="R7" s="29">
        <v>0</v>
      </c>
      <c r="S7" s="30">
        <v>0</v>
      </c>
      <c r="T7" s="30">
        <v>0</v>
      </c>
      <c r="U7" s="26">
        <v>0</v>
      </c>
      <c r="V7" s="29">
        <v>0</v>
      </c>
      <c r="W7" s="31">
        <v>0</v>
      </c>
      <c r="X7" s="29">
        <f t="shared" si="3"/>
        <v>0</v>
      </c>
      <c r="Y7" s="29">
        <f t="shared" si="4"/>
        <v>0</v>
      </c>
      <c r="Z7" s="36">
        <v>0</v>
      </c>
      <c r="AA7" s="23"/>
      <c r="AB7" s="37">
        <f t="shared" si="5"/>
        <v>1</v>
      </c>
      <c r="AC7" s="37">
        <f t="shared" si="6"/>
        <v>1</v>
      </c>
      <c r="AD7" s="37">
        <f t="shared" si="7"/>
        <v>0</v>
      </c>
      <c r="AE7" s="37">
        <f t="shared" si="8"/>
        <v>0</v>
      </c>
      <c r="AF7" s="46">
        <f t="shared" si="9"/>
        <v>0</v>
      </c>
      <c r="AG7" s="23">
        <v>8</v>
      </c>
    </row>
    <row r="8" spans="1:33" ht="17.25" customHeight="1">
      <c r="A8" s="42" t="s">
        <v>176</v>
      </c>
      <c r="B8" s="42" t="s">
        <v>88</v>
      </c>
      <c r="C8" s="43" t="s">
        <v>180</v>
      </c>
      <c r="D8" s="23">
        <v>1</v>
      </c>
      <c r="E8" s="44">
        <v>44348</v>
      </c>
      <c r="F8" s="44">
        <v>44377</v>
      </c>
      <c r="G8" s="23" t="s">
        <v>31</v>
      </c>
      <c r="H8" s="23">
        <v>83</v>
      </c>
      <c r="I8" s="23">
        <f t="shared" si="0"/>
        <v>83</v>
      </c>
      <c r="J8" s="23">
        <f t="shared" si="1"/>
        <v>83</v>
      </c>
      <c r="K8" s="24">
        <f t="shared" si="2"/>
        <v>83</v>
      </c>
      <c r="L8" s="23">
        <v>0</v>
      </c>
      <c r="M8" s="23">
        <v>0</v>
      </c>
      <c r="N8" s="23">
        <v>0</v>
      </c>
      <c r="O8" s="24">
        <f t="shared" si="10"/>
        <v>83</v>
      </c>
      <c r="P8" s="23">
        <v>0</v>
      </c>
      <c r="Q8" s="28">
        <v>0</v>
      </c>
      <c r="R8" s="29">
        <v>0</v>
      </c>
      <c r="S8" s="30">
        <v>0</v>
      </c>
      <c r="T8" s="30">
        <v>0</v>
      </c>
      <c r="U8" s="26">
        <v>0</v>
      </c>
      <c r="V8" s="29">
        <v>0</v>
      </c>
      <c r="W8" s="31">
        <v>0</v>
      </c>
      <c r="X8" s="29">
        <f t="shared" si="3"/>
        <v>0</v>
      </c>
      <c r="Y8" s="29">
        <f t="shared" si="4"/>
        <v>0</v>
      </c>
      <c r="Z8" s="36">
        <v>0</v>
      </c>
      <c r="AA8" s="23"/>
      <c r="AB8" s="37">
        <f t="shared" si="5"/>
        <v>1</v>
      </c>
      <c r="AC8" s="37">
        <f t="shared" si="6"/>
        <v>1</v>
      </c>
      <c r="AD8" s="37">
        <f t="shared" si="7"/>
        <v>0</v>
      </c>
      <c r="AE8" s="37">
        <f t="shared" si="8"/>
        <v>0</v>
      </c>
      <c r="AF8" s="46">
        <f t="shared" si="9"/>
        <v>0</v>
      </c>
      <c r="AG8" s="23">
        <v>8</v>
      </c>
    </row>
    <row r="9" spans="1:33" ht="17.25" customHeight="1">
      <c r="A9" s="42" t="s">
        <v>176</v>
      </c>
      <c r="B9" s="42" t="s">
        <v>88</v>
      </c>
      <c r="C9" s="43" t="s">
        <v>181</v>
      </c>
      <c r="D9" s="23">
        <v>1</v>
      </c>
      <c r="E9" s="44">
        <v>44378</v>
      </c>
      <c r="F9" s="44">
        <v>44393</v>
      </c>
      <c r="G9" s="23" t="s">
        <v>32</v>
      </c>
      <c r="H9" s="23">
        <v>83</v>
      </c>
      <c r="I9" s="23">
        <f t="shared" si="0"/>
        <v>83</v>
      </c>
      <c r="J9" s="23">
        <f t="shared" si="1"/>
        <v>83</v>
      </c>
      <c r="K9" s="24">
        <f t="shared" si="2"/>
        <v>83</v>
      </c>
      <c r="L9" s="23">
        <v>0</v>
      </c>
      <c r="M9" s="23">
        <v>0</v>
      </c>
      <c r="N9" s="23">
        <v>0</v>
      </c>
      <c r="O9" s="24">
        <f t="shared" si="10"/>
        <v>83</v>
      </c>
      <c r="P9" s="23">
        <v>0</v>
      </c>
      <c r="Q9" s="28">
        <v>0</v>
      </c>
      <c r="R9" s="29">
        <v>0</v>
      </c>
      <c r="S9" s="30">
        <v>0</v>
      </c>
      <c r="T9" s="30">
        <v>0</v>
      </c>
      <c r="U9" s="26">
        <v>0</v>
      </c>
      <c r="V9" s="29">
        <v>0</v>
      </c>
      <c r="W9" s="31">
        <v>0</v>
      </c>
      <c r="X9" s="29">
        <f t="shared" si="3"/>
        <v>0</v>
      </c>
      <c r="Y9" s="29">
        <f t="shared" si="4"/>
        <v>0</v>
      </c>
      <c r="Z9" s="36">
        <v>0</v>
      </c>
      <c r="AA9" s="23"/>
      <c r="AB9" s="37">
        <f t="shared" si="5"/>
        <v>1</v>
      </c>
      <c r="AC9" s="37">
        <f t="shared" si="6"/>
        <v>1</v>
      </c>
      <c r="AD9" s="37">
        <f t="shared" si="7"/>
        <v>0</v>
      </c>
      <c r="AE9" s="37">
        <f t="shared" si="8"/>
        <v>0</v>
      </c>
      <c r="AF9" s="46">
        <f t="shared" si="9"/>
        <v>0</v>
      </c>
      <c r="AG9" s="23">
        <v>8</v>
      </c>
    </row>
    <row r="10" spans="1:33" s="2" customFormat="1">
      <c r="A10" s="8" t="str">
        <f>A3</f>
        <v>TVROCS</v>
      </c>
      <c r="B10" s="8" t="s">
        <v>90</v>
      </c>
      <c r="C10" s="9" t="s">
        <v>90</v>
      </c>
      <c r="D10" s="9">
        <f ca="1">SUM(D3:INDIRECT("D"&amp;ROW()-1))</f>
        <v>7</v>
      </c>
      <c r="E10" s="9"/>
      <c r="F10" s="9"/>
      <c r="G10" s="9"/>
      <c r="H10" s="9">
        <f ca="1">INDIRECT("H"&amp;ROW()-1)</f>
        <v>83</v>
      </c>
      <c r="I10" s="9">
        <f ca="1">INDIRECT("I"&amp;ROW()-1)</f>
        <v>83</v>
      </c>
      <c r="J10" s="9">
        <f ca="1">INDIRECT("J"&amp;ROW()-1)</f>
        <v>83</v>
      </c>
      <c r="K10" s="9">
        <f ca="1">INDIRECT("K"&amp;ROW()-1)</f>
        <v>83</v>
      </c>
      <c r="L10" s="9">
        <f ca="1">SUM(L3:INDIRECT("L"&amp;ROW()-1))</f>
        <v>0</v>
      </c>
      <c r="M10" s="9">
        <f ca="1">SUM(M3:INDIRECT("M"&amp;ROW()-1))</f>
        <v>1</v>
      </c>
      <c r="N10" s="9">
        <f ca="1">SUM(N3:INDIRECT("N"&amp;ROW()-1))</f>
        <v>0</v>
      </c>
      <c r="O10" s="24">
        <f t="shared" ca="1" si="10"/>
        <v>83</v>
      </c>
      <c r="P10" s="9">
        <f ca="1">SUM(P3:INDIRECT("P"&amp;ROW()-1))</f>
        <v>83</v>
      </c>
      <c r="Q10" s="9">
        <f ca="1">SUM(Q3:INDIRECT("Q"&amp;ROW()-1))</f>
        <v>1</v>
      </c>
      <c r="R10" s="27">
        <f ca="1">SUM(R3:INDIRECT("R"&amp;ROW()-1))</f>
        <v>83</v>
      </c>
      <c r="S10" s="9">
        <f ca="1">SUM(S3:INDIRECT("S"&amp;ROW()-1))</f>
        <v>14</v>
      </c>
      <c r="T10" s="9">
        <f ca="1">SUM(T3:INDIRECT("T"&amp;ROW()-1))</f>
        <v>0</v>
      </c>
      <c r="U10" s="9">
        <f ca="1">SUM(U3:INDIRECT("U"&amp;ROW()-1))</f>
        <v>0</v>
      </c>
      <c r="V10" s="9">
        <f ca="1">SUM(V3:INDIRECT("V"&amp;ROW()-1))</f>
        <v>0</v>
      </c>
      <c r="W10" s="9">
        <f ca="1">SUM(W3:INDIRECT("W"&amp;ROW()-1))</f>
        <v>0</v>
      </c>
      <c r="X10" s="9">
        <f ca="1">SUM(X3:INDIRECT("X"&amp;ROW()-1))</f>
        <v>14</v>
      </c>
      <c r="Y10" s="27">
        <f ca="1">SUM(Y3:INDIRECT("Y"&amp;ROW()-1))</f>
        <v>69</v>
      </c>
      <c r="Z10" s="9">
        <f ca="1">SUM(Z3:INDIRECT("z"&amp;ROW()-1))</f>
        <v>0</v>
      </c>
      <c r="AA10" s="9"/>
      <c r="AB10" s="34">
        <f t="shared" ca="1" si="5"/>
        <v>1</v>
      </c>
      <c r="AC10" s="34">
        <f t="shared" ca="1" si="6"/>
        <v>1</v>
      </c>
      <c r="AD10" s="34">
        <f t="shared" ca="1" si="7"/>
        <v>0.14285714285714285</v>
      </c>
      <c r="AE10" s="39">
        <f t="shared" ca="1" si="8"/>
        <v>0.83132530120481929</v>
      </c>
      <c r="AF10" s="35">
        <f ca="1">SUM(AF3:INDIRECT("AF"&amp;ROW()-1))</f>
        <v>1725</v>
      </c>
      <c r="AG10" s="9"/>
    </row>
    <row r="11" spans="1:33" s="2" customFormat="1"/>
    <row r="12" spans="1:33" s="2" customFormat="1">
      <c r="A12" s="10"/>
      <c r="B12" s="11"/>
      <c r="E12" s="2">
        <v>11</v>
      </c>
      <c r="Q12" s="13"/>
      <c r="AD12" s="25"/>
    </row>
    <row r="13" spans="1:33" s="2" customFormat="1">
      <c r="A13" s="10"/>
      <c r="B13" s="11"/>
      <c r="Q13" s="13"/>
      <c r="AD13" s="25"/>
    </row>
    <row r="14" spans="1:33" s="2" customFormat="1">
      <c r="A14" s="10"/>
      <c r="B14" s="11"/>
      <c r="Q14" s="13"/>
      <c r="AD14" s="25"/>
    </row>
    <row r="15" spans="1:33" s="2" customFormat="1">
      <c r="A15" s="10" t="s">
        <v>91</v>
      </c>
      <c r="B15" s="11">
        <v>25</v>
      </c>
      <c r="P15" s="25"/>
      <c r="Q15" s="13"/>
      <c r="AD15" s="25"/>
    </row>
    <row r="16" spans="1:33" ht="21">
      <c r="A16" s="10" t="s">
        <v>92</v>
      </c>
      <c r="B16" s="12">
        <v>8</v>
      </c>
      <c r="C16" s="2"/>
      <c r="D16" s="2"/>
      <c r="E16" s="2"/>
      <c r="F16" s="2"/>
      <c r="G16" s="2"/>
      <c r="H16" s="2"/>
      <c r="I16" s="2"/>
      <c r="J16" s="25"/>
      <c r="K16" s="25"/>
      <c r="L16" s="2"/>
      <c r="M16" s="2"/>
      <c r="N16" s="2"/>
      <c r="O16" s="2"/>
      <c r="P16" s="2"/>
      <c r="Q16" s="13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48" spans="14:33">
      <c r="N48" s="172" t="s">
        <v>22</v>
      </c>
      <c r="O48" s="172" t="s">
        <v>82</v>
      </c>
      <c r="P48" s="172" t="s">
        <v>60</v>
      </c>
      <c r="Q48" s="172" t="s">
        <v>85</v>
      </c>
      <c r="R48" s="172" t="s">
        <v>74</v>
      </c>
      <c r="S48" s="172" t="s">
        <v>75</v>
      </c>
      <c r="T48" s="173"/>
      <c r="AG48" s="13"/>
    </row>
    <row r="49" spans="1:33">
      <c r="N49" s="172"/>
      <c r="O49" s="172"/>
      <c r="P49" s="172"/>
      <c r="Q49" s="172"/>
      <c r="R49" s="172"/>
      <c r="S49" s="172"/>
      <c r="T49" s="173"/>
      <c r="AG49" s="13"/>
    </row>
    <row r="50" spans="1:33">
      <c r="N50" s="42" t="s">
        <v>176</v>
      </c>
      <c r="O50" s="23" t="s">
        <v>26</v>
      </c>
      <c r="P50" s="26">
        <f>SUMIFS($R$3:$R$3,$G$3:$G$3,O50)</f>
        <v>83</v>
      </c>
      <c r="Q50" s="26">
        <f t="shared" ref="Q50:Q61" si="11">SUMIFS($Y$3:$Y$3,$G$3:$G$3,O50)</f>
        <v>69</v>
      </c>
      <c r="R50" s="32">
        <f t="shared" ref="R50:R61" si="12">IFERROR(Q50/P50,0)</f>
        <v>0.83132530120481929</v>
      </c>
      <c r="S50" s="33">
        <f t="shared" ref="S50:S61" si="13">SUMIFS($AF$3:$AF$3,$G$3:$G$3,O50)</f>
        <v>1725</v>
      </c>
      <c r="T50" s="18"/>
      <c r="AG50" s="15"/>
    </row>
    <row r="51" spans="1:33">
      <c r="N51" s="42" t="s">
        <v>176</v>
      </c>
      <c r="O51" s="23" t="s">
        <v>27</v>
      </c>
      <c r="P51" s="26">
        <f t="shared" ref="P51:P61" si="14">SUMIFS($R$3:$R$3,$G$3:$G$3,O51)</f>
        <v>0</v>
      </c>
      <c r="Q51" s="26">
        <f t="shared" si="11"/>
        <v>0</v>
      </c>
      <c r="R51" s="32">
        <f t="shared" si="12"/>
        <v>0</v>
      </c>
      <c r="S51" s="33">
        <f t="shared" si="13"/>
        <v>0</v>
      </c>
      <c r="T51" s="18"/>
      <c r="AG51" s="15"/>
    </row>
    <row r="52" spans="1:33">
      <c r="N52" s="42" t="s">
        <v>176</v>
      </c>
      <c r="O52" s="23" t="s">
        <v>28</v>
      </c>
      <c r="P52" s="26">
        <f t="shared" si="14"/>
        <v>0</v>
      </c>
      <c r="Q52" s="26">
        <f t="shared" si="11"/>
        <v>0</v>
      </c>
      <c r="R52" s="32">
        <f t="shared" si="12"/>
        <v>0</v>
      </c>
      <c r="S52" s="33">
        <f t="shared" si="13"/>
        <v>0</v>
      </c>
      <c r="T52" s="18"/>
      <c r="AG52" s="15"/>
    </row>
    <row r="53" spans="1:33">
      <c r="N53" s="42" t="s">
        <v>176</v>
      </c>
      <c r="O53" s="23" t="s">
        <v>29</v>
      </c>
      <c r="P53" s="26">
        <f t="shared" si="14"/>
        <v>0</v>
      </c>
      <c r="Q53" s="26">
        <f t="shared" si="11"/>
        <v>0</v>
      </c>
      <c r="R53" s="32">
        <f t="shared" si="12"/>
        <v>0</v>
      </c>
      <c r="S53" s="33">
        <f t="shared" si="13"/>
        <v>0</v>
      </c>
      <c r="T53" s="18"/>
      <c r="AG53" s="15"/>
    </row>
    <row r="54" spans="1:33">
      <c r="N54" s="42" t="s">
        <v>176</v>
      </c>
      <c r="O54" s="23" t="s">
        <v>30</v>
      </c>
      <c r="P54" s="26">
        <f t="shared" si="14"/>
        <v>0</v>
      </c>
      <c r="Q54" s="26">
        <f t="shared" si="11"/>
        <v>0</v>
      </c>
      <c r="R54" s="32">
        <f t="shared" si="12"/>
        <v>0</v>
      </c>
      <c r="S54" s="33">
        <f t="shared" si="13"/>
        <v>0</v>
      </c>
      <c r="T54" s="18"/>
      <c r="AG54" s="15"/>
    </row>
    <row r="55" spans="1:33">
      <c r="N55" s="42" t="s">
        <v>176</v>
      </c>
      <c r="O55" s="23" t="s">
        <v>31</v>
      </c>
      <c r="P55" s="26">
        <f t="shared" si="14"/>
        <v>0</v>
      </c>
      <c r="Q55" s="26">
        <f t="shared" si="11"/>
        <v>0</v>
      </c>
      <c r="R55" s="32">
        <f t="shared" si="12"/>
        <v>0</v>
      </c>
      <c r="S55" s="33">
        <f t="shared" si="13"/>
        <v>0</v>
      </c>
      <c r="T55" s="18"/>
      <c r="AG55" s="15"/>
    </row>
    <row r="56" spans="1:33" ht="15" customHeight="1">
      <c r="N56" s="42" t="s">
        <v>176</v>
      </c>
      <c r="O56" s="23" t="s">
        <v>32</v>
      </c>
      <c r="P56" s="26">
        <f t="shared" si="14"/>
        <v>0</v>
      </c>
      <c r="Q56" s="26">
        <f t="shared" si="11"/>
        <v>0</v>
      </c>
      <c r="R56" s="32">
        <f t="shared" si="12"/>
        <v>0</v>
      </c>
      <c r="S56" s="33">
        <f t="shared" si="13"/>
        <v>0</v>
      </c>
      <c r="T56" s="18"/>
      <c r="AG56" s="15"/>
    </row>
    <row r="57" spans="1:33">
      <c r="A57" s="173"/>
      <c r="B57" s="173"/>
      <c r="C57" s="173"/>
      <c r="D57" s="173"/>
      <c r="E57" s="173"/>
      <c r="F57" s="173"/>
      <c r="G57" s="173"/>
      <c r="N57" s="42" t="s">
        <v>176</v>
      </c>
      <c r="O57" s="23" t="s">
        <v>33</v>
      </c>
      <c r="P57" s="26">
        <f t="shared" si="14"/>
        <v>0</v>
      </c>
      <c r="Q57" s="26">
        <f t="shared" si="11"/>
        <v>0</v>
      </c>
      <c r="R57" s="32">
        <f t="shared" si="12"/>
        <v>0</v>
      </c>
      <c r="S57" s="33">
        <f t="shared" si="13"/>
        <v>0</v>
      </c>
      <c r="T57" s="18"/>
      <c r="AG57" s="15"/>
    </row>
    <row r="58" spans="1:33">
      <c r="A58" s="173"/>
      <c r="B58" s="173"/>
      <c r="C58" s="173"/>
      <c r="D58" s="173"/>
      <c r="E58" s="173"/>
      <c r="F58" s="173"/>
      <c r="G58" s="173"/>
      <c r="N58" s="42" t="s">
        <v>176</v>
      </c>
      <c r="O58" s="23" t="s">
        <v>34</v>
      </c>
      <c r="P58" s="26">
        <f t="shared" si="14"/>
        <v>0</v>
      </c>
      <c r="Q58" s="26">
        <f t="shared" si="11"/>
        <v>0</v>
      </c>
      <c r="R58" s="32">
        <f t="shared" si="12"/>
        <v>0</v>
      </c>
      <c r="S58" s="33">
        <f t="shared" si="13"/>
        <v>0</v>
      </c>
      <c r="T58" s="18"/>
      <c r="AG58" s="15"/>
    </row>
    <row r="59" spans="1:33">
      <c r="A59" s="14"/>
      <c r="B59" s="15"/>
      <c r="C59" s="15"/>
      <c r="D59" s="16"/>
      <c r="E59" s="16"/>
      <c r="F59" s="17"/>
      <c r="G59" s="18"/>
      <c r="N59" s="42" t="s">
        <v>176</v>
      </c>
      <c r="O59" s="23" t="s">
        <v>35</v>
      </c>
      <c r="P59" s="26">
        <f t="shared" si="14"/>
        <v>0</v>
      </c>
      <c r="Q59" s="26">
        <f t="shared" si="11"/>
        <v>0</v>
      </c>
      <c r="R59" s="32">
        <f t="shared" si="12"/>
        <v>0</v>
      </c>
      <c r="S59" s="33">
        <f t="shared" si="13"/>
        <v>0</v>
      </c>
      <c r="T59" s="18"/>
      <c r="AG59" s="15"/>
    </row>
    <row r="60" spans="1:33">
      <c r="A60" s="14"/>
      <c r="B60" s="15"/>
      <c r="C60" s="15"/>
      <c r="D60" s="16"/>
      <c r="E60" s="16"/>
      <c r="F60" s="17"/>
      <c r="G60" s="18"/>
      <c r="N60" s="42" t="s">
        <v>176</v>
      </c>
      <c r="O60" s="23" t="s">
        <v>36</v>
      </c>
      <c r="P60" s="26">
        <f t="shared" si="14"/>
        <v>0</v>
      </c>
      <c r="Q60" s="26">
        <f t="shared" si="11"/>
        <v>0</v>
      </c>
      <c r="R60" s="32">
        <f t="shared" si="12"/>
        <v>0</v>
      </c>
      <c r="S60" s="33">
        <f t="shared" si="13"/>
        <v>0</v>
      </c>
      <c r="T60" s="18"/>
      <c r="AG60" s="15"/>
    </row>
    <row r="61" spans="1:33">
      <c r="A61" s="14"/>
      <c r="B61" s="15"/>
      <c r="C61" s="15"/>
      <c r="D61" s="16"/>
      <c r="E61" s="16"/>
      <c r="F61" s="17"/>
      <c r="G61" s="18"/>
      <c r="N61" s="42" t="s">
        <v>176</v>
      </c>
      <c r="O61" s="23" t="s">
        <v>37</v>
      </c>
      <c r="P61" s="26">
        <f t="shared" si="14"/>
        <v>0</v>
      </c>
      <c r="Q61" s="26">
        <f t="shared" si="11"/>
        <v>0</v>
      </c>
      <c r="R61" s="32">
        <f t="shared" si="12"/>
        <v>0</v>
      </c>
      <c r="S61" s="33">
        <f t="shared" si="13"/>
        <v>0</v>
      </c>
      <c r="T61" s="18"/>
      <c r="AG61" s="15"/>
    </row>
    <row r="62" spans="1:33">
      <c r="A62" s="14"/>
      <c r="B62" s="15"/>
      <c r="C62" s="15"/>
      <c r="D62" s="16"/>
      <c r="E62" s="16"/>
      <c r="F62" s="17"/>
      <c r="G62" s="18"/>
      <c r="N62" s="8" t="s">
        <v>176</v>
      </c>
      <c r="O62" s="9"/>
      <c r="P62" s="27">
        <f>SUM(P50:P61)</f>
        <v>83</v>
      </c>
      <c r="Q62" s="27">
        <f>SUM(Q50:Q61)</f>
        <v>69</v>
      </c>
      <c r="R62" s="34">
        <f>Q62/P62</f>
        <v>0.83132530120481929</v>
      </c>
      <c r="S62" s="35">
        <f>SUM(S50:S61)</f>
        <v>1725</v>
      </c>
      <c r="T62" s="22"/>
      <c r="AG62" s="13"/>
    </row>
    <row r="63" spans="1:33">
      <c r="A63" s="14"/>
      <c r="B63" s="15"/>
      <c r="C63" s="15"/>
      <c r="D63" s="16"/>
      <c r="E63" s="16"/>
      <c r="F63" s="17"/>
      <c r="G63" s="18"/>
    </row>
    <row r="64" spans="1:33">
      <c r="A64" s="19"/>
      <c r="B64" s="19"/>
      <c r="C64" s="13"/>
      <c r="D64" s="20"/>
      <c r="E64" s="20"/>
      <c r="F64" s="21"/>
      <c r="G64" s="22"/>
    </row>
    <row r="65" spans="1:7">
      <c r="A65" s="10" t="s">
        <v>91</v>
      </c>
      <c r="B65" s="11">
        <v>25</v>
      </c>
      <c r="C65" s="2"/>
      <c r="D65" s="2"/>
      <c r="E65" s="2"/>
      <c r="F65" s="2"/>
      <c r="G65" s="2"/>
    </row>
  </sheetData>
  <mergeCells count="41">
    <mergeCell ref="Y1:Y2"/>
    <mergeCell ref="Z1:Z2"/>
    <mergeCell ref="AA1:AA2"/>
    <mergeCell ref="AG1:AG2"/>
    <mergeCell ref="S48:S49"/>
    <mergeCell ref="T48:T49"/>
    <mergeCell ref="V1:V2"/>
    <mergeCell ref="W1:W2"/>
    <mergeCell ref="X1:X2"/>
    <mergeCell ref="S1:U1"/>
    <mergeCell ref="AB1:AF1"/>
    <mergeCell ref="P1:P2"/>
    <mergeCell ref="P48:P49"/>
    <mergeCell ref="Q1:Q2"/>
    <mergeCell ref="Q48:Q49"/>
    <mergeCell ref="R1:R2"/>
    <mergeCell ref="R48:R49"/>
    <mergeCell ref="M1:M2"/>
    <mergeCell ref="N1:N2"/>
    <mergeCell ref="N48:N49"/>
    <mergeCell ref="O1:O2"/>
    <mergeCell ref="O48:O49"/>
    <mergeCell ref="H1:H2"/>
    <mergeCell ref="I1:I2"/>
    <mergeCell ref="J1:J2"/>
    <mergeCell ref="K1:K2"/>
    <mergeCell ref="L1:L2"/>
    <mergeCell ref="A1:A2"/>
    <mergeCell ref="A57:A58"/>
    <mergeCell ref="B1:B2"/>
    <mergeCell ref="B57:B58"/>
    <mergeCell ref="C1:C2"/>
    <mergeCell ref="C57:C58"/>
    <mergeCell ref="G1:G2"/>
    <mergeCell ref="G57:G58"/>
    <mergeCell ref="D1:D2"/>
    <mergeCell ref="D57:D58"/>
    <mergeCell ref="E1:E2"/>
    <mergeCell ref="E57:E58"/>
    <mergeCell ref="F1:F2"/>
    <mergeCell ref="F57:F58"/>
  </mergeCells>
  <pageMargins left="0.7" right="0.7" top="0.75" bottom="0.75" header="0.3" footer="0.3"/>
  <pageSetup orientation="portrait"/>
  <headerFooter>
    <oddFooter>&amp;CNBCU Internal</oddFooter>
  </headerFooter>
  <drawing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92D050"/>
  </sheetPr>
  <dimension ref="A1:AG61"/>
  <sheetViews>
    <sheetView workbookViewId="0">
      <selection sqref="A1:A2"/>
    </sheetView>
  </sheetViews>
  <sheetFormatPr defaultColWidth="8.81640625" defaultRowHeight="14.5"/>
  <cols>
    <col min="1" max="1" width="9.81640625" style="3" customWidth="1"/>
    <col min="2" max="2" width="10.453125" style="3" customWidth="1"/>
    <col min="3" max="3" width="14.1796875" style="3" customWidth="1"/>
    <col min="4" max="4" width="5.453125" style="3" customWidth="1"/>
    <col min="5" max="6" width="9" style="3" customWidth="1"/>
    <col min="7" max="7" width="8.81640625" style="3" customWidth="1"/>
    <col min="8" max="8" width="19.453125" style="3" customWidth="1"/>
    <col min="9" max="9" width="19.81640625" style="3" customWidth="1"/>
    <col min="10" max="10" width="11.453125" style="3" customWidth="1"/>
    <col min="11" max="11" width="13.1796875" style="3" customWidth="1"/>
    <col min="12" max="12" width="11.1796875" style="3" customWidth="1"/>
    <col min="13" max="14" width="13.1796875" style="3" customWidth="1"/>
    <col min="15" max="15" width="13.81640625" style="3" customWidth="1"/>
    <col min="16" max="16" width="22.453125" style="3" customWidth="1"/>
    <col min="17" max="18" width="19.453125" style="3" customWidth="1"/>
    <col min="19" max="19" width="12.1796875" style="3" customWidth="1"/>
    <col min="20" max="20" width="17.453125" style="3" customWidth="1"/>
    <col min="21" max="21" width="9.81640625" style="3" customWidth="1"/>
    <col min="22" max="22" width="18" style="3" customWidth="1"/>
    <col min="23" max="23" width="19.1796875" style="3" customWidth="1"/>
    <col min="24" max="24" width="13.453125" style="3" customWidth="1"/>
    <col min="25" max="25" width="10.1796875" style="3" customWidth="1"/>
    <col min="26" max="26" width="18.1796875" style="3" customWidth="1"/>
    <col min="27" max="27" width="6.453125" style="3" customWidth="1"/>
    <col min="28" max="28" width="15" style="3" customWidth="1"/>
    <col min="29" max="29" width="9.453125" style="3" customWidth="1"/>
    <col min="30" max="30" width="18" style="3" customWidth="1"/>
    <col min="31" max="31" width="12.1796875" style="3" customWidth="1"/>
    <col min="32" max="32" width="11.453125" style="3" customWidth="1"/>
    <col min="33" max="33" width="13.81640625" style="3" hidden="1" customWidth="1"/>
    <col min="34" max="16384" width="8.81640625" style="3"/>
  </cols>
  <sheetData>
    <row r="1" spans="1:33" s="1" customFormat="1" ht="33" customHeight="1">
      <c r="A1" s="172" t="s">
        <v>22</v>
      </c>
      <c r="B1" s="172" t="s">
        <v>47</v>
      </c>
      <c r="C1" s="172" t="s">
        <v>48</v>
      </c>
      <c r="D1" s="172" t="s">
        <v>79</v>
      </c>
      <c r="E1" s="172" t="s">
        <v>80</v>
      </c>
      <c r="F1" s="172" t="s">
        <v>81</v>
      </c>
      <c r="G1" s="172" t="s">
        <v>82</v>
      </c>
      <c r="H1" s="172" t="s">
        <v>50</v>
      </c>
      <c r="I1" s="172" t="s">
        <v>51</v>
      </c>
      <c r="J1" s="172" t="s">
        <v>53</v>
      </c>
      <c r="K1" s="172" t="s">
        <v>54</v>
      </c>
      <c r="L1" s="172" t="s">
        <v>55</v>
      </c>
      <c r="M1" s="172" t="s">
        <v>56</v>
      </c>
      <c r="N1" s="175" t="s">
        <v>57</v>
      </c>
      <c r="O1" s="172" t="s">
        <v>58</v>
      </c>
      <c r="P1" s="172" t="s">
        <v>83</v>
      </c>
      <c r="Q1" s="172" t="s">
        <v>95</v>
      </c>
      <c r="R1" s="172" t="s">
        <v>60</v>
      </c>
      <c r="S1" s="172" t="s">
        <v>61</v>
      </c>
      <c r="T1" s="172"/>
      <c r="U1" s="172"/>
      <c r="V1" s="172" t="s">
        <v>62</v>
      </c>
      <c r="W1" s="172" t="s">
        <v>63</v>
      </c>
      <c r="X1" s="172" t="s">
        <v>64</v>
      </c>
      <c r="Y1" s="172" t="s">
        <v>85</v>
      </c>
      <c r="Z1" s="172" t="s">
        <v>66</v>
      </c>
      <c r="AA1" s="172" t="s">
        <v>3</v>
      </c>
      <c r="AB1" s="172" t="s">
        <v>67</v>
      </c>
      <c r="AC1" s="172"/>
      <c r="AD1" s="172"/>
      <c r="AE1" s="172"/>
      <c r="AF1" s="172"/>
      <c r="AG1" s="174" t="s">
        <v>86</v>
      </c>
    </row>
    <row r="2" spans="1:33" s="1" customFormat="1" ht="55.5" customHeigh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6"/>
      <c r="O2" s="172"/>
      <c r="P2" s="172"/>
      <c r="Q2" s="172"/>
      <c r="R2" s="172"/>
      <c r="S2" s="4" t="s">
        <v>68</v>
      </c>
      <c r="T2" s="4" t="s">
        <v>69</v>
      </c>
      <c r="U2" s="4" t="s">
        <v>70</v>
      </c>
      <c r="V2" s="172"/>
      <c r="W2" s="172"/>
      <c r="X2" s="172"/>
      <c r="Y2" s="172"/>
      <c r="Z2" s="172"/>
      <c r="AA2" s="172"/>
      <c r="AB2" s="4" t="s">
        <v>96</v>
      </c>
      <c r="AC2" s="4" t="s">
        <v>97</v>
      </c>
      <c r="AD2" s="4" t="s">
        <v>73</v>
      </c>
      <c r="AE2" s="4" t="s">
        <v>74</v>
      </c>
      <c r="AF2" s="4" t="s">
        <v>75</v>
      </c>
      <c r="AG2" s="174"/>
    </row>
    <row r="3" spans="1:33" ht="17.25" customHeight="1">
      <c r="A3" s="42" t="s">
        <v>182</v>
      </c>
      <c r="B3" s="42" t="s">
        <v>88</v>
      </c>
      <c r="C3" s="43" t="s">
        <v>89</v>
      </c>
      <c r="D3" s="23">
        <v>1</v>
      </c>
      <c r="E3" s="44">
        <v>44197</v>
      </c>
      <c r="F3" s="44">
        <v>44225</v>
      </c>
      <c r="G3" s="23" t="s">
        <v>26</v>
      </c>
      <c r="H3" s="23">
        <v>1023</v>
      </c>
      <c r="I3" s="23">
        <v>1023</v>
      </c>
      <c r="J3" s="23">
        <v>907</v>
      </c>
      <c r="K3" s="24">
        <v>907</v>
      </c>
      <c r="L3" s="23">
        <v>0</v>
      </c>
      <c r="M3" s="23">
        <v>0</v>
      </c>
      <c r="N3" s="23">
        <v>90</v>
      </c>
      <c r="O3" s="24">
        <v>907</v>
      </c>
      <c r="P3" s="23">
        <v>0</v>
      </c>
      <c r="Q3" s="28">
        <v>0</v>
      </c>
      <c r="R3" s="29">
        <f>($P3/$AG3)*8</f>
        <v>0</v>
      </c>
      <c r="S3" s="30">
        <f>P3*15/60</f>
        <v>0</v>
      </c>
      <c r="T3" s="30">
        <v>0</v>
      </c>
      <c r="U3" s="26">
        <v>0</v>
      </c>
      <c r="V3" s="29">
        <v>0</v>
      </c>
      <c r="W3" s="31">
        <v>0</v>
      </c>
      <c r="X3" s="29">
        <f>SUM(S3,T3,V3,W3)</f>
        <v>0</v>
      </c>
      <c r="Y3" s="29">
        <f>R3-X3</f>
        <v>0</v>
      </c>
      <c r="Z3" s="36">
        <v>0</v>
      </c>
      <c r="AA3" s="23"/>
      <c r="AB3" s="37">
        <f>J3/I3</f>
        <v>0.88660801564027369</v>
      </c>
      <c r="AC3" s="37">
        <f>J3/H3</f>
        <v>0.88660801564027369</v>
      </c>
      <c r="AD3" s="37">
        <f>P3/(O3*D3)</f>
        <v>0</v>
      </c>
      <c r="AE3" s="37">
        <f>IFERROR(Y3/R3,0)</f>
        <v>0</v>
      </c>
      <c r="AF3" s="46">
        <f>Y3*$B$11</f>
        <v>0</v>
      </c>
      <c r="AG3" s="23">
        <v>8</v>
      </c>
    </row>
    <row r="4" spans="1:33" ht="17.25" customHeight="1">
      <c r="A4" s="42" t="s">
        <v>182</v>
      </c>
      <c r="B4" s="42" t="s">
        <v>88</v>
      </c>
      <c r="C4" s="43" t="s">
        <v>175</v>
      </c>
      <c r="D4" s="23">
        <v>1</v>
      </c>
      <c r="E4" s="44">
        <v>44228</v>
      </c>
      <c r="F4" s="44">
        <v>44253</v>
      </c>
      <c r="G4" s="23" t="s">
        <v>27</v>
      </c>
      <c r="H4" s="23">
        <v>1023</v>
      </c>
      <c r="I4" s="23">
        <v>1023</v>
      </c>
      <c r="J4" s="23">
        <v>907</v>
      </c>
      <c r="K4" s="24">
        <v>907</v>
      </c>
      <c r="L4" s="23">
        <v>0</v>
      </c>
      <c r="M4" s="23">
        <v>0</v>
      </c>
      <c r="N4" s="23">
        <v>90</v>
      </c>
      <c r="O4" s="24">
        <v>907</v>
      </c>
      <c r="P4" s="23">
        <v>0</v>
      </c>
      <c r="Q4" s="28">
        <v>0</v>
      </c>
      <c r="R4" s="29">
        <f>($P4/$AG4)*8</f>
        <v>0</v>
      </c>
      <c r="S4" s="30">
        <f>P4*15/60</f>
        <v>0</v>
      </c>
      <c r="T4" s="30">
        <v>0</v>
      </c>
      <c r="U4" s="26">
        <v>0</v>
      </c>
      <c r="V4" s="29">
        <v>0</v>
      </c>
      <c r="W4" s="31">
        <v>0</v>
      </c>
      <c r="X4" s="29">
        <f>SUM(S4,T4,V4,W4)</f>
        <v>0</v>
      </c>
      <c r="Y4" s="29">
        <f>R4-X4</f>
        <v>0</v>
      </c>
      <c r="Z4" s="36">
        <v>0</v>
      </c>
      <c r="AA4" s="23"/>
      <c r="AB4" s="37">
        <f>J4/I4</f>
        <v>0.88660801564027369</v>
      </c>
      <c r="AC4" s="37">
        <f>J4/H4</f>
        <v>0.88660801564027369</v>
      </c>
      <c r="AD4" s="37">
        <f>P4/(O4*D4)</f>
        <v>0</v>
      </c>
      <c r="AE4" s="37">
        <f>IFERROR(Y4/R4,0)</f>
        <v>0</v>
      </c>
      <c r="AF4" s="46">
        <f>Y4*$B$11</f>
        <v>0</v>
      </c>
      <c r="AG4" s="23">
        <v>8</v>
      </c>
    </row>
    <row r="5" spans="1:33" ht="17.25" customHeight="1">
      <c r="A5" s="42" t="s">
        <v>182</v>
      </c>
      <c r="B5" s="42" t="s">
        <v>88</v>
      </c>
      <c r="C5" s="43" t="s">
        <v>177</v>
      </c>
      <c r="D5" s="23">
        <v>1</v>
      </c>
      <c r="E5" s="44">
        <v>44256</v>
      </c>
      <c r="F5" s="44">
        <v>44281</v>
      </c>
      <c r="G5" s="23" t="s">
        <v>28</v>
      </c>
      <c r="H5" s="23">
        <v>1023</v>
      </c>
      <c r="I5" s="23">
        <v>1023</v>
      </c>
      <c r="J5" s="23">
        <v>907</v>
      </c>
      <c r="K5" s="24">
        <v>907</v>
      </c>
      <c r="L5" s="23">
        <v>0</v>
      </c>
      <c r="M5" s="23">
        <v>0</v>
      </c>
      <c r="N5" s="23">
        <v>0</v>
      </c>
      <c r="O5" s="24">
        <v>907</v>
      </c>
      <c r="P5" s="23">
        <v>0</v>
      </c>
      <c r="Q5" s="28">
        <v>0</v>
      </c>
      <c r="R5" s="29">
        <v>0</v>
      </c>
      <c r="S5" s="30">
        <v>0</v>
      </c>
      <c r="T5" s="30">
        <v>0</v>
      </c>
      <c r="U5" s="26">
        <v>0</v>
      </c>
      <c r="V5" s="29">
        <v>0</v>
      </c>
      <c r="W5" s="31">
        <v>0</v>
      </c>
      <c r="X5" s="29">
        <f>SUM(S5,T5,V5,W5)</f>
        <v>0</v>
      </c>
      <c r="Y5" s="29">
        <f>R5-X5</f>
        <v>0</v>
      </c>
      <c r="Z5" s="36">
        <v>0</v>
      </c>
      <c r="AA5" s="23"/>
      <c r="AB5" s="37">
        <f>J5/I5</f>
        <v>0.88660801564027369</v>
      </c>
      <c r="AC5" s="37">
        <f>J5/H5</f>
        <v>0.88660801564027369</v>
      </c>
      <c r="AD5" s="37">
        <f>P5/(O5*D5)</f>
        <v>0</v>
      </c>
      <c r="AE5" s="37">
        <f>IFERROR(Y5/R5,0)</f>
        <v>0</v>
      </c>
      <c r="AF5" s="46">
        <f>Y5*$B$11</f>
        <v>0</v>
      </c>
      <c r="AG5" s="23">
        <v>8</v>
      </c>
    </row>
    <row r="6" spans="1:33" s="2" customFormat="1">
      <c r="A6" s="8" t="str">
        <f>A3</f>
        <v>PDM</v>
      </c>
      <c r="B6" s="8" t="s">
        <v>90</v>
      </c>
      <c r="C6" s="9" t="s">
        <v>90</v>
      </c>
      <c r="D6" s="9">
        <f ca="1">SUM(D3:INDIRECT("D"&amp;ROW()-1))</f>
        <v>3</v>
      </c>
      <c r="E6" s="9"/>
      <c r="F6" s="9"/>
      <c r="G6" s="9"/>
      <c r="H6" s="9">
        <f ca="1">INDIRECT("H"&amp;ROW()-1)</f>
        <v>1023</v>
      </c>
      <c r="I6" s="9">
        <f ca="1">INDIRECT("I"&amp;ROW()-1)</f>
        <v>1023</v>
      </c>
      <c r="J6" s="9">
        <f ca="1">INDIRECT("J"&amp;ROW()-1)</f>
        <v>907</v>
      </c>
      <c r="K6" s="9">
        <f ca="1">INDIRECT("K"&amp;ROW()-1)</f>
        <v>907</v>
      </c>
      <c r="L6" s="9">
        <f ca="1">SUM(L3:INDIRECT("L"&amp;ROW()-1))</f>
        <v>0</v>
      </c>
      <c r="M6" s="9">
        <f ca="1">SUM(M3:INDIRECT("M"&amp;ROW()-1))</f>
        <v>0</v>
      </c>
      <c r="N6" s="9">
        <f ca="1">SUM(N3:INDIRECT("N"&amp;ROW()-1))</f>
        <v>180</v>
      </c>
      <c r="O6" s="9">
        <f ca="1">INDIRECT("O"&amp;ROW()-1)</f>
        <v>907</v>
      </c>
      <c r="P6" s="9">
        <f ca="1">SUM(P3:INDIRECT("P"&amp;ROW()-1))</f>
        <v>0</v>
      </c>
      <c r="Q6" s="9">
        <f ca="1">SUM(Q3:INDIRECT("Q"&amp;ROW()-1))</f>
        <v>0</v>
      </c>
      <c r="R6" s="27">
        <f ca="1">SUM(R3:INDIRECT("R"&amp;ROW()-1))</f>
        <v>0</v>
      </c>
      <c r="S6" s="9">
        <f ca="1">SUM(S3:INDIRECT("S"&amp;ROW()-1))</f>
        <v>0</v>
      </c>
      <c r="T6" s="9">
        <f ca="1">SUM(T3:INDIRECT("T"&amp;ROW()-1))</f>
        <v>0</v>
      </c>
      <c r="U6" s="9">
        <f ca="1">SUM(U3:INDIRECT("U"&amp;ROW()-1))</f>
        <v>0</v>
      </c>
      <c r="V6" s="9">
        <f ca="1">SUM(V3:INDIRECT("V"&amp;ROW()-1))</f>
        <v>0</v>
      </c>
      <c r="W6" s="9">
        <f ca="1">SUM(W3:INDIRECT("W"&amp;ROW()-1))</f>
        <v>0</v>
      </c>
      <c r="X6" s="9">
        <f ca="1">SUM(X3:INDIRECT("X"&amp;ROW()-1))</f>
        <v>0</v>
      </c>
      <c r="Y6" s="27">
        <f ca="1">SUM(Y3:INDIRECT("Y"&amp;ROW()-1))</f>
        <v>0</v>
      </c>
      <c r="Z6" s="9">
        <f ca="1">SUM(Z3:INDIRECT("z"&amp;ROW()-1))</f>
        <v>0</v>
      </c>
      <c r="AA6" s="9"/>
      <c r="AB6" s="34">
        <f ca="1">J6/I6</f>
        <v>0.88660801564027369</v>
      </c>
      <c r="AC6" s="34">
        <f ca="1">J6/H6</f>
        <v>0.88660801564027369</v>
      </c>
      <c r="AD6" s="34">
        <f ca="1">P6/(O6*D6)</f>
        <v>0</v>
      </c>
      <c r="AE6" s="39">
        <f ca="1">IFERROR(Y6/R6,0)</f>
        <v>0</v>
      </c>
      <c r="AF6" s="35">
        <f ca="1">SUM(AF3:INDIRECT("AF"&amp;ROW()-1))</f>
        <v>0</v>
      </c>
      <c r="AG6" s="9"/>
    </row>
    <row r="7" spans="1:33" s="2" customFormat="1"/>
    <row r="8" spans="1:33" s="2" customFormat="1">
      <c r="A8" s="10"/>
      <c r="B8" s="11"/>
      <c r="E8" s="2">
        <v>11</v>
      </c>
      <c r="Q8" s="13"/>
      <c r="AD8" s="25"/>
    </row>
    <row r="9" spans="1:33" s="2" customFormat="1">
      <c r="A9" s="10"/>
      <c r="B9" s="11"/>
      <c r="Q9" s="13"/>
      <c r="AD9" s="25"/>
    </row>
    <row r="10" spans="1:33" s="2" customFormat="1">
      <c r="A10" s="10"/>
      <c r="B10" s="11"/>
      <c r="Q10" s="13"/>
      <c r="AD10" s="25"/>
    </row>
    <row r="11" spans="1:33" s="2" customFormat="1">
      <c r="A11" s="10" t="s">
        <v>91</v>
      </c>
      <c r="B11" s="11">
        <v>25</v>
      </c>
      <c r="P11" s="25"/>
      <c r="Q11" s="13"/>
      <c r="AD11" s="25"/>
    </row>
    <row r="12" spans="1:33" ht="21">
      <c r="A12" s="10" t="s">
        <v>92</v>
      </c>
      <c r="B12" s="12">
        <v>8</v>
      </c>
      <c r="C12" s="2"/>
      <c r="D12" s="2"/>
      <c r="E12" s="2"/>
      <c r="F12" s="2"/>
      <c r="G12" s="2"/>
      <c r="H12" s="2"/>
      <c r="I12" s="2"/>
      <c r="J12" s="25"/>
      <c r="K12" s="25"/>
      <c r="L12" s="2"/>
      <c r="M12" s="2"/>
      <c r="N12" s="2"/>
      <c r="O12" s="2"/>
      <c r="P12" s="2"/>
      <c r="Q12" s="1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44" spans="14:33">
      <c r="N44" s="172" t="s">
        <v>22</v>
      </c>
      <c r="O44" s="172" t="s">
        <v>82</v>
      </c>
      <c r="P44" s="172" t="s">
        <v>60</v>
      </c>
      <c r="Q44" s="172" t="s">
        <v>85</v>
      </c>
      <c r="R44" s="172" t="s">
        <v>74</v>
      </c>
      <c r="S44" s="172" t="s">
        <v>75</v>
      </c>
      <c r="T44" s="173"/>
      <c r="AG44" s="13"/>
    </row>
    <row r="45" spans="14:33">
      <c r="N45" s="172"/>
      <c r="O45" s="172"/>
      <c r="P45" s="172"/>
      <c r="Q45" s="172"/>
      <c r="R45" s="172"/>
      <c r="S45" s="172"/>
      <c r="T45" s="173"/>
      <c r="AG45" s="13"/>
    </row>
    <row r="46" spans="14:33">
      <c r="N46" s="42" t="s">
        <v>182</v>
      </c>
      <c r="O46" s="23" t="s">
        <v>26</v>
      </c>
      <c r="P46" s="26">
        <f t="shared" ref="P46:P57" si="0">SUMIFS($R$3:$R$3,$G$3:$G$3,O46)</f>
        <v>0</v>
      </c>
      <c r="Q46" s="26">
        <f t="shared" ref="Q46:Q57" si="1">SUMIFS($Y$3:$Y$3,$G$3:$G$3,O46)</f>
        <v>0</v>
      </c>
      <c r="R46" s="32">
        <f t="shared" ref="R46:R57" si="2">IFERROR(Q46/P46,0)</f>
        <v>0</v>
      </c>
      <c r="S46" s="33">
        <f t="shared" ref="S46:S57" si="3">SUMIFS($AF$3:$AF$3,$G$3:$G$3,O46)</f>
        <v>0</v>
      </c>
      <c r="T46" s="18"/>
      <c r="AG46" s="15"/>
    </row>
    <row r="47" spans="14:33">
      <c r="N47" s="42" t="s">
        <v>182</v>
      </c>
      <c r="O47" s="23" t="s">
        <v>27</v>
      </c>
      <c r="P47" s="26">
        <f t="shared" si="0"/>
        <v>0</v>
      </c>
      <c r="Q47" s="26">
        <f t="shared" si="1"/>
        <v>0</v>
      </c>
      <c r="R47" s="32">
        <f t="shared" si="2"/>
        <v>0</v>
      </c>
      <c r="S47" s="33">
        <f t="shared" si="3"/>
        <v>0</v>
      </c>
      <c r="T47" s="18"/>
      <c r="AG47" s="15"/>
    </row>
    <row r="48" spans="14:33">
      <c r="N48" s="42" t="s">
        <v>182</v>
      </c>
      <c r="O48" s="23" t="s">
        <v>28</v>
      </c>
      <c r="P48" s="26">
        <f t="shared" si="0"/>
        <v>0</v>
      </c>
      <c r="Q48" s="26">
        <f t="shared" si="1"/>
        <v>0</v>
      </c>
      <c r="R48" s="32">
        <f t="shared" si="2"/>
        <v>0</v>
      </c>
      <c r="S48" s="33">
        <f t="shared" si="3"/>
        <v>0</v>
      </c>
      <c r="T48" s="18"/>
      <c r="AG48" s="15"/>
    </row>
    <row r="49" spans="1:33">
      <c r="N49" s="42" t="s">
        <v>182</v>
      </c>
      <c r="O49" s="23" t="s">
        <v>29</v>
      </c>
      <c r="P49" s="26">
        <f t="shared" si="0"/>
        <v>0</v>
      </c>
      <c r="Q49" s="26">
        <f t="shared" si="1"/>
        <v>0</v>
      </c>
      <c r="R49" s="32">
        <f t="shared" si="2"/>
        <v>0</v>
      </c>
      <c r="S49" s="33">
        <f t="shared" si="3"/>
        <v>0</v>
      </c>
      <c r="T49" s="18"/>
      <c r="AG49" s="15"/>
    </row>
    <row r="50" spans="1:33">
      <c r="N50" s="42" t="s">
        <v>182</v>
      </c>
      <c r="O50" s="23" t="s">
        <v>30</v>
      </c>
      <c r="P50" s="26">
        <f t="shared" si="0"/>
        <v>0</v>
      </c>
      <c r="Q50" s="26">
        <f t="shared" si="1"/>
        <v>0</v>
      </c>
      <c r="R50" s="32">
        <f t="shared" si="2"/>
        <v>0</v>
      </c>
      <c r="S50" s="33">
        <f t="shared" si="3"/>
        <v>0</v>
      </c>
      <c r="T50" s="18"/>
      <c r="AG50" s="15"/>
    </row>
    <row r="51" spans="1:33">
      <c r="N51" s="42" t="s">
        <v>182</v>
      </c>
      <c r="O51" s="23" t="s">
        <v>31</v>
      </c>
      <c r="P51" s="26">
        <f t="shared" si="0"/>
        <v>0</v>
      </c>
      <c r="Q51" s="26">
        <f t="shared" si="1"/>
        <v>0</v>
      </c>
      <c r="R51" s="32">
        <f t="shared" si="2"/>
        <v>0</v>
      </c>
      <c r="S51" s="33">
        <f t="shared" si="3"/>
        <v>0</v>
      </c>
      <c r="T51" s="18"/>
      <c r="AG51" s="15"/>
    </row>
    <row r="52" spans="1:33" ht="15" customHeight="1">
      <c r="N52" s="42" t="s">
        <v>182</v>
      </c>
      <c r="O52" s="23" t="s">
        <v>32</v>
      </c>
      <c r="P52" s="26">
        <f t="shared" si="0"/>
        <v>0</v>
      </c>
      <c r="Q52" s="26">
        <f t="shared" si="1"/>
        <v>0</v>
      </c>
      <c r="R52" s="32">
        <f t="shared" si="2"/>
        <v>0</v>
      </c>
      <c r="S52" s="33">
        <f t="shared" si="3"/>
        <v>0</v>
      </c>
      <c r="T52" s="18"/>
      <c r="AG52" s="15"/>
    </row>
    <row r="53" spans="1:33">
      <c r="A53" s="173"/>
      <c r="B53" s="173"/>
      <c r="C53" s="173"/>
      <c r="D53" s="173"/>
      <c r="E53" s="173"/>
      <c r="F53" s="173"/>
      <c r="G53" s="173"/>
      <c r="N53" s="42" t="s">
        <v>182</v>
      </c>
      <c r="O53" s="23" t="s">
        <v>33</v>
      </c>
      <c r="P53" s="26">
        <f t="shared" si="0"/>
        <v>0</v>
      </c>
      <c r="Q53" s="26">
        <f t="shared" si="1"/>
        <v>0</v>
      </c>
      <c r="R53" s="32">
        <f t="shared" si="2"/>
        <v>0</v>
      </c>
      <c r="S53" s="33">
        <f t="shared" si="3"/>
        <v>0</v>
      </c>
      <c r="T53" s="18"/>
      <c r="AG53" s="15"/>
    </row>
    <row r="54" spans="1:33">
      <c r="A54" s="173"/>
      <c r="B54" s="173"/>
      <c r="C54" s="173"/>
      <c r="D54" s="173"/>
      <c r="E54" s="173"/>
      <c r="F54" s="173"/>
      <c r="G54" s="173"/>
      <c r="N54" s="42" t="s">
        <v>182</v>
      </c>
      <c r="O54" s="23" t="s">
        <v>34</v>
      </c>
      <c r="P54" s="26">
        <f t="shared" si="0"/>
        <v>0</v>
      </c>
      <c r="Q54" s="26">
        <f t="shared" si="1"/>
        <v>0</v>
      </c>
      <c r="R54" s="32">
        <f t="shared" si="2"/>
        <v>0</v>
      </c>
      <c r="S54" s="33">
        <f t="shared" si="3"/>
        <v>0</v>
      </c>
      <c r="T54" s="18"/>
      <c r="AG54" s="15"/>
    </row>
    <row r="55" spans="1:33">
      <c r="A55" s="14"/>
      <c r="B55" s="15"/>
      <c r="C55" s="15"/>
      <c r="D55" s="16"/>
      <c r="E55" s="16"/>
      <c r="F55" s="17"/>
      <c r="G55" s="18"/>
      <c r="N55" s="42" t="s">
        <v>182</v>
      </c>
      <c r="O55" s="23" t="s">
        <v>35</v>
      </c>
      <c r="P55" s="26">
        <f t="shared" si="0"/>
        <v>0</v>
      </c>
      <c r="Q55" s="26">
        <f t="shared" si="1"/>
        <v>0</v>
      </c>
      <c r="R55" s="32">
        <f t="shared" si="2"/>
        <v>0</v>
      </c>
      <c r="S55" s="33">
        <f t="shared" si="3"/>
        <v>0</v>
      </c>
      <c r="T55" s="18"/>
      <c r="AG55" s="15"/>
    </row>
    <row r="56" spans="1:33">
      <c r="A56" s="14"/>
      <c r="B56" s="15"/>
      <c r="C56" s="15"/>
      <c r="D56" s="16"/>
      <c r="E56" s="16"/>
      <c r="F56" s="17"/>
      <c r="G56" s="18"/>
      <c r="N56" s="42" t="s">
        <v>182</v>
      </c>
      <c r="O56" s="23" t="s">
        <v>36</v>
      </c>
      <c r="P56" s="26">
        <f t="shared" si="0"/>
        <v>0</v>
      </c>
      <c r="Q56" s="26">
        <f t="shared" si="1"/>
        <v>0</v>
      </c>
      <c r="R56" s="32">
        <f t="shared" si="2"/>
        <v>0</v>
      </c>
      <c r="S56" s="33">
        <f t="shared" si="3"/>
        <v>0</v>
      </c>
      <c r="T56" s="18"/>
      <c r="AG56" s="15"/>
    </row>
    <row r="57" spans="1:33">
      <c r="A57" s="14"/>
      <c r="B57" s="15"/>
      <c r="C57" s="15"/>
      <c r="D57" s="16"/>
      <c r="E57" s="16"/>
      <c r="F57" s="17"/>
      <c r="G57" s="18"/>
      <c r="N57" s="42" t="s">
        <v>182</v>
      </c>
      <c r="O57" s="23" t="s">
        <v>37</v>
      </c>
      <c r="P57" s="26">
        <f t="shared" si="0"/>
        <v>0</v>
      </c>
      <c r="Q57" s="26">
        <f t="shared" si="1"/>
        <v>0</v>
      </c>
      <c r="R57" s="32">
        <f t="shared" si="2"/>
        <v>0</v>
      </c>
      <c r="S57" s="33">
        <f t="shared" si="3"/>
        <v>0</v>
      </c>
      <c r="T57" s="18"/>
      <c r="AG57" s="15"/>
    </row>
    <row r="58" spans="1:33">
      <c r="A58" s="14"/>
      <c r="B58" s="15"/>
      <c r="C58" s="15"/>
      <c r="D58" s="16"/>
      <c r="E58" s="16"/>
      <c r="F58" s="17"/>
      <c r="G58" s="18"/>
      <c r="N58" s="8" t="s">
        <v>182</v>
      </c>
      <c r="O58" s="9"/>
      <c r="P58" s="27">
        <f>SUM(P46:P57)</f>
        <v>0</v>
      </c>
      <c r="Q58" s="27">
        <f>SUM(Q46:Q57)</f>
        <v>0</v>
      </c>
      <c r="R58" s="34" t="e">
        <f>Q58/P58</f>
        <v>#DIV/0!</v>
      </c>
      <c r="S58" s="35">
        <f>SUM(S46:S57)</f>
        <v>0</v>
      </c>
      <c r="T58" s="22"/>
      <c r="AG58" s="13"/>
    </row>
    <row r="59" spans="1:33">
      <c r="A59" s="14"/>
      <c r="B59" s="15"/>
      <c r="C59" s="15"/>
      <c r="D59" s="16"/>
      <c r="E59" s="16"/>
      <c r="F59" s="17"/>
      <c r="G59" s="18"/>
    </row>
    <row r="60" spans="1:33">
      <c r="A60" s="19"/>
      <c r="B60" s="19"/>
      <c r="C60" s="13"/>
      <c r="D60" s="20"/>
      <c r="E60" s="20"/>
      <c r="F60" s="21"/>
      <c r="G60" s="22"/>
    </row>
    <row r="61" spans="1:33">
      <c r="A61" s="10" t="s">
        <v>91</v>
      </c>
      <c r="B61" s="11">
        <v>25</v>
      </c>
      <c r="C61" s="2"/>
      <c r="D61" s="2"/>
      <c r="E61" s="2"/>
      <c r="F61" s="2"/>
      <c r="G61" s="2"/>
    </row>
  </sheetData>
  <mergeCells count="41">
    <mergeCell ref="Y1:Y2"/>
    <mergeCell ref="Z1:Z2"/>
    <mergeCell ref="AA1:AA2"/>
    <mergeCell ref="AG1:AG2"/>
    <mergeCell ref="S44:S45"/>
    <mergeCell ref="T44:T45"/>
    <mergeCell ref="V1:V2"/>
    <mergeCell ref="W1:W2"/>
    <mergeCell ref="X1:X2"/>
    <mergeCell ref="S1:U1"/>
    <mergeCell ref="AB1:AF1"/>
    <mergeCell ref="P1:P2"/>
    <mergeCell ref="P44:P45"/>
    <mergeCell ref="Q1:Q2"/>
    <mergeCell ref="Q44:Q45"/>
    <mergeCell ref="R1:R2"/>
    <mergeCell ref="R44:R45"/>
    <mergeCell ref="M1:M2"/>
    <mergeCell ref="N1:N2"/>
    <mergeCell ref="N44:N45"/>
    <mergeCell ref="O1:O2"/>
    <mergeCell ref="O44:O45"/>
    <mergeCell ref="H1:H2"/>
    <mergeCell ref="I1:I2"/>
    <mergeCell ref="J1:J2"/>
    <mergeCell ref="K1:K2"/>
    <mergeCell ref="L1:L2"/>
    <mergeCell ref="A1:A2"/>
    <mergeCell ref="A53:A54"/>
    <mergeCell ref="B1:B2"/>
    <mergeCell ref="B53:B54"/>
    <mergeCell ref="C1:C2"/>
    <mergeCell ref="C53:C54"/>
    <mergeCell ref="G1:G2"/>
    <mergeCell ref="G53:G54"/>
    <mergeCell ref="D1:D2"/>
    <mergeCell ref="D53:D54"/>
    <mergeCell ref="E1:E2"/>
    <mergeCell ref="E53:E54"/>
    <mergeCell ref="F1:F2"/>
    <mergeCell ref="F53:F54"/>
  </mergeCells>
  <pageMargins left="0.7" right="0.7" top="0.75" bottom="0.75" header="0.3" footer="0.3"/>
  <pageSetup orientation="portrait"/>
  <headerFooter>
    <oddFooter>&amp;CNBCU Internal</oddFooter>
  </headerFooter>
  <drawing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92D050"/>
  </sheetPr>
  <dimension ref="A1:AG61"/>
  <sheetViews>
    <sheetView workbookViewId="0">
      <selection activeCell="A6" sqref="A6"/>
    </sheetView>
  </sheetViews>
  <sheetFormatPr defaultColWidth="8.81640625" defaultRowHeight="14.5"/>
  <cols>
    <col min="1" max="1" width="9.81640625" style="3" customWidth="1"/>
    <col min="2" max="2" width="10.453125" style="3" customWidth="1"/>
    <col min="3" max="3" width="14.1796875" style="3" customWidth="1"/>
    <col min="4" max="4" width="5.453125" style="3" customWidth="1"/>
    <col min="5" max="6" width="9" style="3" customWidth="1"/>
    <col min="7" max="7" width="8.81640625" style="3" customWidth="1"/>
    <col min="8" max="8" width="19.453125" style="3" customWidth="1"/>
    <col min="9" max="9" width="19.81640625" style="3" customWidth="1"/>
    <col min="10" max="10" width="11.453125" style="3" customWidth="1"/>
    <col min="11" max="11" width="13.1796875" style="3" customWidth="1"/>
    <col min="12" max="12" width="11.1796875" style="3" customWidth="1"/>
    <col min="13" max="14" width="13.1796875" style="3" customWidth="1"/>
    <col min="15" max="15" width="13.81640625" style="3" customWidth="1"/>
    <col min="16" max="16" width="22.453125" style="3" customWidth="1"/>
    <col min="17" max="18" width="19.453125" style="3" customWidth="1"/>
    <col min="19" max="19" width="12.1796875" style="3" customWidth="1"/>
    <col min="20" max="20" width="17.453125" style="3" customWidth="1"/>
    <col min="21" max="21" width="9.81640625" style="3" customWidth="1"/>
    <col min="22" max="22" width="18" style="3" customWidth="1"/>
    <col min="23" max="23" width="19.1796875" style="3" customWidth="1"/>
    <col min="24" max="24" width="13.453125" style="3" customWidth="1"/>
    <col min="25" max="25" width="10.1796875" style="3" customWidth="1"/>
    <col min="26" max="26" width="18.1796875" style="3" customWidth="1"/>
    <col min="27" max="27" width="6.453125" style="3" customWidth="1"/>
    <col min="28" max="28" width="15" style="3" customWidth="1"/>
    <col min="29" max="29" width="9.453125" style="3" customWidth="1"/>
    <col min="30" max="30" width="18" style="3" customWidth="1"/>
    <col min="31" max="31" width="12.1796875" style="3" customWidth="1"/>
    <col min="32" max="32" width="11.453125" style="3" customWidth="1"/>
    <col min="33" max="33" width="13.81640625" style="3" hidden="1" customWidth="1"/>
    <col min="34" max="16384" width="8.81640625" style="3"/>
  </cols>
  <sheetData>
    <row r="1" spans="1:33" s="1" customFormat="1" ht="33" customHeight="1">
      <c r="A1" s="175" t="s">
        <v>22</v>
      </c>
      <c r="B1" s="175" t="s">
        <v>47</v>
      </c>
      <c r="C1" s="175" t="s">
        <v>48</v>
      </c>
      <c r="D1" s="175" t="s">
        <v>79</v>
      </c>
      <c r="E1" s="175" t="s">
        <v>80</v>
      </c>
      <c r="F1" s="175" t="s">
        <v>81</v>
      </c>
      <c r="G1" s="175" t="s">
        <v>82</v>
      </c>
      <c r="H1" s="175" t="s">
        <v>50</v>
      </c>
      <c r="I1" s="175" t="s">
        <v>51</v>
      </c>
      <c r="J1" s="175" t="s">
        <v>53</v>
      </c>
      <c r="K1" s="175" t="s">
        <v>54</v>
      </c>
      <c r="L1" s="175" t="s">
        <v>55</v>
      </c>
      <c r="M1" s="175" t="s">
        <v>56</v>
      </c>
      <c r="N1" s="175" t="s">
        <v>57</v>
      </c>
      <c r="O1" s="175" t="s">
        <v>58</v>
      </c>
      <c r="P1" s="175" t="s">
        <v>83</v>
      </c>
      <c r="Q1" s="175" t="s">
        <v>95</v>
      </c>
      <c r="R1" s="175" t="s">
        <v>60</v>
      </c>
      <c r="S1" s="184" t="s">
        <v>61</v>
      </c>
      <c r="T1" s="185"/>
      <c r="U1" s="186"/>
      <c r="V1" s="175" t="s">
        <v>62</v>
      </c>
      <c r="W1" s="175" t="s">
        <v>63</v>
      </c>
      <c r="X1" s="175" t="s">
        <v>64</v>
      </c>
      <c r="Y1" s="175" t="s">
        <v>85</v>
      </c>
      <c r="Z1" s="175" t="s">
        <v>66</v>
      </c>
      <c r="AA1" s="175" t="s">
        <v>3</v>
      </c>
      <c r="AB1" s="172" t="s">
        <v>67</v>
      </c>
      <c r="AC1" s="172"/>
      <c r="AD1" s="172"/>
      <c r="AE1" s="172"/>
      <c r="AF1" s="172"/>
      <c r="AG1" s="181" t="s">
        <v>86</v>
      </c>
    </row>
    <row r="2" spans="1:33" s="1" customFormat="1" ht="55.5" customHeight="1">
      <c r="A2" s="176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4" t="s">
        <v>68</v>
      </c>
      <c r="T2" s="4" t="s">
        <v>69</v>
      </c>
      <c r="U2" s="4" t="s">
        <v>70</v>
      </c>
      <c r="V2" s="176"/>
      <c r="W2" s="176"/>
      <c r="X2" s="176"/>
      <c r="Y2" s="176"/>
      <c r="Z2" s="176"/>
      <c r="AA2" s="176"/>
      <c r="AB2" s="4" t="s">
        <v>96</v>
      </c>
      <c r="AC2" s="4" t="s">
        <v>97</v>
      </c>
      <c r="AD2" s="4" t="s">
        <v>73</v>
      </c>
      <c r="AE2" s="4" t="s">
        <v>74</v>
      </c>
      <c r="AF2" s="4" t="s">
        <v>75</v>
      </c>
      <c r="AG2" s="182"/>
    </row>
    <row r="3" spans="1:33" ht="17.25" customHeight="1">
      <c r="A3" s="42" t="s">
        <v>183</v>
      </c>
      <c r="B3" s="42" t="s">
        <v>88</v>
      </c>
      <c r="C3" s="43" t="s">
        <v>89</v>
      </c>
      <c r="D3" s="23">
        <v>1</v>
      </c>
      <c r="E3" s="44">
        <v>44197</v>
      </c>
      <c r="F3" s="44">
        <v>44225</v>
      </c>
      <c r="G3" s="23" t="s">
        <v>26</v>
      </c>
      <c r="H3" s="23">
        <v>490</v>
      </c>
      <c r="I3" s="23">
        <v>473</v>
      </c>
      <c r="J3" s="23">
        <v>473</v>
      </c>
      <c r="K3" s="24">
        <v>473</v>
      </c>
      <c r="L3" s="23">
        <v>0</v>
      </c>
      <c r="M3" s="23">
        <v>0</v>
      </c>
      <c r="N3" s="23">
        <v>0</v>
      </c>
      <c r="O3" s="24">
        <v>473</v>
      </c>
      <c r="P3" s="23">
        <v>0</v>
      </c>
      <c r="Q3" s="28">
        <v>0</v>
      </c>
      <c r="R3" s="29">
        <f>($P3/$AG3)*8</f>
        <v>0</v>
      </c>
      <c r="S3" s="30">
        <v>0</v>
      </c>
      <c r="T3" s="30">
        <v>0</v>
      </c>
      <c r="U3" s="26">
        <v>0</v>
      </c>
      <c r="V3" s="29">
        <v>0</v>
      </c>
      <c r="W3" s="31">
        <v>0</v>
      </c>
      <c r="X3" s="29">
        <f>SUM(S3,T3,V3,W3)</f>
        <v>0</v>
      </c>
      <c r="Y3" s="29">
        <f>R3-X3</f>
        <v>0</v>
      </c>
      <c r="Z3" s="36">
        <v>0</v>
      </c>
      <c r="AA3" s="23"/>
      <c r="AB3" s="37">
        <f>J3/I3</f>
        <v>1</v>
      </c>
      <c r="AC3" s="37">
        <f>J3/H3</f>
        <v>0.96530612244897962</v>
      </c>
      <c r="AD3" s="37">
        <f>P3/(O3*D3)</f>
        <v>0</v>
      </c>
      <c r="AE3" s="37">
        <f>IFERROR(Y3/R3,0)</f>
        <v>0</v>
      </c>
      <c r="AF3" s="46">
        <f>Y3*$B$11</f>
        <v>0</v>
      </c>
      <c r="AG3" s="23">
        <v>8</v>
      </c>
    </row>
    <row r="4" spans="1:33" ht="17.25" customHeight="1">
      <c r="A4" s="42" t="s">
        <v>183</v>
      </c>
      <c r="B4" s="42" t="s">
        <v>88</v>
      </c>
      <c r="C4" s="43" t="s">
        <v>175</v>
      </c>
      <c r="D4" s="23">
        <v>1</v>
      </c>
      <c r="E4" s="44">
        <v>44228</v>
      </c>
      <c r="F4" s="44">
        <v>44253</v>
      </c>
      <c r="G4" s="23" t="s">
        <v>27</v>
      </c>
      <c r="H4" s="23">
        <v>490</v>
      </c>
      <c r="I4" s="23">
        <v>473</v>
      </c>
      <c r="J4" s="23">
        <v>473</v>
      </c>
      <c r="K4" s="24">
        <v>473</v>
      </c>
      <c r="L4" s="23">
        <v>0</v>
      </c>
      <c r="M4" s="23">
        <v>0</v>
      </c>
      <c r="N4" s="23">
        <v>0</v>
      </c>
      <c r="O4" s="24">
        <v>473</v>
      </c>
      <c r="P4" s="23">
        <v>0</v>
      </c>
      <c r="Q4" s="28">
        <v>0</v>
      </c>
      <c r="R4" s="29">
        <f>($P4/$AG4)*8</f>
        <v>0</v>
      </c>
      <c r="S4" s="30">
        <v>0</v>
      </c>
      <c r="T4" s="30">
        <v>0</v>
      </c>
      <c r="U4" s="26">
        <v>0</v>
      </c>
      <c r="V4" s="29">
        <v>0</v>
      </c>
      <c r="W4" s="31">
        <v>0</v>
      </c>
      <c r="X4" s="29">
        <f>SUM(S4,T4,V4,W4)</f>
        <v>0</v>
      </c>
      <c r="Y4" s="29">
        <f>R4-X4</f>
        <v>0</v>
      </c>
      <c r="Z4" s="36">
        <v>0</v>
      </c>
      <c r="AA4" s="23"/>
      <c r="AB4" s="37">
        <f>J4/I4</f>
        <v>1</v>
      </c>
      <c r="AC4" s="37">
        <f>J4/H4</f>
        <v>0.96530612244897962</v>
      </c>
      <c r="AD4" s="37">
        <f>P4/(O4*D4)</f>
        <v>0</v>
      </c>
      <c r="AE4" s="37">
        <f>IFERROR(Y4/R4,0)</f>
        <v>0</v>
      </c>
      <c r="AF4" s="46">
        <f>Y4*$B$11</f>
        <v>0</v>
      </c>
      <c r="AG4" s="23">
        <v>8</v>
      </c>
    </row>
    <row r="5" spans="1:33" ht="17.25" customHeight="1">
      <c r="A5" s="42" t="s">
        <v>183</v>
      </c>
      <c r="B5" s="42" t="s">
        <v>88</v>
      </c>
      <c r="C5" s="43" t="s">
        <v>177</v>
      </c>
      <c r="D5" s="23">
        <v>1</v>
      </c>
      <c r="E5" s="44">
        <v>44256</v>
      </c>
      <c r="F5" s="44">
        <v>44281</v>
      </c>
      <c r="G5" s="23" t="s">
        <v>28</v>
      </c>
      <c r="H5" s="23">
        <v>490</v>
      </c>
      <c r="I5" s="23">
        <v>473</v>
      </c>
      <c r="J5" s="23">
        <v>473</v>
      </c>
      <c r="K5" s="24">
        <v>473</v>
      </c>
      <c r="L5" s="23">
        <v>0</v>
      </c>
      <c r="M5" s="23">
        <v>0</v>
      </c>
      <c r="N5" s="23">
        <v>0</v>
      </c>
      <c r="O5" s="24">
        <v>473</v>
      </c>
      <c r="P5" s="23">
        <v>0</v>
      </c>
      <c r="Q5" s="28">
        <v>0</v>
      </c>
      <c r="R5" s="29">
        <f>($P5/$AG5)*8</f>
        <v>0</v>
      </c>
      <c r="S5" s="30">
        <v>0</v>
      </c>
      <c r="T5" s="30">
        <v>0</v>
      </c>
      <c r="U5" s="26">
        <v>0</v>
      </c>
      <c r="V5" s="29">
        <v>0</v>
      </c>
      <c r="W5" s="31">
        <v>0</v>
      </c>
      <c r="X5" s="29">
        <f>SUM(S5,T5,V5,W5)</f>
        <v>0</v>
      </c>
      <c r="Y5" s="29">
        <f>R5-X5</f>
        <v>0</v>
      </c>
      <c r="Z5" s="36">
        <v>0</v>
      </c>
      <c r="AA5" s="23"/>
      <c r="AB5" s="37">
        <f>J5/I5</f>
        <v>1</v>
      </c>
      <c r="AC5" s="37">
        <f>J5/H5</f>
        <v>0.96530612244897962</v>
      </c>
      <c r="AD5" s="37">
        <f>P5/(O5*D5)</f>
        <v>0</v>
      </c>
      <c r="AE5" s="37">
        <f>IFERROR(Y5/R5,0)</f>
        <v>0</v>
      </c>
      <c r="AF5" s="46">
        <f>Y5*$B$11</f>
        <v>0</v>
      </c>
      <c r="AG5" s="23">
        <v>8</v>
      </c>
    </row>
    <row r="6" spans="1:33" s="2" customFormat="1">
      <c r="A6" s="8" t="str">
        <f>A3</f>
        <v>AssetTracker</v>
      </c>
      <c r="B6" s="8" t="s">
        <v>90</v>
      </c>
      <c r="C6" s="9" t="s">
        <v>90</v>
      </c>
      <c r="D6" s="9">
        <f ca="1">SUM(D3:INDIRECT("D"&amp;ROW()-1))</f>
        <v>3</v>
      </c>
      <c r="E6" s="9"/>
      <c r="F6" s="9"/>
      <c r="G6" s="9"/>
      <c r="H6" s="9">
        <f ca="1">INDIRECT("H"&amp;ROW()-1)</f>
        <v>490</v>
      </c>
      <c r="I6" s="9">
        <f ca="1">INDIRECT("I"&amp;ROW()-1)</f>
        <v>473</v>
      </c>
      <c r="J6" s="9">
        <f ca="1">INDIRECT("J"&amp;ROW()-1)</f>
        <v>473</v>
      </c>
      <c r="K6" s="9">
        <f ca="1">INDIRECT("K"&amp;ROW()-1)</f>
        <v>473</v>
      </c>
      <c r="L6" s="9">
        <f ca="1">SUM(L3:INDIRECT("L"&amp;ROW()-1))</f>
        <v>0</v>
      </c>
      <c r="M6" s="9">
        <f ca="1">SUM(M3:INDIRECT("M"&amp;ROW()-1))</f>
        <v>0</v>
      </c>
      <c r="N6" s="9">
        <f ca="1">SUM(N3:INDIRECT("N"&amp;ROW()-1))</f>
        <v>0</v>
      </c>
      <c r="O6" s="9">
        <f ca="1">INDIRECT("O"&amp;ROW()-1)</f>
        <v>473</v>
      </c>
      <c r="P6" s="9">
        <f ca="1">SUM(P3:INDIRECT("P"&amp;ROW()-1))</f>
        <v>0</v>
      </c>
      <c r="Q6" s="9">
        <f ca="1">SUM(Q3:INDIRECT("Q"&amp;ROW()-1))</f>
        <v>0</v>
      </c>
      <c r="R6" s="27">
        <f ca="1">SUM(R3:INDIRECT("R"&amp;ROW()-1))</f>
        <v>0</v>
      </c>
      <c r="S6" s="9">
        <f ca="1">SUM(S3:INDIRECT("S"&amp;ROW()-1))</f>
        <v>0</v>
      </c>
      <c r="T6" s="9">
        <f ca="1">SUM(T3:INDIRECT("T"&amp;ROW()-1))</f>
        <v>0</v>
      </c>
      <c r="U6" s="9">
        <f ca="1">SUM(U3:INDIRECT("U"&amp;ROW()-1))</f>
        <v>0</v>
      </c>
      <c r="V6" s="9">
        <f ca="1">SUM(V3:INDIRECT("V"&amp;ROW()-1))</f>
        <v>0</v>
      </c>
      <c r="W6" s="9">
        <f ca="1">SUM(W3:INDIRECT("W"&amp;ROW()-1))</f>
        <v>0</v>
      </c>
      <c r="X6" s="9">
        <f ca="1">SUM(X3:INDIRECT("X"&amp;ROW()-1))</f>
        <v>0</v>
      </c>
      <c r="Y6" s="27">
        <f ca="1">SUM(Y3:INDIRECT("Y"&amp;ROW()-1))</f>
        <v>0</v>
      </c>
      <c r="Z6" s="9">
        <f ca="1">SUM(Z3:INDIRECT("z"&amp;ROW()-1))</f>
        <v>0</v>
      </c>
      <c r="AA6" s="9"/>
      <c r="AB6" s="34">
        <f ca="1">J6/I6</f>
        <v>1</v>
      </c>
      <c r="AC6" s="34">
        <f ca="1">J6/H6</f>
        <v>0.96530612244897962</v>
      </c>
      <c r="AD6" s="34">
        <f ca="1">P6/(O6*D6)</f>
        <v>0</v>
      </c>
      <c r="AE6" s="39">
        <f ca="1">IFERROR(Y6/R6,0)</f>
        <v>0</v>
      </c>
      <c r="AF6" s="35">
        <f ca="1">SUM(AF3:INDIRECT("AF"&amp;ROW()-1))</f>
        <v>0</v>
      </c>
      <c r="AG6" s="9"/>
    </row>
    <row r="7" spans="1:33" s="2" customFormat="1"/>
    <row r="8" spans="1:33" s="2" customFormat="1">
      <c r="A8" s="10"/>
      <c r="B8" s="11"/>
      <c r="E8" s="2">
        <v>11</v>
      </c>
      <c r="Q8" s="13"/>
      <c r="R8" s="45"/>
      <c r="AD8" s="25"/>
    </row>
    <row r="9" spans="1:33" s="2" customFormat="1">
      <c r="A9" s="10"/>
      <c r="B9" s="11"/>
      <c r="Q9" s="13"/>
      <c r="AD9" s="25"/>
    </row>
    <row r="10" spans="1:33" s="2" customFormat="1">
      <c r="A10" s="10"/>
      <c r="B10" s="11"/>
      <c r="Q10" s="13"/>
      <c r="R10" s="2">
        <v>8</v>
      </c>
      <c r="AD10" s="25"/>
    </row>
    <row r="11" spans="1:33" s="2" customFormat="1">
      <c r="A11" s="10" t="s">
        <v>91</v>
      </c>
      <c r="B11" s="11">
        <v>25</v>
      </c>
      <c r="C11" s="45"/>
      <c r="P11" s="25"/>
      <c r="Q11" s="13"/>
      <c r="AD11" s="25"/>
    </row>
    <row r="12" spans="1:33" ht="21">
      <c r="A12" s="10" t="s">
        <v>92</v>
      </c>
      <c r="B12" s="12">
        <v>8</v>
      </c>
      <c r="C12" s="2"/>
      <c r="D12" s="2"/>
      <c r="E12" s="2"/>
      <c r="F12" s="2"/>
      <c r="G12" s="2"/>
      <c r="H12" s="2"/>
      <c r="I12" s="2"/>
      <c r="J12" s="25"/>
      <c r="K12" s="25"/>
      <c r="L12" s="2"/>
      <c r="M12" s="2"/>
      <c r="N12" s="2"/>
      <c r="O12" s="2"/>
      <c r="P12" s="2"/>
      <c r="Q12" s="1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44" spans="14:33" ht="15" customHeight="1">
      <c r="N44" s="175" t="s">
        <v>22</v>
      </c>
      <c r="O44" s="175" t="s">
        <v>82</v>
      </c>
      <c r="P44" s="175" t="s">
        <v>60</v>
      </c>
      <c r="Q44" s="175" t="s">
        <v>85</v>
      </c>
      <c r="R44" s="175" t="s">
        <v>74</v>
      </c>
      <c r="S44" s="175" t="s">
        <v>75</v>
      </c>
      <c r="T44" s="183"/>
      <c r="AG44" s="13"/>
    </row>
    <row r="45" spans="14:33">
      <c r="N45" s="176"/>
      <c r="O45" s="176"/>
      <c r="P45" s="176"/>
      <c r="Q45" s="176"/>
      <c r="R45" s="176"/>
      <c r="S45" s="176"/>
      <c r="T45" s="183"/>
      <c r="AG45" s="13"/>
    </row>
    <row r="46" spans="14:33">
      <c r="N46" s="42" t="s">
        <v>183</v>
      </c>
      <c r="O46" s="23" t="s">
        <v>26</v>
      </c>
      <c r="P46" s="26">
        <f t="shared" ref="P46:P57" si="0">SUMIFS($R$3:$R$3,$G$3:$G$3,O46)</f>
        <v>0</v>
      </c>
      <c r="Q46" s="26">
        <f t="shared" ref="Q46:Q57" si="1">SUMIFS($Y$3:$Y$3,$G$3:$G$3,O46)</f>
        <v>0</v>
      </c>
      <c r="R46" s="32">
        <f t="shared" ref="R46:R57" si="2">IFERROR(Q46/P46,0)</f>
        <v>0</v>
      </c>
      <c r="S46" s="33">
        <f t="shared" ref="S46:S57" si="3">SUMIFS($AF$3:$AF$3,$G$3:$G$3,O46)</f>
        <v>0</v>
      </c>
      <c r="T46" s="18"/>
      <c r="AG46" s="15"/>
    </row>
    <row r="47" spans="14:33">
      <c r="N47" s="42" t="s">
        <v>183</v>
      </c>
      <c r="O47" s="23" t="s">
        <v>27</v>
      </c>
      <c r="P47" s="26">
        <f t="shared" si="0"/>
        <v>0</v>
      </c>
      <c r="Q47" s="26">
        <f t="shared" si="1"/>
        <v>0</v>
      </c>
      <c r="R47" s="32">
        <f t="shared" si="2"/>
        <v>0</v>
      </c>
      <c r="S47" s="33">
        <f t="shared" si="3"/>
        <v>0</v>
      </c>
      <c r="T47" s="18"/>
      <c r="AG47" s="15"/>
    </row>
    <row r="48" spans="14:33">
      <c r="N48" s="42" t="s">
        <v>183</v>
      </c>
      <c r="O48" s="23" t="s">
        <v>28</v>
      </c>
      <c r="P48" s="26">
        <f t="shared" si="0"/>
        <v>0</v>
      </c>
      <c r="Q48" s="26">
        <f t="shared" si="1"/>
        <v>0</v>
      </c>
      <c r="R48" s="32">
        <f t="shared" si="2"/>
        <v>0</v>
      </c>
      <c r="S48" s="33">
        <f t="shared" si="3"/>
        <v>0</v>
      </c>
      <c r="T48" s="18"/>
      <c r="AG48" s="15"/>
    </row>
    <row r="49" spans="1:33">
      <c r="N49" s="42" t="s">
        <v>183</v>
      </c>
      <c r="O49" s="23" t="s">
        <v>29</v>
      </c>
      <c r="P49" s="26">
        <f t="shared" si="0"/>
        <v>0</v>
      </c>
      <c r="Q49" s="26">
        <f t="shared" si="1"/>
        <v>0</v>
      </c>
      <c r="R49" s="32">
        <f t="shared" si="2"/>
        <v>0</v>
      </c>
      <c r="S49" s="33">
        <f t="shared" si="3"/>
        <v>0</v>
      </c>
      <c r="T49" s="18"/>
      <c r="AG49" s="15"/>
    </row>
    <row r="50" spans="1:33">
      <c r="N50" s="42" t="s">
        <v>183</v>
      </c>
      <c r="O50" s="23" t="s">
        <v>30</v>
      </c>
      <c r="P50" s="26">
        <f t="shared" si="0"/>
        <v>0</v>
      </c>
      <c r="Q50" s="26">
        <f t="shared" si="1"/>
        <v>0</v>
      </c>
      <c r="R50" s="32">
        <f t="shared" si="2"/>
        <v>0</v>
      </c>
      <c r="S50" s="33">
        <f t="shared" si="3"/>
        <v>0</v>
      </c>
      <c r="T50" s="18"/>
      <c r="AG50" s="15"/>
    </row>
    <row r="51" spans="1:33">
      <c r="N51" s="42" t="s">
        <v>183</v>
      </c>
      <c r="O51" s="23" t="s">
        <v>31</v>
      </c>
      <c r="P51" s="26">
        <f t="shared" si="0"/>
        <v>0</v>
      </c>
      <c r="Q51" s="26">
        <f t="shared" si="1"/>
        <v>0</v>
      </c>
      <c r="R51" s="32">
        <f t="shared" si="2"/>
        <v>0</v>
      </c>
      <c r="S51" s="33">
        <f t="shared" si="3"/>
        <v>0</v>
      </c>
      <c r="T51" s="18"/>
      <c r="AG51" s="15"/>
    </row>
    <row r="52" spans="1:33" ht="15" customHeight="1">
      <c r="N52" s="42" t="s">
        <v>183</v>
      </c>
      <c r="O52" s="23" t="s">
        <v>32</v>
      </c>
      <c r="P52" s="26">
        <f t="shared" si="0"/>
        <v>0</v>
      </c>
      <c r="Q52" s="26">
        <f t="shared" si="1"/>
        <v>0</v>
      </c>
      <c r="R52" s="32">
        <f t="shared" si="2"/>
        <v>0</v>
      </c>
      <c r="S52" s="33">
        <f t="shared" si="3"/>
        <v>0</v>
      </c>
      <c r="T52" s="18"/>
      <c r="AG52" s="15"/>
    </row>
    <row r="53" spans="1:33">
      <c r="A53" s="173"/>
      <c r="B53" s="173"/>
      <c r="C53" s="173"/>
      <c r="D53" s="173"/>
      <c r="E53" s="173"/>
      <c r="F53" s="173"/>
      <c r="G53" s="173"/>
      <c r="N53" s="42" t="s">
        <v>183</v>
      </c>
      <c r="O53" s="23" t="s">
        <v>33</v>
      </c>
      <c r="P53" s="26">
        <f t="shared" si="0"/>
        <v>0</v>
      </c>
      <c r="Q53" s="26">
        <f t="shared" si="1"/>
        <v>0</v>
      </c>
      <c r="R53" s="32">
        <f t="shared" si="2"/>
        <v>0</v>
      </c>
      <c r="S53" s="33">
        <f t="shared" si="3"/>
        <v>0</v>
      </c>
      <c r="T53" s="18"/>
      <c r="AG53" s="15"/>
    </row>
    <row r="54" spans="1:33">
      <c r="A54" s="173"/>
      <c r="B54" s="173"/>
      <c r="C54" s="173"/>
      <c r="D54" s="173"/>
      <c r="E54" s="173"/>
      <c r="F54" s="173"/>
      <c r="G54" s="173"/>
      <c r="N54" s="42" t="s">
        <v>183</v>
      </c>
      <c r="O54" s="23" t="s">
        <v>34</v>
      </c>
      <c r="P54" s="26">
        <f t="shared" si="0"/>
        <v>0</v>
      </c>
      <c r="Q54" s="26">
        <f t="shared" si="1"/>
        <v>0</v>
      </c>
      <c r="R54" s="32">
        <f t="shared" si="2"/>
        <v>0</v>
      </c>
      <c r="S54" s="33">
        <f t="shared" si="3"/>
        <v>0</v>
      </c>
      <c r="T54" s="18"/>
      <c r="AG54" s="15"/>
    </row>
    <row r="55" spans="1:33">
      <c r="A55" s="14"/>
      <c r="B55" s="15"/>
      <c r="C55" s="15"/>
      <c r="D55" s="16"/>
      <c r="E55" s="16"/>
      <c r="F55" s="17"/>
      <c r="G55" s="18"/>
      <c r="N55" s="42" t="s">
        <v>183</v>
      </c>
      <c r="O55" s="23" t="s">
        <v>35</v>
      </c>
      <c r="P55" s="26">
        <f t="shared" si="0"/>
        <v>0</v>
      </c>
      <c r="Q55" s="26">
        <f t="shared" si="1"/>
        <v>0</v>
      </c>
      <c r="R55" s="32">
        <f t="shared" si="2"/>
        <v>0</v>
      </c>
      <c r="S55" s="33">
        <f t="shared" si="3"/>
        <v>0</v>
      </c>
      <c r="T55" s="18"/>
      <c r="AG55" s="15"/>
    </row>
    <row r="56" spans="1:33">
      <c r="A56" s="14"/>
      <c r="B56" s="15"/>
      <c r="C56" s="15"/>
      <c r="D56" s="16"/>
      <c r="E56" s="16"/>
      <c r="F56" s="17"/>
      <c r="G56" s="18"/>
      <c r="N56" s="42" t="s">
        <v>183</v>
      </c>
      <c r="O56" s="23" t="s">
        <v>36</v>
      </c>
      <c r="P56" s="26">
        <f t="shared" si="0"/>
        <v>0</v>
      </c>
      <c r="Q56" s="26">
        <f t="shared" si="1"/>
        <v>0</v>
      </c>
      <c r="R56" s="32">
        <f t="shared" si="2"/>
        <v>0</v>
      </c>
      <c r="S56" s="33">
        <f t="shared" si="3"/>
        <v>0</v>
      </c>
      <c r="T56" s="18"/>
      <c r="AG56" s="15"/>
    </row>
    <row r="57" spans="1:33">
      <c r="A57" s="14"/>
      <c r="B57" s="15"/>
      <c r="C57" s="15"/>
      <c r="D57" s="16"/>
      <c r="E57" s="16"/>
      <c r="F57" s="17"/>
      <c r="G57" s="18"/>
      <c r="N57" s="42" t="s">
        <v>183</v>
      </c>
      <c r="O57" s="23" t="s">
        <v>37</v>
      </c>
      <c r="P57" s="26">
        <f t="shared" si="0"/>
        <v>0</v>
      </c>
      <c r="Q57" s="26">
        <f t="shared" si="1"/>
        <v>0</v>
      </c>
      <c r="R57" s="32">
        <f t="shared" si="2"/>
        <v>0</v>
      </c>
      <c r="S57" s="33">
        <f t="shared" si="3"/>
        <v>0</v>
      </c>
      <c r="T57" s="18"/>
      <c r="AG57" s="15"/>
    </row>
    <row r="58" spans="1:33">
      <c r="A58" s="14"/>
      <c r="B58" s="15"/>
      <c r="C58" s="15"/>
      <c r="D58" s="16"/>
      <c r="E58" s="16"/>
      <c r="F58" s="17"/>
      <c r="G58" s="18"/>
      <c r="N58" s="8" t="s">
        <v>183</v>
      </c>
      <c r="O58" s="9"/>
      <c r="P58" s="27">
        <f>SUM(P46:P57)</f>
        <v>0</v>
      </c>
      <c r="Q58" s="27">
        <f>SUM(Q46:Q57)</f>
        <v>0</v>
      </c>
      <c r="R58" s="34" t="e">
        <f>Q58/P58</f>
        <v>#DIV/0!</v>
      </c>
      <c r="S58" s="35">
        <f>SUM(S46:S57)</f>
        <v>0</v>
      </c>
      <c r="T58" s="22"/>
      <c r="AG58" s="13"/>
    </row>
    <row r="59" spans="1:33">
      <c r="A59" s="14"/>
      <c r="B59" s="15"/>
      <c r="C59" s="15"/>
      <c r="D59" s="16"/>
      <c r="E59" s="16"/>
      <c r="F59" s="17"/>
      <c r="G59" s="18"/>
    </row>
    <row r="60" spans="1:33">
      <c r="A60" s="19"/>
      <c r="B60" s="19"/>
      <c r="C60" s="13"/>
      <c r="D60" s="20"/>
      <c r="E60" s="20"/>
      <c r="F60" s="21"/>
      <c r="G60" s="22"/>
    </row>
    <row r="61" spans="1:33">
      <c r="A61" s="10" t="s">
        <v>91</v>
      </c>
      <c r="B61" s="11">
        <v>25</v>
      </c>
      <c r="C61" s="2"/>
      <c r="D61" s="2"/>
      <c r="E61" s="2"/>
      <c r="F61" s="2"/>
      <c r="G61" s="2"/>
    </row>
  </sheetData>
  <mergeCells count="41">
    <mergeCell ref="Y1:Y2"/>
    <mergeCell ref="Z1:Z2"/>
    <mergeCell ref="AA1:AA2"/>
    <mergeCell ref="AG1:AG2"/>
    <mergeCell ref="S44:S45"/>
    <mergeCell ref="T44:T45"/>
    <mergeCell ref="V1:V2"/>
    <mergeCell ref="W1:W2"/>
    <mergeCell ref="X1:X2"/>
    <mergeCell ref="S1:U1"/>
    <mergeCell ref="AB1:AF1"/>
    <mergeCell ref="P1:P2"/>
    <mergeCell ref="P44:P45"/>
    <mergeCell ref="Q1:Q2"/>
    <mergeCell ref="Q44:Q45"/>
    <mergeCell ref="R1:R2"/>
    <mergeCell ref="R44:R45"/>
    <mergeCell ref="M1:M2"/>
    <mergeCell ref="N1:N2"/>
    <mergeCell ref="N44:N45"/>
    <mergeCell ref="O1:O2"/>
    <mergeCell ref="O44:O45"/>
    <mergeCell ref="H1:H2"/>
    <mergeCell ref="I1:I2"/>
    <mergeCell ref="J1:J2"/>
    <mergeCell ref="K1:K2"/>
    <mergeCell ref="L1:L2"/>
    <mergeCell ref="A1:A2"/>
    <mergeCell ref="A53:A54"/>
    <mergeCell ref="B1:B2"/>
    <mergeCell ref="B53:B54"/>
    <mergeCell ref="C1:C2"/>
    <mergeCell ref="C53:C54"/>
    <mergeCell ref="G1:G2"/>
    <mergeCell ref="G53:G54"/>
    <mergeCell ref="D1:D2"/>
    <mergeCell ref="D53:D54"/>
    <mergeCell ref="E1:E2"/>
    <mergeCell ref="E53:E54"/>
    <mergeCell ref="F1:F2"/>
    <mergeCell ref="F53:F54"/>
  </mergeCells>
  <pageMargins left="0.7" right="0.7" top="0.75" bottom="0.75" header="0.3" footer="0.3"/>
  <pageSetup orientation="portrait"/>
  <headerFooter>
    <oddFooter>&amp;CNBCU Internal</oddFooter>
  </headerFooter>
  <drawing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92D050"/>
  </sheetPr>
  <dimension ref="A1:AG61"/>
  <sheetViews>
    <sheetView workbookViewId="0">
      <selection activeCell="J9" sqref="J9"/>
    </sheetView>
  </sheetViews>
  <sheetFormatPr defaultColWidth="8.81640625" defaultRowHeight="14.5"/>
  <cols>
    <col min="1" max="1" width="9.81640625" style="3" customWidth="1"/>
    <col min="2" max="2" width="10.453125" style="3" customWidth="1"/>
    <col min="3" max="3" width="14.1796875" style="3" customWidth="1"/>
    <col min="4" max="4" width="5.453125" style="3" customWidth="1"/>
    <col min="5" max="6" width="9" style="3" customWidth="1"/>
    <col min="7" max="7" width="8.81640625" style="3" customWidth="1"/>
    <col min="8" max="8" width="19.453125" style="3" customWidth="1"/>
    <col min="9" max="9" width="19.81640625" style="3" customWidth="1"/>
    <col min="10" max="10" width="11.453125" style="3" customWidth="1"/>
    <col min="11" max="11" width="13.1796875" style="3" customWidth="1"/>
    <col min="12" max="12" width="11.1796875" style="3" customWidth="1"/>
    <col min="13" max="14" width="13.1796875" style="3" customWidth="1"/>
    <col min="15" max="15" width="13.81640625" style="3" customWidth="1"/>
    <col min="16" max="16" width="22.453125" style="3" customWidth="1"/>
    <col min="17" max="18" width="19.453125" style="3" customWidth="1"/>
    <col min="19" max="19" width="12.1796875" style="3" customWidth="1"/>
    <col min="20" max="20" width="17.453125" style="3" customWidth="1"/>
    <col min="21" max="21" width="9.81640625" style="3" customWidth="1"/>
    <col min="22" max="22" width="18" style="3" customWidth="1"/>
    <col min="23" max="23" width="19.1796875" style="3" customWidth="1"/>
    <col min="24" max="24" width="13.453125" style="3" customWidth="1"/>
    <col min="25" max="25" width="10.1796875" style="3" customWidth="1"/>
    <col min="26" max="26" width="18.1796875" style="3" customWidth="1"/>
    <col min="27" max="27" width="6.453125" style="3" customWidth="1"/>
    <col min="28" max="28" width="15" style="3" customWidth="1"/>
    <col min="29" max="29" width="9.453125" style="3" customWidth="1"/>
    <col min="30" max="30" width="18" style="3" customWidth="1"/>
    <col min="31" max="31" width="12.1796875" style="3" customWidth="1"/>
    <col min="32" max="32" width="11.453125" style="3" customWidth="1"/>
    <col min="33" max="33" width="13.81640625" style="3" hidden="1" customWidth="1"/>
    <col min="34" max="16384" width="8.81640625" style="3"/>
  </cols>
  <sheetData>
    <row r="1" spans="1:33" s="1" customFormat="1" ht="33" customHeight="1">
      <c r="A1" s="172" t="s">
        <v>22</v>
      </c>
      <c r="B1" s="172" t="s">
        <v>47</v>
      </c>
      <c r="C1" s="172" t="s">
        <v>48</v>
      </c>
      <c r="D1" s="172" t="s">
        <v>79</v>
      </c>
      <c r="E1" s="172" t="s">
        <v>80</v>
      </c>
      <c r="F1" s="172" t="s">
        <v>81</v>
      </c>
      <c r="G1" s="172" t="s">
        <v>82</v>
      </c>
      <c r="H1" s="172" t="s">
        <v>50</v>
      </c>
      <c r="I1" s="172" t="s">
        <v>51</v>
      </c>
      <c r="J1" s="172" t="s">
        <v>53</v>
      </c>
      <c r="K1" s="172" t="s">
        <v>54</v>
      </c>
      <c r="L1" s="172" t="s">
        <v>55</v>
      </c>
      <c r="M1" s="172" t="s">
        <v>56</v>
      </c>
      <c r="N1" s="175" t="s">
        <v>57</v>
      </c>
      <c r="O1" s="172" t="s">
        <v>58</v>
      </c>
      <c r="P1" s="172" t="s">
        <v>83</v>
      </c>
      <c r="Q1" s="172" t="s">
        <v>95</v>
      </c>
      <c r="R1" s="172" t="s">
        <v>60</v>
      </c>
      <c r="S1" s="172" t="s">
        <v>61</v>
      </c>
      <c r="T1" s="172"/>
      <c r="U1" s="172"/>
      <c r="V1" s="172" t="s">
        <v>62</v>
      </c>
      <c r="W1" s="172" t="s">
        <v>63</v>
      </c>
      <c r="X1" s="172" t="s">
        <v>64</v>
      </c>
      <c r="Y1" s="172" t="s">
        <v>85</v>
      </c>
      <c r="Z1" s="172" t="s">
        <v>66</v>
      </c>
      <c r="AA1" s="172" t="s">
        <v>3</v>
      </c>
      <c r="AB1" s="172" t="s">
        <v>67</v>
      </c>
      <c r="AC1" s="172"/>
      <c r="AD1" s="172"/>
      <c r="AE1" s="172"/>
      <c r="AF1" s="172"/>
      <c r="AG1" s="174" t="s">
        <v>86</v>
      </c>
    </row>
    <row r="2" spans="1:33" s="1" customFormat="1" ht="55.5" customHeigh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6"/>
      <c r="O2" s="172"/>
      <c r="P2" s="172"/>
      <c r="Q2" s="172"/>
      <c r="R2" s="172"/>
      <c r="S2" s="4" t="s">
        <v>68</v>
      </c>
      <c r="T2" s="4" t="s">
        <v>69</v>
      </c>
      <c r="U2" s="4" t="s">
        <v>70</v>
      </c>
      <c r="V2" s="172"/>
      <c r="W2" s="172"/>
      <c r="X2" s="172"/>
      <c r="Y2" s="172"/>
      <c r="Z2" s="172"/>
      <c r="AA2" s="172"/>
      <c r="AB2" s="4" t="s">
        <v>96</v>
      </c>
      <c r="AC2" s="4" t="s">
        <v>97</v>
      </c>
      <c r="AD2" s="4" t="s">
        <v>73</v>
      </c>
      <c r="AE2" s="4" t="s">
        <v>74</v>
      </c>
      <c r="AF2" s="4" t="s">
        <v>75</v>
      </c>
      <c r="AG2" s="174"/>
    </row>
    <row r="3" spans="1:33" ht="17.25" customHeight="1">
      <c r="A3" s="42" t="s">
        <v>184</v>
      </c>
      <c r="B3" s="42" t="s">
        <v>88</v>
      </c>
      <c r="C3" s="43" t="s">
        <v>89</v>
      </c>
      <c r="D3" s="23">
        <v>1</v>
      </c>
      <c r="E3" s="44">
        <v>44197</v>
      </c>
      <c r="F3" s="44">
        <v>44225</v>
      </c>
      <c r="G3" s="23" t="s">
        <v>26</v>
      </c>
      <c r="H3" s="23">
        <v>206</v>
      </c>
      <c r="I3" s="23">
        <v>206</v>
      </c>
      <c r="J3" s="23">
        <v>37</v>
      </c>
      <c r="K3" s="24">
        <v>66</v>
      </c>
      <c r="L3" s="23">
        <v>40</v>
      </c>
      <c r="M3" s="23">
        <v>0</v>
      </c>
      <c r="N3" s="23">
        <v>0</v>
      </c>
      <c r="O3" s="24">
        <v>37</v>
      </c>
      <c r="P3" s="23">
        <v>0</v>
      </c>
      <c r="Q3" s="28">
        <v>0</v>
      </c>
      <c r="R3" s="29">
        <f>($P3/$AG3)*8</f>
        <v>0</v>
      </c>
      <c r="S3" s="30">
        <v>0</v>
      </c>
      <c r="T3" s="30">
        <v>0</v>
      </c>
      <c r="U3" s="26">
        <v>0</v>
      </c>
      <c r="V3" s="29">
        <v>0</v>
      </c>
      <c r="W3" s="31">
        <v>0</v>
      </c>
      <c r="X3" s="29">
        <f>SUM(S3,T3,V3,W3)</f>
        <v>0</v>
      </c>
      <c r="Y3" s="29">
        <f>R3-X3</f>
        <v>0</v>
      </c>
      <c r="Z3" s="36">
        <v>0</v>
      </c>
      <c r="AA3" s="23"/>
      <c r="AB3" s="37">
        <f>J3/I3</f>
        <v>0.1796116504854369</v>
      </c>
      <c r="AC3" s="37">
        <f>J3/H3</f>
        <v>0.1796116504854369</v>
      </c>
      <c r="AD3" s="37">
        <f>P3/(O3*D3)</f>
        <v>0</v>
      </c>
      <c r="AE3" s="37">
        <f>IFERROR(Y3/R3,0)</f>
        <v>0</v>
      </c>
      <c r="AF3" s="46">
        <f>Y3*$B$11</f>
        <v>0</v>
      </c>
      <c r="AG3" s="23">
        <v>8</v>
      </c>
    </row>
    <row r="4" spans="1:33" ht="17.25" customHeight="1">
      <c r="A4" s="42" t="s">
        <v>184</v>
      </c>
      <c r="B4" s="42" t="s">
        <v>88</v>
      </c>
      <c r="C4" s="43" t="s">
        <v>175</v>
      </c>
      <c r="D4" s="23">
        <v>1</v>
      </c>
      <c r="E4" s="44">
        <v>44228</v>
      </c>
      <c r="F4" s="44">
        <v>44253</v>
      </c>
      <c r="G4" s="23" t="s">
        <v>27</v>
      </c>
      <c r="H4" s="23">
        <v>206</v>
      </c>
      <c r="I4" s="23">
        <v>206</v>
      </c>
      <c r="J4" s="23">
        <v>37</v>
      </c>
      <c r="K4" s="24">
        <v>66</v>
      </c>
      <c r="L4" s="23">
        <v>40</v>
      </c>
      <c r="M4" s="23">
        <v>0</v>
      </c>
      <c r="N4" s="23">
        <v>0</v>
      </c>
      <c r="O4" s="24">
        <v>37</v>
      </c>
      <c r="P4" s="23">
        <v>0</v>
      </c>
      <c r="Q4" s="28">
        <v>0</v>
      </c>
      <c r="R4" s="29">
        <f>($P4/$AG4)*8</f>
        <v>0</v>
      </c>
      <c r="S4" s="30">
        <v>0</v>
      </c>
      <c r="T4" s="30">
        <v>0</v>
      </c>
      <c r="U4" s="26">
        <v>0</v>
      </c>
      <c r="V4" s="29">
        <v>0</v>
      </c>
      <c r="W4" s="31">
        <v>0</v>
      </c>
      <c r="X4" s="29">
        <f>SUM(S4,T4,V4,W4)</f>
        <v>0</v>
      </c>
      <c r="Y4" s="29">
        <f>R4-X4</f>
        <v>0</v>
      </c>
      <c r="Z4" s="36">
        <v>0</v>
      </c>
      <c r="AA4" s="23"/>
      <c r="AB4" s="37">
        <f>J4/I4</f>
        <v>0.1796116504854369</v>
      </c>
      <c r="AC4" s="37">
        <f>J4/H4</f>
        <v>0.1796116504854369</v>
      </c>
      <c r="AD4" s="37">
        <f>P4/(O4*D4)</f>
        <v>0</v>
      </c>
      <c r="AE4" s="37">
        <f>IFERROR(Y4/R4,0)</f>
        <v>0</v>
      </c>
      <c r="AF4" s="46">
        <f>Y4*$B$11</f>
        <v>0</v>
      </c>
      <c r="AG4" s="23">
        <v>8</v>
      </c>
    </row>
    <row r="5" spans="1:33" ht="17.25" customHeight="1">
      <c r="A5" s="42" t="s">
        <v>184</v>
      </c>
      <c r="B5" s="42" t="s">
        <v>88</v>
      </c>
      <c r="C5" s="43" t="s">
        <v>185</v>
      </c>
      <c r="D5" s="23">
        <v>1</v>
      </c>
      <c r="E5" s="44">
        <v>44228</v>
      </c>
      <c r="F5" s="44">
        <v>44281</v>
      </c>
      <c r="G5" s="23" t="s">
        <v>28</v>
      </c>
      <c r="H5" s="23">
        <v>206</v>
      </c>
      <c r="I5" s="23">
        <v>206</v>
      </c>
      <c r="J5" s="23">
        <v>37</v>
      </c>
      <c r="K5" s="24">
        <v>66</v>
      </c>
      <c r="L5" s="23">
        <v>40</v>
      </c>
      <c r="M5" s="23">
        <v>0</v>
      </c>
      <c r="N5" s="23">
        <v>0</v>
      </c>
      <c r="O5" s="24">
        <v>37</v>
      </c>
      <c r="P5" s="23">
        <v>0</v>
      </c>
      <c r="Q5" s="28">
        <v>0</v>
      </c>
      <c r="R5" s="29">
        <f>($P5/$AG5)*8</f>
        <v>0</v>
      </c>
      <c r="S5" s="30">
        <v>0</v>
      </c>
      <c r="T5" s="30">
        <v>0</v>
      </c>
      <c r="U5" s="26">
        <v>0</v>
      </c>
      <c r="V5" s="29">
        <v>0</v>
      </c>
      <c r="W5" s="31">
        <v>0</v>
      </c>
      <c r="X5" s="29">
        <f>SUM(S5,T5,V5,W5)</f>
        <v>0</v>
      </c>
      <c r="Y5" s="29">
        <f>R5-X5</f>
        <v>0</v>
      </c>
      <c r="Z5" s="36">
        <v>0</v>
      </c>
      <c r="AA5" s="23"/>
      <c r="AB5" s="37">
        <f>J5/I5</f>
        <v>0.1796116504854369</v>
      </c>
      <c r="AC5" s="37">
        <f>J5/H5</f>
        <v>0.1796116504854369</v>
      </c>
      <c r="AD5" s="37">
        <f>P5/(O5*D5)</f>
        <v>0</v>
      </c>
      <c r="AE5" s="37">
        <f>IFERROR(Y5/R5,0)</f>
        <v>0</v>
      </c>
      <c r="AF5" s="46">
        <f>Y5*$B$11</f>
        <v>0</v>
      </c>
      <c r="AG5" s="23">
        <v>8</v>
      </c>
    </row>
    <row r="6" spans="1:33" s="2" customFormat="1">
      <c r="A6" s="8" t="str">
        <f>A3</f>
        <v>APAR</v>
      </c>
      <c r="B6" s="8" t="s">
        <v>90</v>
      </c>
      <c r="C6" s="9" t="s">
        <v>90</v>
      </c>
      <c r="D6" s="9">
        <f ca="1">SUM(D3:INDIRECT("D"&amp;ROW()-1))</f>
        <v>3</v>
      </c>
      <c r="E6" s="9"/>
      <c r="F6" s="9"/>
      <c r="G6" s="9"/>
      <c r="H6" s="9">
        <f ca="1">INDIRECT("H"&amp;ROW()-1)</f>
        <v>206</v>
      </c>
      <c r="I6" s="9">
        <f ca="1">INDIRECT("I"&amp;ROW()-1)</f>
        <v>206</v>
      </c>
      <c r="J6" s="9">
        <f ca="1">INDIRECT("J"&amp;ROW()-1)</f>
        <v>37</v>
      </c>
      <c r="K6" s="9">
        <f ca="1">INDIRECT("K"&amp;ROW()-1)</f>
        <v>66</v>
      </c>
      <c r="L6" s="9">
        <f ca="1">SUM(L3:INDIRECT("L"&amp;ROW()-1))</f>
        <v>120</v>
      </c>
      <c r="M6" s="9">
        <f ca="1">SUM(M3:INDIRECT("M"&amp;ROW()-1))</f>
        <v>0</v>
      </c>
      <c r="N6" s="9">
        <f ca="1">SUM(N3:INDIRECT("N"&amp;ROW()-1))</f>
        <v>0</v>
      </c>
      <c r="O6" s="9">
        <f ca="1">INDIRECT("O"&amp;ROW()-1)</f>
        <v>37</v>
      </c>
      <c r="P6" s="9">
        <f ca="1">SUM(P3:INDIRECT("P"&amp;ROW()-1))</f>
        <v>0</v>
      </c>
      <c r="Q6" s="9">
        <f ca="1">SUM(Q3:INDIRECT("Q"&amp;ROW()-1))</f>
        <v>0</v>
      </c>
      <c r="R6" s="27">
        <f ca="1">SUM(R3:INDIRECT("R"&amp;ROW()-1))</f>
        <v>0</v>
      </c>
      <c r="S6" s="9">
        <f ca="1">SUM(S3:INDIRECT("S"&amp;ROW()-1))</f>
        <v>0</v>
      </c>
      <c r="T6" s="9">
        <f ca="1">SUM(T3:INDIRECT("T"&amp;ROW()-1))</f>
        <v>0</v>
      </c>
      <c r="U6" s="9">
        <f ca="1">SUM(U3:INDIRECT("U"&amp;ROW()-1))</f>
        <v>0</v>
      </c>
      <c r="V6" s="9">
        <f ca="1">SUM(V3:INDIRECT("V"&amp;ROW()-1))</f>
        <v>0</v>
      </c>
      <c r="W6" s="9">
        <f ca="1">SUM(W3:INDIRECT("W"&amp;ROW()-1))</f>
        <v>0</v>
      </c>
      <c r="X6" s="9">
        <f ca="1">SUM(X3:INDIRECT("X"&amp;ROW()-1))</f>
        <v>0</v>
      </c>
      <c r="Y6" s="27">
        <f ca="1">SUM(Y3:INDIRECT("Y"&amp;ROW()-1))</f>
        <v>0</v>
      </c>
      <c r="Z6" s="9">
        <f ca="1">SUM(Z3:INDIRECT("z"&amp;ROW()-1))</f>
        <v>0</v>
      </c>
      <c r="AA6" s="9"/>
      <c r="AB6" s="34">
        <f ca="1">J6/I6</f>
        <v>0.1796116504854369</v>
      </c>
      <c r="AC6" s="34">
        <f ca="1">J6/H6</f>
        <v>0.1796116504854369</v>
      </c>
      <c r="AD6" s="34">
        <f ca="1">P6/(O6*D6)</f>
        <v>0</v>
      </c>
      <c r="AE6" s="39">
        <f ca="1">IFERROR(Y6/R6,0)</f>
        <v>0</v>
      </c>
      <c r="AF6" s="35">
        <f ca="1">SUM(AF3:INDIRECT("AF"&amp;ROW()-1))</f>
        <v>0</v>
      </c>
      <c r="AG6" s="9"/>
    </row>
    <row r="7" spans="1:33" s="2" customFormat="1">
      <c r="L7" s="45"/>
    </row>
    <row r="8" spans="1:33" s="2" customFormat="1">
      <c r="A8" s="10"/>
      <c r="B8" s="11"/>
      <c r="E8" s="2">
        <v>11</v>
      </c>
      <c r="Q8" s="13"/>
      <c r="AD8" s="25"/>
    </row>
    <row r="9" spans="1:33" s="2" customFormat="1">
      <c r="A9" s="10"/>
      <c r="B9" s="11"/>
      <c r="L9" s="45"/>
      <c r="Q9" s="13"/>
      <c r="AD9" s="25"/>
    </row>
    <row r="10" spans="1:33" s="2" customFormat="1">
      <c r="A10" s="10"/>
      <c r="B10" s="11"/>
      <c r="Q10" s="13"/>
      <c r="AD10" s="25"/>
    </row>
    <row r="11" spans="1:33" s="2" customFormat="1">
      <c r="A11" s="10" t="s">
        <v>91</v>
      </c>
      <c r="B11" s="11">
        <v>25</v>
      </c>
      <c r="P11" s="25"/>
      <c r="Q11" s="13"/>
      <c r="AD11" s="25"/>
    </row>
    <row r="12" spans="1:33" ht="21">
      <c r="A12" s="10" t="s">
        <v>92</v>
      </c>
      <c r="B12" s="12">
        <v>8</v>
      </c>
      <c r="C12" s="2"/>
      <c r="D12" s="2"/>
      <c r="E12" s="2"/>
      <c r="F12" s="2"/>
      <c r="G12" s="2"/>
      <c r="H12" s="2"/>
      <c r="I12" s="2"/>
      <c r="J12" s="25"/>
      <c r="K12" s="25"/>
      <c r="L12" s="2"/>
      <c r="M12" s="2"/>
      <c r="N12" s="2"/>
      <c r="O12" s="2"/>
      <c r="P12" s="2"/>
      <c r="Q12" s="1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44" spans="14:33">
      <c r="N44" s="172" t="s">
        <v>22</v>
      </c>
      <c r="O44" s="172" t="s">
        <v>82</v>
      </c>
      <c r="P44" s="172" t="s">
        <v>60</v>
      </c>
      <c r="Q44" s="172" t="s">
        <v>85</v>
      </c>
      <c r="R44" s="172" t="s">
        <v>74</v>
      </c>
      <c r="S44" s="172" t="s">
        <v>75</v>
      </c>
      <c r="T44" s="173"/>
      <c r="AG44" s="13"/>
    </row>
    <row r="45" spans="14:33">
      <c r="N45" s="172"/>
      <c r="O45" s="172"/>
      <c r="P45" s="172"/>
      <c r="Q45" s="172"/>
      <c r="R45" s="172"/>
      <c r="S45" s="172"/>
      <c r="T45" s="173"/>
      <c r="AG45" s="13"/>
    </row>
    <row r="46" spans="14:33">
      <c r="N46" s="42" t="s">
        <v>184</v>
      </c>
      <c r="O46" s="23" t="s">
        <v>26</v>
      </c>
      <c r="P46" s="26">
        <f t="shared" ref="P46:P57" si="0">SUMIFS($R$3:$R$3,$G$3:$G$3,O46)</f>
        <v>0</v>
      </c>
      <c r="Q46" s="26">
        <f t="shared" ref="Q46:Q57" si="1">SUMIFS($Y$3:$Y$3,$G$3:$G$3,O46)</f>
        <v>0</v>
      </c>
      <c r="R46" s="32">
        <f t="shared" ref="R46:R57" si="2">IFERROR(Q46/P46,0)</f>
        <v>0</v>
      </c>
      <c r="S46" s="33">
        <f t="shared" ref="S46:S57" si="3">SUMIFS($AF$3:$AF$3,$G$3:$G$3,O46)</f>
        <v>0</v>
      </c>
      <c r="T46" s="18"/>
      <c r="AG46" s="15"/>
    </row>
    <row r="47" spans="14:33">
      <c r="N47" s="42" t="s">
        <v>184</v>
      </c>
      <c r="O47" s="23" t="s">
        <v>27</v>
      </c>
      <c r="P47" s="26">
        <f t="shared" si="0"/>
        <v>0</v>
      </c>
      <c r="Q47" s="26">
        <f t="shared" si="1"/>
        <v>0</v>
      </c>
      <c r="R47" s="32">
        <f t="shared" si="2"/>
        <v>0</v>
      </c>
      <c r="S47" s="33">
        <f t="shared" si="3"/>
        <v>0</v>
      </c>
      <c r="T47" s="18"/>
      <c r="AG47" s="15"/>
    </row>
    <row r="48" spans="14:33">
      <c r="N48" s="42" t="s">
        <v>184</v>
      </c>
      <c r="O48" s="23" t="s">
        <v>28</v>
      </c>
      <c r="P48" s="26">
        <f t="shared" si="0"/>
        <v>0</v>
      </c>
      <c r="Q48" s="26">
        <f t="shared" si="1"/>
        <v>0</v>
      </c>
      <c r="R48" s="32">
        <f t="shared" si="2"/>
        <v>0</v>
      </c>
      <c r="S48" s="33">
        <f t="shared" si="3"/>
        <v>0</v>
      </c>
      <c r="T48" s="18"/>
      <c r="AG48" s="15"/>
    </row>
    <row r="49" spans="1:33">
      <c r="N49" s="42" t="s">
        <v>184</v>
      </c>
      <c r="O49" s="23" t="s">
        <v>29</v>
      </c>
      <c r="P49" s="26">
        <f t="shared" si="0"/>
        <v>0</v>
      </c>
      <c r="Q49" s="26">
        <f t="shared" si="1"/>
        <v>0</v>
      </c>
      <c r="R49" s="32">
        <f t="shared" si="2"/>
        <v>0</v>
      </c>
      <c r="S49" s="33">
        <f t="shared" si="3"/>
        <v>0</v>
      </c>
      <c r="T49" s="18"/>
      <c r="AG49" s="15"/>
    </row>
    <row r="50" spans="1:33">
      <c r="N50" s="42" t="s">
        <v>184</v>
      </c>
      <c r="O50" s="23" t="s">
        <v>30</v>
      </c>
      <c r="P50" s="26">
        <f t="shared" si="0"/>
        <v>0</v>
      </c>
      <c r="Q50" s="26">
        <f t="shared" si="1"/>
        <v>0</v>
      </c>
      <c r="R50" s="32">
        <f t="shared" si="2"/>
        <v>0</v>
      </c>
      <c r="S50" s="33">
        <f t="shared" si="3"/>
        <v>0</v>
      </c>
      <c r="T50" s="18"/>
      <c r="AG50" s="15"/>
    </row>
    <row r="51" spans="1:33">
      <c r="N51" s="42" t="s">
        <v>184</v>
      </c>
      <c r="O51" s="23" t="s">
        <v>31</v>
      </c>
      <c r="P51" s="26">
        <f t="shared" si="0"/>
        <v>0</v>
      </c>
      <c r="Q51" s="26">
        <f t="shared" si="1"/>
        <v>0</v>
      </c>
      <c r="R51" s="32">
        <f t="shared" si="2"/>
        <v>0</v>
      </c>
      <c r="S51" s="33">
        <f t="shared" si="3"/>
        <v>0</v>
      </c>
      <c r="T51" s="18"/>
      <c r="AG51" s="15"/>
    </row>
    <row r="52" spans="1:33" ht="15" customHeight="1">
      <c r="N52" s="42" t="s">
        <v>184</v>
      </c>
      <c r="O52" s="23" t="s">
        <v>32</v>
      </c>
      <c r="P52" s="26">
        <f t="shared" si="0"/>
        <v>0</v>
      </c>
      <c r="Q52" s="26">
        <f t="shared" si="1"/>
        <v>0</v>
      </c>
      <c r="R52" s="32">
        <f t="shared" si="2"/>
        <v>0</v>
      </c>
      <c r="S52" s="33">
        <f t="shared" si="3"/>
        <v>0</v>
      </c>
      <c r="T52" s="18"/>
      <c r="AG52" s="15"/>
    </row>
    <row r="53" spans="1:33">
      <c r="A53" s="173"/>
      <c r="B53" s="173"/>
      <c r="C53" s="173"/>
      <c r="D53" s="173"/>
      <c r="E53" s="173"/>
      <c r="F53" s="173"/>
      <c r="G53" s="173"/>
      <c r="N53" s="42" t="s">
        <v>184</v>
      </c>
      <c r="O53" s="23" t="s">
        <v>33</v>
      </c>
      <c r="P53" s="26">
        <f t="shared" si="0"/>
        <v>0</v>
      </c>
      <c r="Q53" s="26">
        <f t="shared" si="1"/>
        <v>0</v>
      </c>
      <c r="R53" s="32">
        <f t="shared" si="2"/>
        <v>0</v>
      </c>
      <c r="S53" s="33">
        <f t="shared" si="3"/>
        <v>0</v>
      </c>
      <c r="T53" s="18"/>
      <c r="AG53" s="15"/>
    </row>
    <row r="54" spans="1:33">
      <c r="A54" s="173"/>
      <c r="B54" s="173"/>
      <c r="C54" s="173"/>
      <c r="D54" s="173"/>
      <c r="E54" s="173"/>
      <c r="F54" s="173"/>
      <c r="G54" s="173"/>
      <c r="N54" s="42" t="s">
        <v>184</v>
      </c>
      <c r="O54" s="23" t="s">
        <v>34</v>
      </c>
      <c r="P54" s="26">
        <f t="shared" si="0"/>
        <v>0</v>
      </c>
      <c r="Q54" s="26">
        <f t="shared" si="1"/>
        <v>0</v>
      </c>
      <c r="R54" s="32">
        <f t="shared" si="2"/>
        <v>0</v>
      </c>
      <c r="S54" s="33">
        <f t="shared" si="3"/>
        <v>0</v>
      </c>
      <c r="T54" s="18"/>
      <c r="AG54" s="15"/>
    </row>
    <row r="55" spans="1:33">
      <c r="A55" s="14"/>
      <c r="B55" s="15"/>
      <c r="C55" s="15"/>
      <c r="D55" s="16"/>
      <c r="E55" s="16"/>
      <c r="F55" s="17"/>
      <c r="G55" s="18"/>
      <c r="N55" s="42" t="s">
        <v>184</v>
      </c>
      <c r="O55" s="23" t="s">
        <v>35</v>
      </c>
      <c r="P55" s="26">
        <f t="shared" si="0"/>
        <v>0</v>
      </c>
      <c r="Q55" s="26">
        <f t="shared" si="1"/>
        <v>0</v>
      </c>
      <c r="R55" s="32">
        <f t="shared" si="2"/>
        <v>0</v>
      </c>
      <c r="S55" s="33">
        <f t="shared" si="3"/>
        <v>0</v>
      </c>
      <c r="T55" s="18"/>
      <c r="AG55" s="15"/>
    </row>
    <row r="56" spans="1:33">
      <c r="A56" s="14"/>
      <c r="B56" s="15"/>
      <c r="C56" s="15"/>
      <c r="D56" s="16"/>
      <c r="E56" s="16"/>
      <c r="F56" s="17"/>
      <c r="G56" s="18"/>
      <c r="N56" s="42" t="s">
        <v>184</v>
      </c>
      <c r="O56" s="23" t="s">
        <v>36</v>
      </c>
      <c r="P56" s="26">
        <f t="shared" si="0"/>
        <v>0</v>
      </c>
      <c r="Q56" s="26">
        <f t="shared" si="1"/>
        <v>0</v>
      </c>
      <c r="R56" s="32">
        <f t="shared" si="2"/>
        <v>0</v>
      </c>
      <c r="S56" s="33">
        <f t="shared" si="3"/>
        <v>0</v>
      </c>
      <c r="T56" s="18"/>
      <c r="AG56" s="15"/>
    </row>
    <row r="57" spans="1:33">
      <c r="A57" s="14"/>
      <c r="B57" s="15"/>
      <c r="C57" s="15"/>
      <c r="D57" s="16"/>
      <c r="E57" s="16"/>
      <c r="F57" s="17"/>
      <c r="G57" s="18"/>
      <c r="N57" s="42" t="s">
        <v>184</v>
      </c>
      <c r="O57" s="23" t="s">
        <v>37</v>
      </c>
      <c r="P57" s="26">
        <f t="shared" si="0"/>
        <v>0</v>
      </c>
      <c r="Q57" s="26">
        <f t="shared" si="1"/>
        <v>0</v>
      </c>
      <c r="R57" s="32">
        <f t="shared" si="2"/>
        <v>0</v>
      </c>
      <c r="S57" s="33">
        <f t="shared" si="3"/>
        <v>0</v>
      </c>
      <c r="T57" s="18"/>
      <c r="AG57" s="15"/>
    </row>
    <row r="58" spans="1:33">
      <c r="A58" s="14"/>
      <c r="B58" s="15"/>
      <c r="C58" s="15"/>
      <c r="D58" s="16"/>
      <c r="E58" s="16"/>
      <c r="F58" s="17"/>
      <c r="G58" s="18"/>
      <c r="N58" s="8" t="s">
        <v>184</v>
      </c>
      <c r="O58" s="9"/>
      <c r="P58" s="27">
        <f>SUM(P46:P57)</f>
        <v>0</v>
      </c>
      <c r="Q58" s="27">
        <f>SUM(Q46:Q57)</f>
        <v>0</v>
      </c>
      <c r="R58" s="34" t="e">
        <f>Q58/P58</f>
        <v>#DIV/0!</v>
      </c>
      <c r="S58" s="35">
        <f>SUM(S46:S57)</f>
        <v>0</v>
      </c>
      <c r="T58" s="22"/>
      <c r="AG58" s="13"/>
    </row>
    <row r="59" spans="1:33">
      <c r="A59" s="14"/>
      <c r="B59" s="15"/>
      <c r="C59" s="15"/>
      <c r="D59" s="16"/>
      <c r="E59" s="16"/>
      <c r="F59" s="17"/>
      <c r="G59" s="18"/>
    </row>
    <row r="60" spans="1:33">
      <c r="A60" s="19"/>
      <c r="B60" s="19"/>
      <c r="C60" s="13"/>
      <c r="D60" s="20"/>
      <c r="E60" s="20"/>
      <c r="F60" s="21"/>
      <c r="G60" s="22"/>
    </row>
    <row r="61" spans="1:33">
      <c r="A61" s="10" t="s">
        <v>91</v>
      </c>
      <c r="B61" s="11">
        <v>25</v>
      </c>
      <c r="C61" s="2"/>
      <c r="D61" s="2"/>
      <c r="E61" s="2"/>
      <c r="F61" s="2"/>
      <c r="G61" s="2"/>
    </row>
  </sheetData>
  <mergeCells count="41">
    <mergeCell ref="Y1:Y2"/>
    <mergeCell ref="Z1:Z2"/>
    <mergeCell ref="AA1:AA2"/>
    <mergeCell ref="AG1:AG2"/>
    <mergeCell ref="S44:S45"/>
    <mergeCell ref="T44:T45"/>
    <mergeCell ref="V1:V2"/>
    <mergeCell ref="W1:W2"/>
    <mergeCell ref="X1:X2"/>
    <mergeCell ref="S1:U1"/>
    <mergeCell ref="AB1:AF1"/>
    <mergeCell ref="P1:P2"/>
    <mergeCell ref="P44:P45"/>
    <mergeCell ref="Q1:Q2"/>
    <mergeCell ref="Q44:Q45"/>
    <mergeCell ref="R1:R2"/>
    <mergeCell ref="R44:R45"/>
    <mergeCell ref="M1:M2"/>
    <mergeCell ref="N1:N2"/>
    <mergeCell ref="N44:N45"/>
    <mergeCell ref="O1:O2"/>
    <mergeCell ref="O44:O45"/>
    <mergeCell ref="H1:H2"/>
    <mergeCell ref="I1:I2"/>
    <mergeCell ref="J1:J2"/>
    <mergeCell ref="K1:K2"/>
    <mergeCell ref="L1:L2"/>
    <mergeCell ref="A1:A2"/>
    <mergeCell ref="A53:A54"/>
    <mergeCell ref="B1:B2"/>
    <mergeCell ref="B53:B54"/>
    <mergeCell ref="C1:C2"/>
    <mergeCell ref="C53:C54"/>
    <mergeCell ref="G1:G2"/>
    <mergeCell ref="G53:G54"/>
    <mergeCell ref="D1:D2"/>
    <mergeCell ref="D53:D54"/>
    <mergeCell ref="E1:E2"/>
    <mergeCell ref="E53:E54"/>
    <mergeCell ref="F1:F2"/>
    <mergeCell ref="F53:F54"/>
  </mergeCells>
  <pageMargins left="0.7" right="0.7" top="0.75" bottom="0.75" header="0.3" footer="0.3"/>
  <pageSetup orientation="portrait"/>
  <headerFooter>
    <oddFooter>&amp;CNBCU Internal</oddFooter>
  </headerFooter>
  <drawing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B050"/>
  </sheetPr>
  <dimension ref="A1"/>
  <sheetViews>
    <sheetView topLeftCell="A8" workbookViewId="0">
      <selection activeCell="S22" sqref="S22"/>
    </sheetView>
  </sheetViews>
  <sheetFormatPr defaultColWidth="8.81640625" defaultRowHeight="14.5"/>
  <sheetData/>
  <pageMargins left="0.7" right="0.7" top="0.75" bottom="0.75" header="0.3" footer="0.3"/>
  <pageSetup orientation="portrait"/>
  <headerFooter>
    <oddFooter>&amp;CNBCU Internal</oddFooter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2"/>
  <dimension ref="A1:AG59"/>
  <sheetViews>
    <sheetView workbookViewId="0">
      <selection activeCell="A4" sqref="A4"/>
    </sheetView>
  </sheetViews>
  <sheetFormatPr defaultColWidth="8.81640625" defaultRowHeight="14.5"/>
  <cols>
    <col min="1" max="1" width="9.81640625" style="3" customWidth="1"/>
    <col min="2" max="2" width="10.453125" style="3" customWidth="1"/>
    <col min="3" max="3" width="14.1796875" style="3" customWidth="1"/>
    <col min="4" max="4" width="5.453125" style="3" customWidth="1"/>
    <col min="5" max="6" width="8.1796875" style="3" customWidth="1"/>
    <col min="7" max="7" width="8.81640625" style="3" customWidth="1"/>
    <col min="8" max="8" width="19.453125" style="3" customWidth="1"/>
    <col min="9" max="9" width="19.81640625" style="3" customWidth="1"/>
    <col min="10" max="10" width="11.453125" style="3" customWidth="1"/>
    <col min="11" max="11" width="13.1796875" style="3" customWidth="1"/>
    <col min="12" max="12" width="11.1796875" style="3" customWidth="1"/>
    <col min="13" max="14" width="13.1796875" style="3" customWidth="1"/>
    <col min="15" max="15" width="13.81640625" style="3" customWidth="1"/>
    <col min="16" max="16" width="22.453125" style="3" customWidth="1"/>
    <col min="17" max="18" width="19.453125" style="3" customWidth="1"/>
    <col min="19" max="19" width="12.1796875" style="3" customWidth="1"/>
    <col min="20" max="20" width="17.453125" style="3" customWidth="1"/>
    <col min="21" max="21" width="9.81640625" style="3" customWidth="1"/>
    <col min="22" max="22" width="18" style="3" customWidth="1"/>
    <col min="23" max="23" width="19.1796875" style="3" customWidth="1"/>
    <col min="24" max="24" width="13.453125" style="3" customWidth="1"/>
    <col min="25" max="25" width="10.1796875" style="3" customWidth="1"/>
    <col min="26" max="26" width="18.1796875" style="3" customWidth="1"/>
    <col min="27" max="27" width="6.453125" style="3" customWidth="1"/>
    <col min="28" max="28" width="15" style="3" customWidth="1"/>
    <col min="29" max="29" width="9.453125" style="3" customWidth="1"/>
    <col min="30" max="30" width="18" style="3" customWidth="1"/>
    <col min="31" max="31" width="12.1796875" style="3" customWidth="1"/>
    <col min="32" max="33" width="11.453125" style="3" customWidth="1"/>
    <col min="34" max="16384" width="8.81640625" style="3"/>
  </cols>
  <sheetData>
    <row r="1" spans="1:33" s="1" customFormat="1" ht="33" customHeight="1">
      <c r="A1" s="172" t="s">
        <v>22</v>
      </c>
      <c r="B1" s="172" t="s">
        <v>47</v>
      </c>
      <c r="C1" s="172" t="s">
        <v>48</v>
      </c>
      <c r="D1" s="172" t="s">
        <v>79</v>
      </c>
      <c r="E1" s="172" t="s">
        <v>80</v>
      </c>
      <c r="F1" s="172" t="s">
        <v>81</v>
      </c>
      <c r="G1" s="172" t="s">
        <v>82</v>
      </c>
      <c r="H1" s="172" t="s">
        <v>50</v>
      </c>
      <c r="I1" s="172" t="s">
        <v>51</v>
      </c>
      <c r="J1" s="172" t="s">
        <v>53</v>
      </c>
      <c r="K1" s="172" t="s">
        <v>54</v>
      </c>
      <c r="L1" s="172" t="s">
        <v>55</v>
      </c>
      <c r="M1" s="172" t="s">
        <v>56</v>
      </c>
      <c r="N1" s="175" t="s">
        <v>57</v>
      </c>
      <c r="O1" s="172" t="s">
        <v>58</v>
      </c>
      <c r="P1" s="172" t="s">
        <v>83</v>
      </c>
      <c r="Q1" s="172" t="s">
        <v>84</v>
      </c>
      <c r="R1" s="172" t="s">
        <v>60</v>
      </c>
      <c r="S1" s="172" t="s">
        <v>61</v>
      </c>
      <c r="T1" s="172"/>
      <c r="U1" s="172"/>
      <c r="V1" s="172" t="s">
        <v>62</v>
      </c>
      <c r="W1" s="172" t="s">
        <v>63</v>
      </c>
      <c r="X1" s="172" t="s">
        <v>64</v>
      </c>
      <c r="Y1" s="172" t="s">
        <v>85</v>
      </c>
      <c r="Z1" s="172" t="s">
        <v>66</v>
      </c>
      <c r="AA1" s="172" t="s">
        <v>3</v>
      </c>
      <c r="AB1" s="172" t="s">
        <v>67</v>
      </c>
      <c r="AC1" s="172"/>
      <c r="AD1" s="172"/>
      <c r="AE1" s="172"/>
      <c r="AF1" s="172"/>
    </row>
    <row r="2" spans="1:33" s="1" customFormat="1" ht="55.5" customHeigh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6"/>
      <c r="O2" s="172"/>
      <c r="P2" s="172"/>
      <c r="Q2" s="172"/>
      <c r="R2" s="172"/>
      <c r="S2" s="4" t="s">
        <v>68</v>
      </c>
      <c r="T2" s="4" t="s">
        <v>69</v>
      </c>
      <c r="U2" s="4" t="s">
        <v>70</v>
      </c>
      <c r="V2" s="172"/>
      <c r="W2" s="172"/>
      <c r="X2" s="172"/>
      <c r="Y2" s="172"/>
      <c r="Z2" s="172"/>
      <c r="AA2" s="172"/>
      <c r="AB2" s="4" t="s">
        <v>71</v>
      </c>
      <c r="AC2" s="4" t="s">
        <v>72</v>
      </c>
      <c r="AD2" s="4" t="s">
        <v>73</v>
      </c>
      <c r="AE2" s="4" t="s">
        <v>74</v>
      </c>
      <c r="AF2" s="4" t="s">
        <v>75</v>
      </c>
    </row>
    <row r="3" spans="1:33" ht="21">
      <c r="A3" s="5" t="s">
        <v>186</v>
      </c>
      <c r="B3" s="5" t="s">
        <v>187</v>
      </c>
      <c r="C3" s="6" t="s">
        <v>31</v>
      </c>
      <c r="D3" s="6">
        <v>2</v>
      </c>
      <c r="E3" s="7">
        <v>43272</v>
      </c>
      <c r="F3" s="7">
        <v>43273</v>
      </c>
      <c r="G3" s="6" t="s">
        <v>31</v>
      </c>
      <c r="H3" s="6">
        <v>213</v>
      </c>
      <c r="I3" s="23">
        <v>213</v>
      </c>
      <c r="J3" s="23">
        <v>213</v>
      </c>
      <c r="K3" s="24">
        <v>227</v>
      </c>
      <c r="L3" s="23">
        <v>0</v>
      </c>
      <c r="M3" s="23">
        <v>0</v>
      </c>
      <c r="N3" s="23">
        <v>0</v>
      </c>
      <c r="O3" s="24">
        <v>227</v>
      </c>
      <c r="P3" s="23">
        <v>227</v>
      </c>
      <c r="Q3" s="28">
        <v>0</v>
      </c>
      <c r="R3" s="29">
        <f>($H3/$B$10)*8</f>
        <v>113.6</v>
      </c>
      <c r="S3" s="30">
        <v>7.5</v>
      </c>
      <c r="T3" s="30">
        <v>8</v>
      </c>
      <c r="U3" s="26">
        <v>8</v>
      </c>
      <c r="V3" s="29">
        <f>(($H3-$J3)/$B$10)*8</f>
        <v>0</v>
      </c>
      <c r="W3" s="31">
        <v>0</v>
      </c>
      <c r="X3" s="29">
        <v>12</v>
      </c>
      <c r="Y3" s="29">
        <f>R3-X3</f>
        <v>101.6</v>
      </c>
      <c r="Z3" s="36">
        <v>1</v>
      </c>
      <c r="AA3" s="23"/>
      <c r="AB3" s="37">
        <f>J3/I3</f>
        <v>1</v>
      </c>
      <c r="AC3" s="37">
        <f>J3/H3</f>
        <v>1</v>
      </c>
      <c r="AD3" s="37">
        <f>P3/O3</f>
        <v>1</v>
      </c>
      <c r="AE3" s="37">
        <f>Y3/R3</f>
        <v>0.89436619718309862</v>
      </c>
      <c r="AF3" s="38">
        <f>Y3*$B$9</f>
        <v>2540</v>
      </c>
      <c r="AG3" s="41"/>
    </row>
    <row r="4" spans="1:33" s="2" customFormat="1" ht="21">
      <c r="A4" s="8" t="s">
        <v>186</v>
      </c>
      <c r="B4" s="8" t="s">
        <v>90</v>
      </c>
      <c r="C4" s="9" t="s">
        <v>90</v>
      </c>
      <c r="D4" s="9">
        <f ca="1">COUNT(D2:INDIRECT("D"&amp;ROW()-1))</f>
        <v>1</v>
      </c>
      <c r="E4" s="9"/>
      <c r="F4" s="9"/>
      <c r="G4" s="9"/>
      <c r="H4" s="9">
        <f ca="1">INDIRECT("H"&amp;ROW()-1)</f>
        <v>213</v>
      </c>
      <c r="I4" s="9">
        <f ca="1">INDIRECT("I"&amp;ROW()-1)</f>
        <v>213</v>
      </c>
      <c r="J4" s="9">
        <f ca="1">INDIRECT("J"&amp;ROW()-1)</f>
        <v>213</v>
      </c>
      <c r="K4" s="9">
        <f ca="1">INDIRECT("K"&amp;ROW()-1)</f>
        <v>227</v>
      </c>
      <c r="L4" s="9">
        <f ca="1">SUM(L2:INDIRECT("L"&amp;ROW()-1))</f>
        <v>0</v>
      </c>
      <c r="M4" s="9">
        <f ca="1">SUM(M2:INDIRECT("M"&amp;ROW()-1))</f>
        <v>0</v>
      </c>
      <c r="N4" s="9">
        <f ca="1">SUM(N2:INDIRECT("N"&amp;ROW()-1))</f>
        <v>0</v>
      </c>
      <c r="O4" s="9">
        <f ca="1">INDIRECT("O"&amp;ROW()-1)</f>
        <v>227</v>
      </c>
      <c r="P4" s="9">
        <f ca="1">SUM(P2:INDIRECT("P"&amp;ROW()-1))</f>
        <v>227</v>
      </c>
      <c r="Q4" s="9">
        <f ca="1">SUM(Q2:INDIRECT("Q"&amp;ROW()-1))</f>
        <v>0</v>
      </c>
      <c r="R4" s="27">
        <f ca="1">SUM(R2:INDIRECT("R"&amp;ROW()-1))</f>
        <v>113.6</v>
      </c>
      <c r="S4" s="9">
        <f ca="1">SUM(S2:INDIRECT("S"&amp;ROW()-1))</f>
        <v>7.5</v>
      </c>
      <c r="T4" s="9">
        <f ca="1">SUM(T2:INDIRECT("T"&amp;ROW()-1))</f>
        <v>8</v>
      </c>
      <c r="U4" s="9">
        <f ca="1">SUM(U2:INDIRECT("U"&amp;ROW()-1))</f>
        <v>8</v>
      </c>
      <c r="V4" s="9">
        <f ca="1">SUM(V2:INDIRECT("V"&amp;ROW()-1))</f>
        <v>0</v>
      </c>
      <c r="W4" s="9">
        <f ca="1">SUM(W2:INDIRECT("W"&amp;ROW()-1))</f>
        <v>0</v>
      </c>
      <c r="X4" s="9">
        <f ca="1">SUM(X2:INDIRECT("X"&amp;ROW()-1))</f>
        <v>12</v>
      </c>
      <c r="Y4" s="27">
        <f ca="1">SUM(Y2:INDIRECT("Y"&amp;ROW()-1))</f>
        <v>101.6</v>
      </c>
      <c r="Z4" s="9">
        <f ca="1">SUM(Z2:INDIRECT("Z"&amp;ROW()-1))</f>
        <v>1</v>
      </c>
      <c r="AA4" s="9"/>
      <c r="AB4" s="34">
        <f ca="1">J4/I4</f>
        <v>1</v>
      </c>
      <c r="AC4" s="34">
        <f ca="1">J4/H4</f>
        <v>1</v>
      </c>
      <c r="AD4" s="34">
        <f>SUM(AD3:AD3)/COUNT(AD3:AD3)</f>
        <v>1</v>
      </c>
      <c r="AE4" s="39">
        <f ca="1">Y4/R4</f>
        <v>0.89436619718309862</v>
      </c>
      <c r="AF4" s="40">
        <f ca="1">SUM(AF2:INDIRECT("AF"&amp;ROW()-1))</f>
        <v>2540</v>
      </c>
    </row>
    <row r="5" spans="1:33" s="2" customFormat="1"/>
    <row r="6" spans="1:33" s="2" customFormat="1">
      <c r="A6" s="10"/>
      <c r="B6" s="11"/>
      <c r="AD6" s="25"/>
    </row>
    <row r="7" spans="1:33" s="2" customFormat="1">
      <c r="A7" s="10"/>
      <c r="B7" s="11"/>
      <c r="AD7" s="25"/>
    </row>
    <row r="8" spans="1:33" s="2" customFormat="1">
      <c r="A8" s="10"/>
      <c r="B8" s="11"/>
      <c r="AD8" s="25"/>
    </row>
    <row r="9" spans="1:33" s="2" customFormat="1">
      <c r="A9" s="10" t="s">
        <v>91</v>
      </c>
      <c r="B9" s="11">
        <v>25</v>
      </c>
      <c r="P9" s="25"/>
      <c r="AD9" s="25"/>
    </row>
    <row r="10" spans="1:33" ht="21">
      <c r="A10" s="10" t="s">
        <v>92</v>
      </c>
      <c r="B10" s="12">
        <v>15</v>
      </c>
      <c r="C10" s="2"/>
      <c r="D10" s="2"/>
      <c r="E10" s="2"/>
      <c r="F10" s="2"/>
      <c r="G10" s="2"/>
      <c r="H10" s="2"/>
      <c r="I10" s="2"/>
      <c r="J10" s="25"/>
      <c r="K10" s="25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42" spans="14:20">
      <c r="N42" s="172" t="s">
        <v>22</v>
      </c>
      <c r="O42" s="172" t="s">
        <v>82</v>
      </c>
      <c r="P42" s="172" t="s">
        <v>60</v>
      </c>
      <c r="Q42" s="172" t="s">
        <v>85</v>
      </c>
      <c r="R42" s="172" t="s">
        <v>74</v>
      </c>
      <c r="S42" s="172" t="s">
        <v>75</v>
      </c>
      <c r="T42" s="173"/>
    </row>
    <row r="43" spans="14:20">
      <c r="N43" s="172"/>
      <c r="O43" s="172"/>
      <c r="P43" s="172"/>
      <c r="Q43" s="172"/>
      <c r="R43" s="172"/>
      <c r="S43" s="172"/>
      <c r="T43" s="173"/>
    </row>
    <row r="44" spans="14:20">
      <c r="N44" s="5" t="s">
        <v>188</v>
      </c>
      <c r="O44" s="23" t="s">
        <v>26</v>
      </c>
      <c r="P44" s="26">
        <f>SUMIFS($R$3:$R$4,$G$3:$G$4,O44)</f>
        <v>0</v>
      </c>
      <c r="Q44" s="26">
        <f>SUMIFS($Y$3:$Y$3,$G$3:$G$3,O44)</f>
        <v>0</v>
      </c>
      <c r="R44" s="32">
        <f t="shared" ref="R44:R55" si="0">IFERROR(Q44/P44,0)</f>
        <v>0</v>
      </c>
      <c r="S44" s="33">
        <f>SUMIFS($AF$3:$AF$3,$G$3:$G$3,O44)</f>
        <v>0</v>
      </c>
      <c r="T44" s="18"/>
    </row>
    <row r="45" spans="14:20">
      <c r="N45" s="5" t="s">
        <v>188</v>
      </c>
      <c r="O45" s="23" t="s">
        <v>27</v>
      </c>
      <c r="P45" s="26">
        <f>SUMIFS($R$3:$R$3,$G$3:$G$3,O45)</f>
        <v>0</v>
      </c>
      <c r="Q45" s="26">
        <f>SUMIFS($Y$3:$Y$3,$G$3:$G$3,O45)</f>
        <v>0</v>
      </c>
      <c r="R45" s="32">
        <f t="shared" si="0"/>
        <v>0</v>
      </c>
      <c r="S45" s="33">
        <f>SUMIFS($AF$3:$AF$3,$G$3:$G$3,O45)</f>
        <v>0</v>
      </c>
      <c r="T45" s="18"/>
    </row>
    <row r="46" spans="14:20">
      <c r="N46" s="5" t="s">
        <v>188</v>
      </c>
      <c r="O46" s="23" t="s">
        <v>28</v>
      </c>
      <c r="P46" s="26">
        <f>SUMIFS($R$3:$R$4,$G$3:$G$4,O46)</f>
        <v>0</v>
      </c>
      <c r="Q46" s="26">
        <f>SUMIFS($Y$3:$Y$4,$G$3:$G$4,O46)</f>
        <v>0</v>
      </c>
      <c r="R46" s="32">
        <f t="shared" si="0"/>
        <v>0</v>
      </c>
      <c r="S46" s="33">
        <f>SUMIFS($AF$3:$AF$3,$G$3:$G$3,O46)</f>
        <v>0</v>
      </c>
      <c r="T46" s="18"/>
    </row>
    <row r="47" spans="14:20">
      <c r="N47" s="5" t="s">
        <v>188</v>
      </c>
      <c r="O47" s="23" t="s">
        <v>29</v>
      </c>
      <c r="P47" s="26">
        <f t="shared" ref="P47:P55" si="1">SUMIFS($R$3:$R$3,$G$3:$G$3,O47)</f>
        <v>0</v>
      </c>
      <c r="Q47" s="26">
        <f t="shared" ref="Q47:Q55" si="2">SUMIFS($Y$3:$Y$3,$G$3:$G$3,O47)</f>
        <v>0</v>
      </c>
      <c r="R47" s="32">
        <f t="shared" si="0"/>
        <v>0</v>
      </c>
      <c r="S47" s="33">
        <f>SUMIFS($AF$3:$AF$4,$G$3:$G$4,O47)</f>
        <v>0</v>
      </c>
      <c r="T47" s="18"/>
    </row>
    <row r="48" spans="14:20">
      <c r="N48" s="5" t="s">
        <v>188</v>
      </c>
      <c r="O48" s="23" t="s">
        <v>30</v>
      </c>
      <c r="P48" s="26">
        <f t="shared" si="1"/>
        <v>0</v>
      </c>
      <c r="Q48" s="26">
        <f t="shared" si="2"/>
        <v>0</v>
      </c>
      <c r="R48" s="32">
        <f t="shared" si="0"/>
        <v>0</v>
      </c>
      <c r="S48" s="33">
        <f t="shared" ref="S48:S55" si="3">SUMIFS($AF$3:$AF$3,$G$3:$G$3,O48)</f>
        <v>0</v>
      </c>
      <c r="T48" s="18"/>
    </row>
    <row r="49" spans="1:20">
      <c r="N49" s="5" t="s">
        <v>188</v>
      </c>
      <c r="O49" s="23" t="s">
        <v>31</v>
      </c>
      <c r="P49" s="26">
        <f t="shared" si="1"/>
        <v>113.6</v>
      </c>
      <c r="Q49" s="26">
        <f t="shared" si="2"/>
        <v>101.6</v>
      </c>
      <c r="R49" s="32">
        <f t="shared" si="0"/>
        <v>0.89436619718309862</v>
      </c>
      <c r="S49" s="33">
        <f t="shared" si="3"/>
        <v>2540</v>
      </c>
      <c r="T49" s="18"/>
    </row>
    <row r="50" spans="1:20" ht="15" customHeight="1">
      <c r="N50" s="5" t="s">
        <v>188</v>
      </c>
      <c r="O50" s="23" t="s">
        <v>32</v>
      </c>
      <c r="P50" s="26">
        <f t="shared" si="1"/>
        <v>0</v>
      </c>
      <c r="Q50" s="26">
        <f t="shared" si="2"/>
        <v>0</v>
      </c>
      <c r="R50" s="32">
        <f t="shared" si="0"/>
        <v>0</v>
      </c>
      <c r="S50" s="33">
        <f t="shared" si="3"/>
        <v>0</v>
      </c>
      <c r="T50" s="18"/>
    </row>
    <row r="51" spans="1:20">
      <c r="A51" s="173"/>
      <c r="B51" s="173"/>
      <c r="C51" s="173"/>
      <c r="D51" s="173"/>
      <c r="E51" s="173"/>
      <c r="F51" s="173"/>
      <c r="G51" s="173"/>
      <c r="N51" s="5" t="s">
        <v>188</v>
      </c>
      <c r="O51" s="23" t="s">
        <v>33</v>
      </c>
      <c r="P51" s="26">
        <f t="shared" si="1"/>
        <v>0</v>
      </c>
      <c r="Q51" s="26">
        <f t="shared" si="2"/>
        <v>0</v>
      </c>
      <c r="R51" s="32">
        <f t="shared" si="0"/>
        <v>0</v>
      </c>
      <c r="S51" s="33">
        <f t="shared" si="3"/>
        <v>0</v>
      </c>
      <c r="T51" s="18"/>
    </row>
    <row r="52" spans="1:20">
      <c r="A52" s="173"/>
      <c r="B52" s="173"/>
      <c r="C52" s="173"/>
      <c r="D52" s="173"/>
      <c r="E52" s="173"/>
      <c r="F52" s="173"/>
      <c r="G52" s="173"/>
      <c r="N52" s="5" t="s">
        <v>188</v>
      </c>
      <c r="O52" s="23" t="s">
        <v>34</v>
      </c>
      <c r="P52" s="26">
        <f t="shared" si="1"/>
        <v>0</v>
      </c>
      <c r="Q52" s="26">
        <f t="shared" si="2"/>
        <v>0</v>
      </c>
      <c r="R52" s="32">
        <f t="shared" si="0"/>
        <v>0</v>
      </c>
      <c r="S52" s="33">
        <f t="shared" si="3"/>
        <v>0</v>
      </c>
      <c r="T52" s="18"/>
    </row>
    <row r="53" spans="1:20">
      <c r="A53" s="14"/>
      <c r="B53" s="15"/>
      <c r="C53" s="15"/>
      <c r="D53" s="16"/>
      <c r="E53" s="16"/>
      <c r="F53" s="17"/>
      <c r="G53" s="18"/>
      <c r="N53" s="5" t="s">
        <v>188</v>
      </c>
      <c r="O53" s="23" t="s">
        <v>35</v>
      </c>
      <c r="P53" s="26">
        <f t="shared" si="1"/>
        <v>0</v>
      </c>
      <c r="Q53" s="26">
        <f t="shared" si="2"/>
        <v>0</v>
      </c>
      <c r="R53" s="32">
        <f t="shared" si="0"/>
        <v>0</v>
      </c>
      <c r="S53" s="33">
        <f t="shared" si="3"/>
        <v>0</v>
      </c>
      <c r="T53" s="18"/>
    </row>
    <row r="54" spans="1:20">
      <c r="A54" s="14"/>
      <c r="B54" s="15"/>
      <c r="C54" s="15"/>
      <c r="D54" s="16"/>
      <c r="E54" s="16"/>
      <c r="F54" s="17"/>
      <c r="G54" s="18"/>
      <c r="N54" s="5" t="s">
        <v>188</v>
      </c>
      <c r="O54" s="23" t="s">
        <v>36</v>
      </c>
      <c r="P54" s="26">
        <f t="shared" si="1"/>
        <v>0</v>
      </c>
      <c r="Q54" s="26">
        <f t="shared" si="2"/>
        <v>0</v>
      </c>
      <c r="R54" s="32">
        <f t="shared" si="0"/>
        <v>0</v>
      </c>
      <c r="S54" s="33">
        <f t="shared" si="3"/>
        <v>0</v>
      </c>
      <c r="T54" s="18"/>
    </row>
    <row r="55" spans="1:20">
      <c r="A55" s="14"/>
      <c r="B55" s="15"/>
      <c r="C55" s="15"/>
      <c r="D55" s="16"/>
      <c r="E55" s="16"/>
      <c r="F55" s="17"/>
      <c r="G55" s="18"/>
      <c r="N55" s="5" t="s">
        <v>188</v>
      </c>
      <c r="O55" s="23" t="s">
        <v>37</v>
      </c>
      <c r="P55" s="26">
        <f t="shared" si="1"/>
        <v>0</v>
      </c>
      <c r="Q55" s="26">
        <f t="shared" si="2"/>
        <v>0</v>
      </c>
      <c r="R55" s="32">
        <f t="shared" si="0"/>
        <v>0</v>
      </c>
      <c r="S55" s="33">
        <f t="shared" si="3"/>
        <v>0</v>
      </c>
      <c r="T55" s="18"/>
    </row>
    <row r="56" spans="1:20">
      <c r="A56" s="14"/>
      <c r="B56" s="15"/>
      <c r="C56" s="15"/>
      <c r="D56" s="16"/>
      <c r="E56" s="16"/>
      <c r="F56" s="17"/>
      <c r="G56" s="18"/>
      <c r="N56" s="8" t="s">
        <v>188</v>
      </c>
      <c r="O56" s="9"/>
      <c r="P56" s="27">
        <f>SUM(P45:P45)</f>
        <v>0</v>
      </c>
      <c r="Q56" s="27">
        <f>SUM(Q44:Q55)</f>
        <v>101.6</v>
      </c>
      <c r="R56" s="34" t="e">
        <f>Q56/P56</f>
        <v>#DIV/0!</v>
      </c>
      <c r="S56" s="35">
        <f>SUM(S44:S55)</f>
        <v>2540</v>
      </c>
      <c r="T56" s="22"/>
    </row>
    <row r="57" spans="1:20">
      <c r="A57" s="14"/>
      <c r="B57" s="15"/>
      <c r="C57" s="15"/>
      <c r="D57" s="16"/>
      <c r="E57" s="16"/>
      <c r="F57" s="17"/>
      <c r="G57" s="18"/>
    </row>
    <row r="58" spans="1:20">
      <c r="A58" s="19"/>
      <c r="B58" s="19"/>
      <c r="C58" s="13"/>
      <c r="D58" s="20"/>
      <c r="E58" s="20"/>
      <c r="F58" s="21"/>
      <c r="G58" s="22"/>
    </row>
    <row r="59" spans="1:20">
      <c r="A59" s="10" t="s">
        <v>91</v>
      </c>
      <c r="B59" s="11">
        <v>25</v>
      </c>
      <c r="C59" s="2"/>
      <c r="D59" s="2"/>
      <c r="E59" s="2"/>
      <c r="F59" s="2"/>
      <c r="G59" s="2"/>
    </row>
  </sheetData>
  <mergeCells count="40">
    <mergeCell ref="Z1:Z2"/>
    <mergeCell ref="AA1:AA2"/>
    <mergeCell ref="S42:S43"/>
    <mergeCell ref="T42:T43"/>
    <mergeCell ref="V1:V2"/>
    <mergeCell ref="W1:W2"/>
    <mergeCell ref="X1:X2"/>
    <mergeCell ref="S1:U1"/>
    <mergeCell ref="Q1:Q2"/>
    <mergeCell ref="Q42:Q43"/>
    <mergeCell ref="R1:R2"/>
    <mergeCell ref="R42:R43"/>
    <mergeCell ref="Y1:Y2"/>
    <mergeCell ref="N1:N2"/>
    <mergeCell ref="N42:N43"/>
    <mergeCell ref="O1:O2"/>
    <mergeCell ref="O42:O43"/>
    <mergeCell ref="P1:P2"/>
    <mergeCell ref="P42:P43"/>
    <mergeCell ref="I1:I2"/>
    <mergeCell ref="J1:J2"/>
    <mergeCell ref="K1:K2"/>
    <mergeCell ref="L1:L2"/>
    <mergeCell ref="M1:M2"/>
    <mergeCell ref="AB1:AF1"/>
    <mergeCell ref="A1:A2"/>
    <mergeCell ref="A51:A52"/>
    <mergeCell ref="B1:B2"/>
    <mergeCell ref="B51:B52"/>
    <mergeCell ref="C1:C2"/>
    <mergeCell ref="C51:C52"/>
    <mergeCell ref="D1:D2"/>
    <mergeCell ref="D51:D52"/>
    <mergeCell ref="E1:E2"/>
    <mergeCell ref="E51:E52"/>
    <mergeCell ref="F1:F2"/>
    <mergeCell ref="F51:F52"/>
    <mergeCell ref="G1:G2"/>
    <mergeCell ref="G51:G52"/>
    <mergeCell ref="H1:H2"/>
  </mergeCells>
  <pageMargins left="0.7" right="0.7" top="0.75" bottom="0.75" header="0.3" footer="0.3"/>
  <pageSetup paperSize="9" orientation="portrait"/>
  <headerFooter>
    <oddFooter>&amp;CNBCU Internal</oddFooter>
  </headerFooter>
  <drawing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3"/>
  <dimension ref="A1"/>
  <sheetViews>
    <sheetView workbookViewId="0"/>
  </sheetViews>
  <sheetFormatPr defaultColWidth="8.81640625" defaultRowHeight="14.5"/>
  <sheetData/>
  <pageMargins left="0.7" right="0.7" top="0.75" bottom="0.75" header="0.3" footer="0.3"/>
  <pageSetup paperSize="9" orientation="portrait"/>
  <headerFooter>
    <oddFooter>&amp;CNBCU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AG60"/>
  <sheetViews>
    <sheetView workbookViewId="0">
      <pane xSplit="2" topLeftCell="C1" activePane="topRight" state="frozen"/>
      <selection pane="topRight" activeCell="L5" sqref="L5"/>
    </sheetView>
  </sheetViews>
  <sheetFormatPr defaultColWidth="8.81640625" defaultRowHeight="14.5"/>
  <cols>
    <col min="1" max="1" width="9.81640625" style="3" customWidth="1"/>
    <col min="2" max="2" width="10.453125" style="3" customWidth="1"/>
    <col min="3" max="3" width="14.1796875" style="3" customWidth="1"/>
    <col min="4" max="4" width="5.453125" style="3" customWidth="1"/>
    <col min="5" max="6" width="9" style="3" customWidth="1"/>
    <col min="7" max="7" width="8.81640625" style="3" customWidth="1"/>
    <col min="8" max="8" width="19.453125" style="3" customWidth="1"/>
    <col min="9" max="9" width="19.81640625" style="3" customWidth="1"/>
    <col min="10" max="10" width="11.453125" style="3" customWidth="1"/>
    <col min="11" max="11" width="13.1796875" style="3" customWidth="1"/>
    <col min="12" max="12" width="11.1796875" style="3" customWidth="1"/>
    <col min="13" max="14" width="13.1796875" style="3" customWidth="1"/>
    <col min="15" max="15" width="13.81640625" style="3" customWidth="1"/>
    <col min="16" max="16" width="22.453125" style="3" customWidth="1"/>
    <col min="17" max="18" width="19.453125" style="3" customWidth="1"/>
    <col min="19" max="19" width="12.1796875" style="3" customWidth="1"/>
    <col min="20" max="20" width="17.453125" style="3" customWidth="1"/>
    <col min="21" max="21" width="9.81640625" style="3" customWidth="1"/>
    <col min="22" max="22" width="18" style="3" customWidth="1"/>
    <col min="23" max="23" width="19.1796875" style="3" customWidth="1"/>
    <col min="24" max="24" width="13.453125" style="3" customWidth="1"/>
    <col min="25" max="25" width="10.1796875" style="3" customWidth="1"/>
    <col min="26" max="26" width="18.1796875" style="3" customWidth="1"/>
    <col min="27" max="27" width="6.453125" style="3" customWidth="1"/>
    <col min="28" max="28" width="15" style="3" customWidth="1"/>
    <col min="29" max="29" width="9.453125" style="3" customWidth="1"/>
    <col min="30" max="30" width="18" style="3" customWidth="1"/>
    <col min="31" max="31" width="12.1796875" style="3" customWidth="1"/>
    <col min="32" max="32" width="11.453125" style="3" customWidth="1"/>
    <col min="33" max="33" width="13.81640625" style="3" customWidth="1"/>
    <col min="34" max="16384" width="8.81640625" style="3"/>
  </cols>
  <sheetData>
    <row r="1" spans="1:33" s="1" customFormat="1" ht="33" customHeight="1">
      <c r="A1" s="172" t="s">
        <v>22</v>
      </c>
      <c r="B1" s="172" t="s">
        <v>47</v>
      </c>
      <c r="C1" s="172" t="s">
        <v>48</v>
      </c>
      <c r="D1" s="174" t="s">
        <v>79</v>
      </c>
      <c r="E1" s="172" t="s">
        <v>80</v>
      </c>
      <c r="F1" s="172" t="s">
        <v>81</v>
      </c>
      <c r="G1" s="172" t="s">
        <v>82</v>
      </c>
      <c r="H1" s="172" t="s">
        <v>50</v>
      </c>
      <c r="I1" s="172" t="s">
        <v>51</v>
      </c>
      <c r="J1" s="172" t="s">
        <v>53</v>
      </c>
      <c r="K1" s="172" t="s">
        <v>54</v>
      </c>
      <c r="L1" s="172" t="s">
        <v>55</v>
      </c>
      <c r="M1" s="172" t="s">
        <v>56</v>
      </c>
      <c r="N1" s="175" t="s">
        <v>57</v>
      </c>
      <c r="O1" s="172" t="s">
        <v>58</v>
      </c>
      <c r="P1" s="172" t="s">
        <v>83</v>
      </c>
      <c r="Q1" s="172" t="s">
        <v>84</v>
      </c>
      <c r="R1" s="174" t="s">
        <v>60</v>
      </c>
      <c r="S1" s="172" t="s">
        <v>61</v>
      </c>
      <c r="T1" s="172"/>
      <c r="U1" s="172"/>
      <c r="V1" s="172" t="s">
        <v>62</v>
      </c>
      <c r="W1" s="172" t="s">
        <v>63</v>
      </c>
      <c r="X1" s="172" t="s">
        <v>64</v>
      </c>
      <c r="Y1" s="172" t="s">
        <v>85</v>
      </c>
      <c r="Z1" s="172" t="s">
        <v>66</v>
      </c>
      <c r="AA1" s="172" t="s">
        <v>3</v>
      </c>
      <c r="AB1" s="172" t="s">
        <v>67</v>
      </c>
      <c r="AC1" s="172"/>
      <c r="AD1" s="172"/>
      <c r="AE1" s="172"/>
      <c r="AF1" s="172"/>
      <c r="AG1" s="174" t="s">
        <v>86</v>
      </c>
    </row>
    <row r="2" spans="1:33" s="1" customFormat="1" ht="55.5" customHeight="1">
      <c r="A2" s="172"/>
      <c r="B2" s="172"/>
      <c r="C2" s="172"/>
      <c r="D2" s="174"/>
      <c r="E2" s="172"/>
      <c r="F2" s="172"/>
      <c r="G2" s="172"/>
      <c r="H2" s="172"/>
      <c r="I2" s="172"/>
      <c r="J2" s="172"/>
      <c r="K2" s="172"/>
      <c r="L2" s="172"/>
      <c r="M2" s="172"/>
      <c r="N2" s="176"/>
      <c r="O2" s="172"/>
      <c r="P2" s="172"/>
      <c r="Q2" s="172"/>
      <c r="R2" s="174"/>
      <c r="S2" s="4" t="s">
        <v>68</v>
      </c>
      <c r="T2" s="4" t="s">
        <v>69</v>
      </c>
      <c r="U2" s="4" t="s">
        <v>70</v>
      </c>
      <c r="V2" s="172"/>
      <c r="W2" s="172"/>
      <c r="X2" s="172"/>
      <c r="Y2" s="172"/>
      <c r="Z2" s="172"/>
      <c r="AA2" s="172"/>
      <c r="AB2" s="4" t="s">
        <v>71</v>
      </c>
      <c r="AC2" s="4" t="s">
        <v>72</v>
      </c>
      <c r="AD2" s="47" t="s">
        <v>73</v>
      </c>
      <c r="AE2" s="4" t="s">
        <v>74</v>
      </c>
      <c r="AF2" s="4" t="s">
        <v>75</v>
      </c>
      <c r="AG2" s="174"/>
    </row>
    <row r="3" spans="1:33" ht="17.25" customHeight="1">
      <c r="A3" s="42" t="s">
        <v>87</v>
      </c>
      <c r="B3" s="42" t="s">
        <v>88</v>
      </c>
      <c r="C3" s="43" t="s">
        <v>89</v>
      </c>
      <c r="D3" s="23">
        <v>1</v>
      </c>
      <c r="E3" s="44">
        <v>43831</v>
      </c>
      <c r="F3" s="44">
        <v>43833</v>
      </c>
      <c r="G3" s="23" t="s">
        <v>26</v>
      </c>
      <c r="H3" s="23">
        <v>211</v>
      </c>
      <c r="I3" s="23">
        <v>211</v>
      </c>
      <c r="J3" s="23">
        <v>211</v>
      </c>
      <c r="K3" s="24">
        <v>211</v>
      </c>
      <c r="L3" s="23">
        <v>0</v>
      </c>
      <c r="M3" s="23">
        <v>15</v>
      </c>
      <c r="N3" s="23">
        <v>18</v>
      </c>
      <c r="O3" s="24">
        <v>211</v>
      </c>
      <c r="P3" s="23">
        <v>211</v>
      </c>
      <c r="Q3" s="28">
        <v>75</v>
      </c>
      <c r="R3" s="29">
        <f>($P3/$AG3)*8</f>
        <v>211</v>
      </c>
      <c r="S3" s="30">
        <v>12</v>
      </c>
      <c r="T3" s="30">
        <v>10</v>
      </c>
      <c r="U3" s="26">
        <v>32</v>
      </c>
      <c r="V3" s="29">
        <f>(($H3-$J3)/$B$11)*8</f>
        <v>0</v>
      </c>
      <c r="W3" s="31">
        <v>0</v>
      </c>
      <c r="X3" s="29">
        <f t="shared" ref="X3" si="0">SUM(S3,T3,V3,W3)</f>
        <v>22</v>
      </c>
      <c r="Y3" s="29">
        <f t="shared" ref="Y3" si="1">R3-X3</f>
        <v>189</v>
      </c>
      <c r="Z3" s="36">
        <v>12</v>
      </c>
      <c r="AA3" s="23"/>
      <c r="AB3" s="37">
        <f>J3/I3</f>
        <v>1</v>
      </c>
      <c r="AC3" s="37">
        <f>J3/H3</f>
        <v>1</v>
      </c>
      <c r="AD3" s="37">
        <f>P3/(O3*D3)</f>
        <v>1</v>
      </c>
      <c r="AE3" s="37">
        <f t="shared" ref="AE3" si="2">Y3/R3</f>
        <v>0.89573459715639814</v>
      </c>
      <c r="AF3" s="38">
        <f>Y3*$B$10</f>
        <v>4725</v>
      </c>
      <c r="AG3" s="23">
        <v>8</v>
      </c>
    </row>
    <row r="4" spans="1:33" ht="17.25" customHeight="1">
      <c r="A4" s="42" t="s">
        <v>87</v>
      </c>
      <c r="B4" s="42" t="s">
        <v>88</v>
      </c>
      <c r="C4" s="43" t="s">
        <v>89</v>
      </c>
      <c r="D4" s="23">
        <v>3</v>
      </c>
      <c r="E4" s="44">
        <v>43836</v>
      </c>
      <c r="F4" s="44">
        <v>43854</v>
      </c>
      <c r="G4" s="23" t="s">
        <v>26</v>
      </c>
      <c r="H4" s="23">
        <v>211</v>
      </c>
      <c r="I4" s="23">
        <v>211</v>
      </c>
      <c r="J4" s="23">
        <v>211</v>
      </c>
      <c r="K4" s="24">
        <v>211</v>
      </c>
      <c r="L4" s="23">
        <v>0</v>
      </c>
      <c r="M4" s="23">
        <v>15</v>
      </c>
      <c r="N4" s="23">
        <v>18</v>
      </c>
      <c r="O4" s="24">
        <v>211</v>
      </c>
      <c r="P4" s="23">
        <v>633</v>
      </c>
      <c r="Q4" s="28">
        <v>75</v>
      </c>
      <c r="R4" s="29">
        <f>($P4/$AG4)*8</f>
        <v>633</v>
      </c>
      <c r="S4" s="30">
        <v>36</v>
      </c>
      <c r="T4" s="30">
        <v>30</v>
      </c>
      <c r="U4" s="26">
        <v>32</v>
      </c>
      <c r="V4" s="29">
        <f>(($H4-$J4)/$B$11)*8</f>
        <v>0</v>
      </c>
      <c r="W4" s="31">
        <v>0</v>
      </c>
      <c r="X4" s="29">
        <f t="shared" ref="X4" si="3">SUM(S4,T4,V4,W4)</f>
        <v>66</v>
      </c>
      <c r="Y4" s="29">
        <f t="shared" ref="Y4" si="4">R4-X4</f>
        <v>567</v>
      </c>
      <c r="Z4" s="36">
        <v>12</v>
      </c>
      <c r="AA4" s="23"/>
      <c r="AB4" s="37">
        <f>J4/I4</f>
        <v>1</v>
      </c>
      <c r="AC4" s="37">
        <f>J4/H4</f>
        <v>1</v>
      </c>
      <c r="AD4" s="37">
        <f>P4/(O4*D4)</f>
        <v>1</v>
      </c>
      <c r="AE4" s="37">
        <f t="shared" ref="AE4:AE5" si="5">Y4/R4</f>
        <v>0.89573459715639814</v>
      </c>
      <c r="AF4" s="38">
        <f>Y4*$B$10</f>
        <v>14175</v>
      </c>
      <c r="AG4" s="23">
        <v>8</v>
      </c>
    </row>
    <row r="5" spans="1:33" s="2" customFormat="1">
      <c r="A5" s="8" t="s">
        <v>87</v>
      </c>
      <c r="B5" s="8" t="s">
        <v>90</v>
      </c>
      <c r="C5" s="9" t="s">
        <v>90</v>
      </c>
      <c r="D5" s="9">
        <f ca="1">SUM(D3:INDIRECT("D"&amp;ROW()-1))</f>
        <v>4</v>
      </c>
      <c r="E5" s="9"/>
      <c r="F5" s="9"/>
      <c r="G5" s="9"/>
      <c r="H5" s="9">
        <f ca="1">INDIRECT("H"&amp;ROW()-1)</f>
        <v>211</v>
      </c>
      <c r="I5" s="9">
        <f ca="1">INDIRECT("I"&amp;ROW()-1)</f>
        <v>211</v>
      </c>
      <c r="J5" s="9">
        <f ca="1">INDIRECT("J"&amp;ROW()-1)</f>
        <v>211</v>
      </c>
      <c r="K5" s="9">
        <f ca="1">INDIRECT("K"&amp;ROW()-1)</f>
        <v>211</v>
      </c>
      <c r="L5" s="9">
        <f ca="1">SUM(L4:INDIRECT("L"&amp;ROW()-1))</f>
        <v>0</v>
      </c>
      <c r="M5" s="9">
        <f ca="1">SUM(M4:INDIRECT("M"&amp;ROW()-1))</f>
        <v>15</v>
      </c>
      <c r="N5" s="9">
        <f ca="1">SUM(N4:INDIRECT("N"&amp;ROW()-1))</f>
        <v>18</v>
      </c>
      <c r="O5" s="9">
        <f ca="1">INDIRECT("O"&amp;ROW()-1)</f>
        <v>211</v>
      </c>
      <c r="P5" s="9">
        <f ca="1">SUM(P3:INDIRECT("P"&amp;ROW()-1))</f>
        <v>844</v>
      </c>
      <c r="Q5" s="9">
        <f ca="1">SUM(Q3:INDIRECT("Q"&amp;ROW()-1))</f>
        <v>150</v>
      </c>
      <c r="R5" s="27">
        <f ca="1">SUM(R3:INDIRECT("R"&amp;ROW()-1))</f>
        <v>844</v>
      </c>
      <c r="S5" s="9">
        <f ca="1">SUM(S3:INDIRECT("S"&amp;ROW()-1))</f>
        <v>48</v>
      </c>
      <c r="T5" s="9">
        <f ca="1">SUM(T3:INDIRECT("T"&amp;ROW()-1))</f>
        <v>40</v>
      </c>
      <c r="U5" s="9">
        <f ca="1">SUM(U3:INDIRECT("U"&amp;ROW()-1))</f>
        <v>64</v>
      </c>
      <c r="V5" s="9">
        <f ca="1">SUM(V3:INDIRECT("V"&amp;ROW()-1))</f>
        <v>0</v>
      </c>
      <c r="W5" s="9">
        <f ca="1">SUM(W3:INDIRECT("W"&amp;ROW()-1))</f>
        <v>0</v>
      </c>
      <c r="X5" s="9">
        <f ca="1">SUM(X3:INDIRECT("X"&amp;ROW()-1))</f>
        <v>88</v>
      </c>
      <c r="Y5" s="27">
        <f ca="1">SUM(Y3:INDIRECT("Y"&amp;ROW()-1))</f>
        <v>756</v>
      </c>
      <c r="Z5" s="9">
        <f ca="1">SUM(Z3:INDIRECT("z"&amp;ROW()-1))</f>
        <v>24</v>
      </c>
      <c r="AA5" s="9"/>
      <c r="AB5" s="34">
        <f ca="1">J5/I5</f>
        <v>1</v>
      </c>
      <c r="AC5" s="34">
        <f ca="1">J5/H5</f>
        <v>1</v>
      </c>
      <c r="AD5" s="34">
        <f ca="1">P5/(O5*D5)</f>
        <v>1</v>
      </c>
      <c r="AE5" s="39">
        <f t="shared" ca="1" si="5"/>
        <v>0.89573459715639814</v>
      </c>
      <c r="AF5" s="35">
        <f ca="1">SUM(AF3:INDIRECT("AF"&amp;ROW()-1))</f>
        <v>18900</v>
      </c>
      <c r="AG5" s="9"/>
    </row>
    <row r="6" spans="1:33" s="2" customFormat="1"/>
    <row r="7" spans="1:33" s="2" customFormat="1">
      <c r="A7" s="10"/>
      <c r="B7" s="11"/>
      <c r="E7" s="2">
        <v>11</v>
      </c>
      <c r="Q7" s="13"/>
      <c r="AD7" s="25"/>
    </row>
    <row r="8" spans="1:33" s="2" customFormat="1">
      <c r="A8" s="10"/>
      <c r="B8" s="11"/>
      <c r="Q8" s="13"/>
      <c r="AD8" s="25"/>
    </row>
    <row r="9" spans="1:33" s="2" customFormat="1">
      <c r="A9" s="10"/>
      <c r="B9" s="11"/>
      <c r="Q9" s="13"/>
      <c r="AD9" s="25"/>
    </row>
    <row r="10" spans="1:33" s="2" customFormat="1">
      <c r="A10" s="10" t="s">
        <v>91</v>
      </c>
      <c r="B10" s="11">
        <v>25</v>
      </c>
      <c r="P10" s="25"/>
      <c r="Q10" s="13"/>
      <c r="AD10" s="25"/>
    </row>
    <row r="11" spans="1:33" ht="21">
      <c r="A11" s="10" t="s">
        <v>92</v>
      </c>
      <c r="B11" s="12">
        <v>8</v>
      </c>
      <c r="C11" s="2"/>
      <c r="D11" s="2"/>
      <c r="E11" s="2"/>
      <c r="F11" s="2"/>
      <c r="G11" s="2"/>
      <c r="H11" s="2"/>
      <c r="I11" s="2"/>
      <c r="J11" s="25"/>
      <c r="K11" s="25"/>
      <c r="L11" s="2"/>
      <c r="M11" s="2"/>
      <c r="N11" s="2"/>
      <c r="O11" s="2"/>
      <c r="P11" s="2"/>
      <c r="Q11" s="13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43" spans="14:33">
      <c r="N43" s="172" t="s">
        <v>22</v>
      </c>
      <c r="O43" s="172" t="s">
        <v>82</v>
      </c>
      <c r="P43" s="172" t="s">
        <v>60</v>
      </c>
      <c r="Q43" s="172" t="s">
        <v>85</v>
      </c>
      <c r="R43" s="172" t="s">
        <v>74</v>
      </c>
      <c r="S43" s="172" t="s">
        <v>75</v>
      </c>
      <c r="T43" s="173"/>
      <c r="AG43" s="13"/>
    </row>
    <row r="44" spans="14:33">
      <c r="N44" s="172"/>
      <c r="O44" s="172"/>
      <c r="P44" s="172"/>
      <c r="Q44" s="172"/>
      <c r="R44" s="172"/>
      <c r="S44" s="172"/>
      <c r="T44" s="173"/>
      <c r="AG44" s="13"/>
    </row>
    <row r="45" spans="14:33">
      <c r="N45" s="42" t="s">
        <v>93</v>
      </c>
      <c r="O45" s="23" t="s">
        <v>26</v>
      </c>
      <c r="P45" s="26">
        <f>SUMIFS($R$3:$R$4,$G$3:$G$4,O45)</f>
        <v>844</v>
      </c>
      <c r="Q45" s="26">
        <f>SUMIFS($Y$3:$Y$4,$G$3:$G$4,O45)</f>
        <v>756</v>
      </c>
      <c r="R45" s="32">
        <f>IFERROR(Q45/P45,0)</f>
        <v>0.89573459715639814</v>
      </c>
      <c r="S45" s="33">
        <f>SUMIFS($AF$3:$AF$4,$G$3:$G$4,O45)</f>
        <v>18900</v>
      </c>
      <c r="T45" s="18"/>
      <c r="AG45" s="15"/>
    </row>
    <row r="46" spans="14:33">
      <c r="N46" s="42" t="s">
        <v>93</v>
      </c>
      <c r="O46" s="23" t="s">
        <v>27</v>
      </c>
      <c r="P46" s="26">
        <f t="shared" ref="P46:P56" si="6">SUMIFS($R$4:$R$4,$G$4:$G$4,O46)</f>
        <v>0</v>
      </c>
      <c r="Q46" s="26">
        <f t="shared" ref="Q46:Q56" si="7">SUMIFS($Y$4:$Y$4,$G$4:$G$4,O46)</f>
        <v>0</v>
      </c>
      <c r="R46" s="32">
        <f t="shared" ref="R46:R56" si="8">IFERROR(Q46/P46,0)</f>
        <v>0</v>
      </c>
      <c r="S46" s="33">
        <f t="shared" ref="S46:S56" si="9">SUMIFS($AF$4:$AF$4,$G$4:$G$4,O46)</f>
        <v>0</v>
      </c>
      <c r="T46" s="18"/>
      <c r="AG46" s="15"/>
    </row>
    <row r="47" spans="14:33">
      <c r="N47" s="42" t="s">
        <v>93</v>
      </c>
      <c r="O47" s="23" t="s">
        <v>28</v>
      </c>
      <c r="P47" s="26">
        <f t="shared" si="6"/>
        <v>0</v>
      </c>
      <c r="Q47" s="26">
        <f t="shared" si="7"/>
        <v>0</v>
      </c>
      <c r="R47" s="32">
        <f t="shared" si="8"/>
        <v>0</v>
      </c>
      <c r="S47" s="33">
        <f t="shared" si="9"/>
        <v>0</v>
      </c>
      <c r="T47" s="18"/>
      <c r="AG47" s="15"/>
    </row>
    <row r="48" spans="14:33">
      <c r="N48" s="42" t="s">
        <v>93</v>
      </c>
      <c r="O48" s="23" t="s">
        <v>29</v>
      </c>
      <c r="P48" s="26">
        <f t="shared" si="6"/>
        <v>0</v>
      </c>
      <c r="Q48" s="26">
        <f t="shared" si="7"/>
        <v>0</v>
      </c>
      <c r="R48" s="32">
        <f t="shared" si="8"/>
        <v>0</v>
      </c>
      <c r="S48" s="33">
        <f t="shared" si="9"/>
        <v>0</v>
      </c>
      <c r="T48" s="18"/>
      <c r="AG48" s="15"/>
    </row>
    <row r="49" spans="1:33">
      <c r="N49" s="42" t="s">
        <v>93</v>
      </c>
      <c r="O49" s="23" t="s">
        <v>30</v>
      </c>
      <c r="P49" s="26">
        <f t="shared" si="6"/>
        <v>0</v>
      </c>
      <c r="Q49" s="26">
        <f t="shared" si="7"/>
        <v>0</v>
      </c>
      <c r="R49" s="32">
        <f t="shared" si="8"/>
        <v>0</v>
      </c>
      <c r="S49" s="33">
        <f t="shared" si="9"/>
        <v>0</v>
      </c>
      <c r="T49" s="18"/>
      <c r="AG49" s="15"/>
    </row>
    <row r="50" spans="1:33">
      <c r="N50" s="42" t="s">
        <v>93</v>
      </c>
      <c r="O50" s="23" t="s">
        <v>31</v>
      </c>
      <c r="P50" s="26">
        <f t="shared" si="6"/>
        <v>0</v>
      </c>
      <c r="Q50" s="26">
        <f t="shared" si="7"/>
        <v>0</v>
      </c>
      <c r="R50" s="32">
        <f t="shared" si="8"/>
        <v>0</v>
      </c>
      <c r="S50" s="33">
        <f t="shared" si="9"/>
        <v>0</v>
      </c>
      <c r="T50" s="18"/>
      <c r="AG50" s="15"/>
    </row>
    <row r="51" spans="1:33" ht="15" customHeight="1">
      <c r="N51" s="42" t="s">
        <v>93</v>
      </c>
      <c r="O51" s="23" t="s">
        <v>32</v>
      </c>
      <c r="P51" s="26">
        <f t="shared" si="6"/>
        <v>0</v>
      </c>
      <c r="Q51" s="26">
        <f t="shared" si="7"/>
        <v>0</v>
      </c>
      <c r="R51" s="32">
        <f t="shared" si="8"/>
        <v>0</v>
      </c>
      <c r="S51" s="33">
        <f t="shared" si="9"/>
        <v>0</v>
      </c>
      <c r="T51" s="18"/>
      <c r="AG51" s="15"/>
    </row>
    <row r="52" spans="1:33">
      <c r="A52" s="173"/>
      <c r="B52" s="173"/>
      <c r="C52" s="173"/>
      <c r="D52" s="173"/>
      <c r="E52" s="173"/>
      <c r="F52" s="173"/>
      <c r="G52" s="173"/>
      <c r="N52" s="42" t="s">
        <v>93</v>
      </c>
      <c r="O52" s="23" t="s">
        <v>33</v>
      </c>
      <c r="P52" s="26">
        <f t="shared" si="6"/>
        <v>0</v>
      </c>
      <c r="Q52" s="26">
        <f t="shared" si="7"/>
        <v>0</v>
      </c>
      <c r="R52" s="32">
        <f t="shared" si="8"/>
        <v>0</v>
      </c>
      <c r="S52" s="33">
        <f t="shared" si="9"/>
        <v>0</v>
      </c>
      <c r="T52" s="18"/>
      <c r="AG52" s="15"/>
    </row>
    <row r="53" spans="1:33">
      <c r="A53" s="173"/>
      <c r="B53" s="173"/>
      <c r="C53" s="173"/>
      <c r="D53" s="173"/>
      <c r="E53" s="173"/>
      <c r="F53" s="173"/>
      <c r="G53" s="173"/>
      <c r="N53" s="42" t="s">
        <v>93</v>
      </c>
      <c r="O53" s="23" t="s">
        <v>34</v>
      </c>
      <c r="P53" s="26">
        <f t="shared" si="6"/>
        <v>0</v>
      </c>
      <c r="Q53" s="26">
        <f t="shared" si="7"/>
        <v>0</v>
      </c>
      <c r="R53" s="32">
        <f t="shared" si="8"/>
        <v>0</v>
      </c>
      <c r="S53" s="33">
        <f t="shared" si="9"/>
        <v>0</v>
      </c>
      <c r="T53" s="18"/>
      <c r="AG53" s="15"/>
    </row>
    <row r="54" spans="1:33">
      <c r="A54" s="14"/>
      <c r="B54" s="15"/>
      <c r="C54" s="15"/>
      <c r="D54" s="16"/>
      <c r="E54" s="16"/>
      <c r="F54" s="17"/>
      <c r="G54" s="18"/>
      <c r="N54" s="42" t="s">
        <v>93</v>
      </c>
      <c r="O54" s="23" t="s">
        <v>35</v>
      </c>
      <c r="P54" s="26">
        <f t="shared" si="6"/>
        <v>0</v>
      </c>
      <c r="Q54" s="26">
        <f t="shared" si="7"/>
        <v>0</v>
      </c>
      <c r="R54" s="32">
        <f t="shared" si="8"/>
        <v>0</v>
      </c>
      <c r="S54" s="33">
        <f t="shared" si="9"/>
        <v>0</v>
      </c>
      <c r="T54" s="18"/>
      <c r="AG54" s="15"/>
    </row>
    <row r="55" spans="1:33">
      <c r="A55" s="14"/>
      <c r="B55" s="15"/>
      <c r="C55" s="15"/>
      <c r="D55" s="16"/>
      <c r="E55" s="16"/>
      <c r="F55" s="17"/>
      <c r="G55" s="18"/>
      <c r="N55" s="42" t="s">
        <v>93</v>
      </c>
      <c r="O55" s="23" t="s">
        <v>36</v>
      </c>
      <c r="P55" s="26">
        <f t="shared" si="6"/>
        <v>0</v>
      </c>
      <c r="Q55" s="26">
        <f t="shared" si="7"/>
        <v>0</v>
      </c>
      <c r="R55" s="32">
        <f t="shared" si="8"/>
        <v>0</v>
      </c>
      <c r="S55" s="33">
        <f t="shared" si="9"/>
        <v>0</v>
      </c>
      <c r="T55" s="18"/>
      <c r="AG55" s="15"/>
    </row>
    <row r="56" spans="1:33">
      <c r="A56" s="14"/>
      <c r="B56" s="15"/>
      <c r="C56" s="15"/>
      <c r="D56" s="16"/>
      <c r="E56" s="16"/>
      <c r="F56" s="17"/>
      <c r="G56" s="18"/>
      <c r="N56" s="42" t="s">
        <v>93</v>
      </c>
      <c r="O56" s="23" t="s">
        <v>37</v>
      </c>
      <c r="P56" s="26">
        <f t="shared" si="6"/>
        <v>0</v>
      </c>
      <c r="Q56" s="26">
        <f t="shared" si="7"/>
        <v>0</v>
      </c>
      <c r="R56" s="32">
        <f t="shared" si="8"/>
        <v>0</v>
      </c>
      <c r="S56" s="33">
        <f t="shared" si="9"/>
        <v>0</v>
      </c>
      <c r="T56" s="18"/>
      <c r="AG56" s="15"/>
    </row>
    <row r="57" spans="1:33">
      <c r="A57" s="14"/>
      <c r="B57" s="15"/>
      <c r="C57" s="15"/>
      <c r="D57" s="16"/>
      <c r="E57" s="16"/>
      <c r="F57" s="17"/>
      <c r="G57" s="18"/>
      <c r="N57" s="8" t="s">
        <v>93</v>
      </c>
      <c r="O57" s="9"/>
      <c r="P57" s="27">
        <f>SUM(P45:P56)</f>
        <v>844</v>
      </c>
      <c r="Q57" s="27">
        <f>SUM(Q45:Q56)</f>
        <v>756</v>
      </c>
      <c r="R57" s="34">
        <f>Q57/P57</f>
        <v>0.89573459715639814</v>
      </c>
      <c r="S57" s="35">
        <f>SUM(S45:S56)</f>
        <v>18900</v>
      </c>
      <c r="T57" s="22"/>
      <c r="AG57" s="13"/>
    </row>
    <row r="58" spans="1:33">
      <c r="A58" s="14"/>
      <c r="B58" s="15"/>
      <c r="C58" s="15"/>
      <c r="D58" s="16"/>
      <c r="E58" s="16"/>
      <c r="F58" s="17"/>
      <c r="G58" s="18"/>
    </row>
    <row r="59" spans="1:33">
      <c r="A59" s="19"/>
      <c r="B59" s="19"/>
      <c r="C59" s="13"/>
      <c r="D59" s="20"/>
      <c r="E59" s="20"/>
      <c r="F59" s="21"/>
      <c r="G59" s="22"/>
    </row>
    <row r="60" spans="1:33">
      <c r="A60" s="10" t="s">
        <v>91</v>
      </c>
      <c r="B60" s="11">
        <v>25</v>
      </c>
      <c r="C60" s="2"/>
      <c r="D60" s="2"/>
      <c r="E60" s="2"/>
      <c r="F60" s="2"/>
      <c r="G60" s="2"/>
    </row>
  </sheetData>
  <sheetProtection formatCells="0" formatColumns="0" formatRows="0"/>
  <mergeCells count="41">
    <mergeCell ref="Y1:Y2"/>
    <mergeCell ref="Z1:Z2"/>
    <mergeCell ref="AA1:AA2"/>
    <mergeCell ref="AG1:AG2"/>
    <mergeCell ref="S43:S44"/>
    <mergeCell ref="T43:T44"/>
    <mergeCell ref="V1:V2"/>
    <mergeCell ref="W1:W2"/>
    <mergeCell ref="X1:X2"/>
    <mergeCell ref="S1:U1"/>
    <mergeCell ref="AB1:AF1"/>
    <mergeCell ref="P1:P2"/>
    <mergeCell ref="P43:P44"/>
    <mergeCell ref="Q1:Q2"/>
    <mergeCell ref="Q43:Q44"/>
    <mergeCell ref="R1:R2"/>
    <mergeCell ref="R43:R44"/>
    <mergeCell ref="M1:M2"/>
    <mergeCell ref="N1:N2"/>
    <mergeCell ref="N43:N44"/>
    <mergeCell ref="O1:O2"/>
    <mergeCell ref="O43:O44"/>
    <mergeCell ref="H1:H2"/>
    <mergeCell ref="I1:I2"/>
    <mergeCell ref="J1:J2"/>
    <mergeCell ref="K1:K2"/>
    <mergeCell ref="L1:L2"/>
    <mergeCell ref="A1:A2"/>
    <mergeCell ref="A52:A53"/>
    <mergeCell ref="B1:B2"/>
    <mergeCell ref="B52:B53"/>
    <mergeCell ref="C1:C2"/>
    <mergeCell ref="C52:C53"/>
    <mergeCell ref="G1:G2"/>
    <mergeCell ref="G52:G53"/>
    <mergeCell ref="D1:D2"/>
    <mergeCell ref="D52:D53"/>
    <mergeCell ref="E1:E2"/>
    <mergeCell ref="E52:E53"/>
    <mergeCell ref="F1:F2"/>
    <mergeCell ref="F52:F53"/>
  </mergeCells>
  <pageMargins left="0.7" right="0.7" top="0.75" bottom="0.75" header="0.3" footer="0.3"/>
  <pageSetup paperSize="9" orientation="portrait"/>
  <headerFooter>
    <oddFooter>&amp;CNBCU Internal</oddFooter>
  </headerFooter>
  <ignoredErrors>
    <ignoredError sqref="AE5 AB5:AC5 H5:K5" unlockedFormula="1"/>
  </ignoredErrors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187B3-A68E-4BB3-9C9E-F1795AD5DE2C}">
  <sheetPr>
    <tabColor rgb="FF00B050"/>
  </sheetPr>
  <dimension ref="A1:AH61"/>
  <sheetViews>
    <sheetView zoomScale="85" zoomScaleNormal="85" workbookViewId="0">
      <pane xSplit="2" topLeftCell="C1" activePane="topRight" state="frozen"/>
      <selection pane="topRight" activeCell="D5" sqref="D5"/>
    </sheetView>
  </sheetViews>
  <sheetFormatPr defaultColWidth="8.81640625" defaultRowHeight="14.5"/>
  <cols>
    <col min="1" max="1" width="9.81640625" style="3" customWidth="1"/>
    <col min="2" max="2" width="20.26953125" style="3" customWidth="1"/>
    <col min="3" max="3" width="11" style="3" customWidth="1"/>
    <col min="4" max="4" width="17.453125" style="3" customWidth="1"/>
    <col min="5" max="6" width="9" style="3" customWidth="1"/>
    <col min="7" max="7" width="8.81640625" style="3" customWidth="1"/>
    <col min="8" max="8" width="19.453125" style="3" customWidth="1"/>
    <col min="9" max="9" width="19.81640625" style="3" customWidth="1"/>
    <col min="10" max="10" width="11.453125" style="3" customWidth="1"/>
    <col min="11" max="11" width="13.1796875" style="3" customWidth="1"/>
    <col min="12" max="12" width="11.1796875" style="3" customWidth="1"/>
    <col min="13" max="14" width="13.1796875" style="3" customWidth="1"/>
    <col min="15" max="15" width="13.81640625" style="3" customWidth="1"/>
    <col min="16" max="16" width="22.453125" style="3" customWidth="1"/>
    <col min="17" max="18" width="19.453125" style="3" customWidth="1"/>
    <col min="19" max="19" width="12.1796875" style="3" customWidth="1"/>
    <col min="20" max="20" width="17.453125" style="3" customWidth="1"/>
    <col min="21" max="21" width="9.81640625" style="3" customWidth="1"/>
    <col min="22" max="22" width="18" style="3" customWidth="1"/>
    <col min="23" max="23" width="19.1796875" style="3" customWidth="1"/>
    <col min="24" max="24" width="13.453125" style="3" customWidth="1"/>
    <col min="25" max="25" width="10.1796875" style="3" customWidth="1"/>
    <col min="26" max="26" width="18.1796875" style="3" customWidth="1"/>
    <col min="27" max="27" width="15" style="3" customWidth="1"/>
    <col min="28" max="28" width="9.453125" style="3" customWidth="1"/>
    <col min="29" max="29" width="18" style="3" customWidth="1"/>
    <col min="30" max="30" width="12.1796875" style="3" customWidth="1"/>
    <col min="31" max="31" width="17.453125" style="3" customWidth="1"/>
    <col min="32" max="32" width="8.81640625" style="3" customWidth="1"/>
    <col min="33" max="33" width="13.81640625" style="3" customWidth="1"/>
    <col min="34" max="34" width="8.81640625" style="3" customWidth="1"/>
    <col min="35" max="16384" width="8.81640625" style="3"/>
  </cols>
  <sheetData>
    <row r="1" spans="1:34" s="1" customFormat="1" ht="33" customHeight="1">
      <c r="A1" s="172" t="s">
        <v>22</v>
      </c>
      <c r="B1" s="172" t="s">
        <v>47</v>
      </c>
      <c r="C1" s="172" t="s">
        <v>48</v>
      </c>
      <c r="D1" s="172" t="s">
        <v>79</v>
      </c>
      <c r="E1" s="172" t="s">
        <v>80</v>
      </c>
      <c r="F1" s="172" t="s">
        <v>81</v>
      </c>
      <c r="G1" s="172" t="s">
        <v>82</v>
      </c>
      <c r="H1" s="172" t="s">
        <v>50</v>
      </c>
      <c r="I1" s="172" t="s">
        <v>51</v>
      </c>
      <c r="J1" s="172" t="s">
        <v>53</v>
      </c>
      <c r="K1" s="172" t="s">
        <v>54</v>
      </c>
      <c r="L1" s="172" t="s">
        <v>94</v>
      </c>
      <c r="M1" s="172" t="s">
        <v>56</v>
      </c>
      <c r="N1" s="175" t="s">
        <v>57</v>
      </c>
      <c r="O1" s="172" t="s">
        <v>58</v>
      </c>
      <c r="P1" s="172" t="s">
        <v>83</v>
      </c>
      <c r="Q1" s="172" t="s">
        <v>84</v>
      </c>
      <c r="R1" s="172" t="s">
        <v>60</v>
      </c>
      <c r="S1" s="172" t="s">
        <v>61</v>
      </c>
      <c r="T1" s="172"/>
      <c r="U1" s="172"/>
      <c r="V1" s="172" t="s">
        <v>62</v>
      </c>
      <c r="W1" s="172" t="s">
        <v>63</v>
      </c>
      <c r="X1" s="172" t="s">
        <v>64</v>
      </c>
      <c r="Y1" s="172" t="s">
        <v>85</v>
      </c>
      <c r="Z1" s="172" t="s">
        <v>66</v>
      </c>
      <c r="AA1" s="172" t="s">
        <v>67</v>
      </c>
      <c r="AB1" s="172"/>
      <c r="AC1" s="172"/>
      <c r="AD1" s="172"/>
      <c r="AE1" s="172"/>
      <c r="AF1" s="172" t="s">
        <v>3</v>
      </c>
      <c r="AG1" s="172" t="s">
        <v>86</v>
      </c>
    </row>
    <row r="2" spans="1:34" s="1" customFormat="1" ht="55.5" customHeigh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6"/>
      <c r="O2" s="172"/>
      <c r="P2" s="172"/>
      <c r="Q2" s="172"/>
      <c r="R2" s="172"/>
      <c r="S2" s="4" t="s">
        <v>68</v>
      </c>
      <c r="T2" s="4" t="s">
        <v>69</v>
      </c>
      <c r="U2" s="4" t="s">
        <v>70</v>
      </c>
      <c r="V2" s="172"/>
      <c r="W2" s="172"/>
      <c r="X2" s="172"/>
      <c r="Y2" s="172"/>
      <c r="Z2" s="172"/>
      <c r="AA2" s="4" t="s">
        <v>96</v>
      </c>
      <c r="AB2" s="4" t="s">
        <v>97</v>
      </c>
      <c r="AC2" s="4" t="s">
        <v>73</v>
      </c>
      <c r="AD2" s="4" t="s">
        <v>74</v>
      </c>
      <c r="AE2" s="4" t="s">
        <v>75</v>
      </c>
      <c r="AF2" s="172"/>
      <c r="AG2" s="172"/>
    </row>
    <row r="3" spans="1:34" ht="17.25" customHeight="1">
      <c r="A3" s="139" t="s">
        <v>101</v>
      </c>
      <c r="B3" s="140" t="s">
        <v>191</v>
      </c>
      <c r="C3" s="165" t="s">
        <v>26</v>
      </c>
      <c r="D3" s="153">
        <v>1</v>
      </c>
      <c r="E3" s="164">
        <v>44928</v>
      </c>
      <c r="F3" s="164">
        <v>44957</v>
      </c>
      <c r="G3" s="153" t="s">
        <v>26</v>
      </c>
      <c r="H3" s="166">
        <v>2866</v>
      </c>
      <c r="I3" s="167">
        <v>2757</v>
      </c>
      <c r="J3" s="167">
        <v>2757</v>
      </c>
      <c r="K3" s="167">
        <v>2757</v>
      </c>
      <c r="L3" s="141">
        <v>1699</v>
      </c>
      <c r="M3" s="153">
        <v>6</v>
      </c>
      <c r="N3" s="153">
        <v>100</v>
      </c>
      <c r="O3" s="154">
        <v>1058</v>
      </c>
      <c r="P3" s="153">
        <v>912</v>
      </c>
      <c r="Q3" s="156">
        <v>16</v>
      </c>
      <c r="R3" s="157">
        <f t="shared" ref="R3:R5" si="0">($P3/$AG3)*8</f>
        <v>1824</v>
      </c>
      <c r="S3" s="158">
        <v>2</v>
      </c>
      <c r="T3" s="158">
        <v>1</v>
      </c>
      <c r="U3" s="155">
        <v>151</v>
      </c>
      <c r="V3" s="157">
        <v>0</v>
      </c>
      <c r="W3" s="159">
        <v>0</v>
      </c>
      <c r="X3" s="157">
        <f t="shared" ref="X3:X5" si="1">SUM(T3,V3,W3)</f>
        <v>1</v>
      </c>
      <c r="Y3" s="157">
        <f t="shared" ref="Y3:Y5" si="2">R3-X3</f>
        <v>1823</v>
      </c>
      <c r="Z3" s="160">
        <v>1</v>
      </c>
      <c r="AA3" s="161">
        <f t="shared" ref="AA3:AA6" si="3">J3/I3</f>
        <v>1</v>
      </c>
      <c r="AB3" s="161">
        <f t="shared" ref="AB3:AB6" si="4">J3/H3</f>
        <v>0.96196789951151429</v>
      </c>
      <c r="AC3" s="161">
        <f t="shared" ref="AC3:AC5" si="5">IFERROR(P3/(O3*D3),0)</f>
        <v>0.8620037807183365</v>
      </c>
      <c r="AD3" s="161">
        <f t="shared" ref="AD3:AD5" si="6">IFERROR((Y3/R3),0)</f>
        <v>0.9994517543859649</v>
      </c>
      <c r="AE3" s="162">
        <f>Y3*$B$11</f>
        <v>45575</v>
      </c>
      <c r="AF3" s="153"/>
      <c r="AG3" s="153">
        <v>4</v>
      </c>
    </row>
    <row r="4" spans="1:34" ht="17.25" customHeight="1">
      <c r="A4" s="139" t="s">
        <v>101</v>
      </c>
      <c r="B4" s="140" t="s">
        <v>198</v>
      </c>
      <c r="C4" s="165" t="s">
        <v>27</v>
      </c>
      <c r="D4" s="153">
        <v>1</v>
      </c>
      <c r="E4" s="164">
        <v>44958</v>
      </c>
      <c r="F4" s="164">
        <v>44985</v>
      </c>
      <c r="G4" s="153" t="s">
        <v>27</v>
      </c>
      <c r="H4" s="166">
        <v>2882</v>
      </c>
      <c r="I4" s="167">
        <v>2773</v>
      </c>
      <c r="J4" s="167">
        <v>2773</v>
      </c>
      <c r="K4" s="167">
        <v>2773</v>
      </c>
      <c r="L4" s="141">
        <v>1699</v>
      </c>
      <c r="M4" s="153">
        <v>16</v>
      </c>
      <c r="N4" s="153">
        <v>100</v>
      </c>
      <c r="O4" s="154">
        <v>1074</v>
      </c>
      <c r="P4" s="153">
        <v>924</v>
      </c>
      <c r="Q4" s="156">
        <v>64</v>
      </c>
      <c r="R4" s="157">
        <f t="shared" si="0"/>
        <v>1848</v>
      </c>
      <c r="S4" s="158">
        <v>2</v>
      </c>
      <c r="T4" s="158">
        <v>1</v>
      </c>
      <c r="U4" s="155">
        <v>87</v>
      </c>
      <c r="V4" s="157">
        <v>0</v>
      </c>
      <c r="W4" s="159">
        <v>0</v>
      </c>
      <c r="X4" s="157">
        <f t="shared" ref="X4" si="7">SUM(T4,V4,W4)</f>
        <v>1</v>
      </c>
      <c r="Y4" s="157">
        <f t="shared" ref="Y4" si="8">R4-X4</f>
        <v>1847</v>
      </c>
      <c r="Z4" s="160">
        <v>1</v>
      </c>
      <c r="AA4" s="161">
        <f t="shared" ref="AA4" si="9">J4/I4</f>
        <v>1</v>
      </c>
      <c r="AB4" s="161">
        <f t="shared" ref="AB4" si="10">J4/H4</f>
        <v>0.96217904233171414</v>
      </c>
      <c r="AC4" s="161">
        <f t="shared" ref="AC4" si="11">IFERROR(P4/(O4*D4),0)</f>
        <v>0.86033519553072624</v>
      </c>
      <c r="AD4" s="161">
        <f t="shared" ref="AD4" si="12">IFERROR((Y4/R4),0)</f>
        <v>0.99945887445887449</v>
      </c>
      <c r="AE4" s="162">
        <f>Y4*$B$11</f>
        <v>46175</v>
      </c>
      <c r="AF4" s="153"/>
      <c r="AG4" s="153">
        <v>4</v>
      </c>
    </row>
    <row r="5" spans="1:34" ht="17.25" customHeight="1">
      <c r="A5" s="139" t="s">
        <v>101</v>
      </c>
      <c r="B5" s="140" t="s">
        <v>204</v>
      </c>
      <c r="C5" s="165" t="s">
        <v>28</v>
      </c>
      <c r="D5" s="153">
        <v>1</v>
      </c>
      <c r="E5" s="164">
        <v>44986</v>
      </c>
      <c r="F5" s="164">
        <v>45016</v>
      </c>
      <c r="G5" s="153" t="s">
        <v>28</v>
      </c>
      <c r="H5" s="166">
        <v>2895</v>
      </c>
      <c r="I5" s="167">
        <v>2786</v>
      </c>
      <c r="J5" s="167">
        <v>2786</v>
      </c>
      <c r="K5" s="167">
        <v>2786</v>
      </c>
      <c r="L5" s="141">
        <v>1699</v>
      </c>
      <c r="M5" s="153">
        <v>13</v>
      </c>
      <c r="N5" s="153">
        <v>50</v>
      </c>
      <c r="O5" s="154">
        <v>1087</v>
      </c>
      <c r="P5" s="153">
        <v>924</v>
      </c>
      <c r="Q5" s="156">
        <v>60</v>
      </c>
      <c r="R5" s="157">
        <f t="shared" si="0"/>
        <v>1848</v>
      </c>
      <c r="S5" s="158">
        <v>2</v>
      </c>
      <c r="T5" s="158">
        <v>1</v>
      </c>
      <c r="U5" s="155">
        <v>107</v>
      </c>
      <c r="V5" s="157">
        <v>0</v>
      </c>
      <c r="W5" s="159">
        <v>0</v>
      </c>
      <c r="X5" s="157">
        <f t="shared" si="1"/>
        <v>1</v>
      </c>
      <c r="Y5" s="157">
        <f t="shared" si="2"/>
        <v>1847</v>
      </c>
      <c r="Z5" s="160">
        <v>1</v>
      </c>
      <c r="AA5" s="161">
        <f t="shared" si="3"/>
        <v>1</v>
      </c>
      <c r="AB5" s="161">
        <f t="shared" si="4"/>
        <v>0.96234887737478414</v>
      </c>
      <c r="AC5" s="161">
        <f t="shared" si="5"/>
        <v>0.85004599816007365</v>
      </c>
      <c r="AD5" s="161">
        <f t="shared" si="6"/>
        <v>0.99945887445887449</v>
      </c>
      <c r="AE5" s="162">
        <f>Y5*$B$11</f>
        <v>46175</v>
      </c>
      <c r="AF5" s="153"/>
      <c r="AG5" s="153">
        <v>4</v>
      </c>
    </row>
    <row r="6" spans="1:34" s="2" customFormat="1">
      <c r="A6" s="8" t="s">
        <v>101</v>
      </c>
      <c r="B6" s="8" t="s">
        <v>90</v>
      </c>
      <c r="C6" s="9" t="s">
        <v>90</v>
      </c>
      <c r="D6" s="9">
        <f ca="1">SUM(D2:INDIRECT("D"&amp;ROW()-1))</f>
        <v>3</v>
      </c>
      <c r="E6" s="9"/>
      <c r="F6" s="9"/>
      <c r="G6" s="9"/>
      <c r="H6" s="9">
        <f ca="1">INDIRECT("H"&amp;ROW()-1)</f>
        <v>2895</v>
      </c>
      <c r="I6" s="9">
        <f ca="1">INDIRECT("I"&amp;ROW()-1)</f>
        <v>2786</v>
      </c>
      <c r="J6" s="9">
        <f ca="1">INDIRECT("J"&amp;ROW()-1)</f>
        <v>2786</v>
      </c>
      <c r="K6" s="9">
        <f ca="1">INDIRECT("K"&amp;ROW()-1)</f>
        <v>2786</v>
      </c>
      <c r="L6" s="9">
        <f ca="1">INDIRECT("L"&amp;ROW()-1)</f>
        <v>1699</v>
      </c>
      <c r="M6" s="9">
        <f ca="1">SUM(M5:INDIRECT("M"&amp;ROW()-1))</f>
        <v>13</v>
      </c>
      <c r="N6" s="9">
        <f ca="1">SUM(N2:INDIRECT("N"&amp;ROW()-1))</f>
        <v>250</v>
      </c>
      <c r="O6" s="9">
        <f ca="1">INDIRECT("O"&amp;ROW()-1)</f>
        <v>1087</v>
      </c>
      <c r="P6" s="9">
        <f ca="1">SUM(P2:INDIRECT("P"&amp;ROW()-1))</f>
        <v>2760</v>
      </c>
      <c r="Q6" s="9">
        <f ca="1">SUM(Q2:INDIRECT("Q"&amp;ROW()-1))</f>
        <v>140</v>
      </c>
      <c r="R6" s="27">
        <f ca="1">SUM(R5:INDIRECT("R"&amp;ROW()-1))</f>
        <v>1848</v>
      </c>
      <c r="S6" s="27">
        <f>SUM(S5:S5)</f>
        <v>2</v>
      </c>
      <c r="T6" s="27">
        <f>SUM(T5:T5)</f>
        <v>1</v>
      </c>
      <c r="U6" s="27">
        <f>SUM(U5:U5)</f>
        <v>107</v>
      </c>
      <c r="V6" s="9">
        <f ca="1">SUM(V5:INDIRECT("V"&amp;ROW()-1))</f>
        <v>0</v>
      </c>
      <c r="W6" s="9">
        <f ca="1">SUM(W5:INDIRECT("W"&amp;ROW()-1))</f>
        <v>0</v>
      </c>
      <c r="X6" s="9">
        <f ca="1">SUM(X5:INDIRECT("X"&amp;ROW()-1))</f>
        <v>1</v>
      </c>
      <c r="Y6" s="27">
        <f ca="1">SUM(Y5:INDIRECT("Y"&amp;ROW()-1))</f>
        <v>1847</v>
      </c>
      <c r="Z6" s="9">
        <f ca="1">SUM(Z5:INDIRECT("z"&amp;ROW()-1))</f>
        <v>1</v>
      </c>
      <c r="AA6" s="34">
        <f t="shared" ca="1" si="3"/>
        <v>1</v>
      </c>
      <c r="AB6" s="34">
        <f t="shared" ca="1" si="4"/>
        <v>0.96234887737478414</v>
      </c>
      <c r="AC6" s="34">
        <f t="shared" ref="AC6" ca="1" si="13">P6/(O6*D6)</f>
        <v>0.84636614535418586</v>
      </c>
      <c r="AD6" s="39">
        <f t="shared" ref="AD6" ca="1" si="14">Y6/R6</f>
        <v>0.99945887445887449</v>
      </c>
      <c r="AE6" s="35">
        <f ca="1">SUM(AE2:INDIRECT("AF"&amp;ROW()-1))</f>
        <v>137925</v>
      </c>
      <c r="AF6" s="9"/>
      <c r="AG6" s="9"/>
    </row>
    <row r="7" spans="1:34" s="2" customFormat="1">
      <c r="S7" s="2">
        <v>0</v>
      </c>
      <c r="AH7" s="96"/>
    </row>
    <row r="8" spans="1:34" s="2" customFormat="1">
      <c r="A8" s="10"/>
      <c r="B8" s="11"/>
      <c r="E8" s="2">
        <v>11</v>
      </c>
      <c r="K8" s="58"/>
      <c r="L8" s="45"/>
      <c r="Q8" s="13"/>
      <c r="AC8" s="25"/>
      <c r="AH8" s="96"/>
    </row>
    <row r="9" spans="1:34" s="2" customFormat="1">
      <c r="A9" s="10"/>
      <c r="B9" s="11"/>
      <c r="Q9" s="13"/>
      <c r="AC9" s="25"/>
      <c r="AH9" s="96"/>
    </row>
    <row r="10" spans="1:34" s="2" customFormat="1">
      <c r="A10" s="10"/>
      <c r="B10" s="11"/>
      <c r="Q10" s="13"/>
      <c r="AC10" s="25"/>
      <c r="AH10" s="96"/>
    </row>
    <row r="11" spans="1:34" s="2" customFormat="1">
      <c r="A11" s="10" t="s">
        <v>91</v>
      </c>
      <c r="B11" s="11">
        <v>25</v>
      </c>
      <c r="P11" s="25"/>
      <c r="Q11" s="13"/>
      <c r="AC11" s="25"/>
      <c r="AH11" s="96"/>
    </row>
    <row r="12" spans="1:34" ht="21">
      <c r="A12" s="10" t="s">
        <v>92</v>
      </c>
      <c r="B12" s="12">
        <v>8</v>
      </c>
      <c r="C12" s="2"/>
      <c r="D12" s="2"/>
      <c r="E12" s="2"/>
      <c r="F12" s="2"/>
      <c r="G12" s="2"/>
      <c r="H12" s="2"/>
      <c r="I12" s="2"/>
      <c r="J12" s="25"/>
      <c r="K12" s="25"/>
      <c r="L12" s="2"/>
      <c r="M12" s="2"/>
      <c r="N12" s="2"/>
      <c r="O12" s="2"/>
      <c r="P12" s="2"/>
      <c r="Q12" s="1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96"/>
    </row>
    <row r="13" spans="1:34">
      <c r="AH13" s="97"/>
    </row>
    <row r="14" spans="1:34">
      <c r="AH14" s="97"/>
    </row>
    <row r="15" spans="1:34">
      <c r="AH15" s="97"/>
    </row>
    <row r="16" spans="1:34">
      <c r="AH16" s="97"/>
    </row>
    <row r="17" spans="34:34">
      <c r="AH17" s="97"/>
    </row>
    <row r="18" spans="34:34">
      <c r="AH18" s="97"/>
    </row>
    <row r="19" spans="34:34">
      <c r="AH19" s="97"/>
    </row>
    <row r="20" spans="34:34">
      <c r="AH20" s="97"/>
    </row>
    <row r="21" spans="34:34">
      <c r="AH21" s="97"/>
    </row>
    <row r="22" spans="34:34">
      <c r="AH22" s="97"/>
    </row>
    <row r="23" spans="34:34">
      <c r="AH23" s="97"/>
    </row>
    <row r="24" spans="34:34">
      <c r="AH24" s="97"/>
    </row>
    <row r="25" spans="34:34">
      <c r="AH25" s="97"/>
    </row>
    <row r="26" spans="34:34">
      <c r="AH26" s="97"/>
    </row>
    <row r="27" spans="34:34">
      <c r="AH27" s="97"/>
    </row>
    <row r="28" spans="34:34">
      <c r="AH28" s="97"/>
    </row>
    <row r="29" spans="34:34">
      <c r="AH29" s="97"/>
    </row>
    <row r="30" spans="34:34">
      <c r="AH30" s="97"/>
    </row>
    <row r="31" spans="34:34">
      <c r="AH31" s="97"/>
    </row>
    <row r="32" spans="34:34">
      <c r="AH32" s="97"/>
    </row>
    <row r="33" spans="14:34">
      <c r="AH33" s="97"/>
    </row>
    <row r="34" spans="14:34">
      <c r="AH34" s="97"/>
    </row>
    <row r="35" spans="14:34">
      <c r="AH35" s="97"/>
    </row>
    <row r="36" spans="14:34">
      <c r="AH36" s="97"/>
    </row>
    <row r="37" spans="14:34">
      <c r="AH37" s="97"/>
    </row>
    <row r="38" spans="14:34">
      <c r="AH38" s="97"/>
    </row>
    <row r="39" spans="14:34">
      <c r="AH39" s="97"/>
    </row>
    <row r="40" spans="14:34">
      <c r="AH40" s="97"/>
    </row>
    <row r="41" spans="14:34">
      <c r="AH41" s="97"/>
    </row>
    <row r="42" spans="14:34">
      <c r="AH42" s="97"/>
    </row>
    <row r="43" spans="14:34">
      <c r="AH43" s="97"/>
    </row>
    <row r="44" spans="14:34">
      <c r="N44" s="172" t="s">
        <v>22</v>
      </c>
      <c r="O44" s="172" t="s">
        <v>82</v>
      </c>
      <c r="P44" s="172" t="s">
        <v>60</v>
      </c>
      <c r="Q44" s="172" t="s">
        <v>85</v>
      </c>
      <c r="R44" s="172" t="s">
        <v>74</v>
      </c>
      <c r="S44" s="172" t="s">
        <v>75</v>
      </c>
      <c r="T44" s="173"/>
      <c r="AG44" s="13"/>
      <c r="AH44" s="98"/>
    </row>
    <row r="45" spans="14:34">
      <c r="N45" s="172"/>
      <c r="O45" s="172"/>
      <c r="P45" s="172"/>
      <c r="Q45" s="172"/>
      <c r="R45" s="172"/>
      <c r="S45" s="172"/>
      <c r="T45" s="173"/>
      <c r="AG45" s="13"/>
      <c r="AH45" s="98"/>
    </row>
    <row r="46" spans="14:34">
      <c r="N46" s="42" t="s">
        <v>101</v>
      </c>
      <c r="O46" s="23" t="s">
        <v>26</v>
      </c>
      <c r="P46" s="26">
        <f>SUMIFS($R$3:$R$5,$G$3:$G$5,O46)</f>
        <v>1824</v>
      </c>
      <c r="Q46" s="26">
        <f>SUMIFS($Y$3:$Y$5,$G$3:$G$5,O46)</f>
        <v>1823</v>
      </c>
      <c r="R46" s="32">
        <f>IFERROR(Q46/P46,0)</f>
        <v>0.9994517543859649</v>
      </c>
      <c r="S46" s="33">
        <f>SUMIFS($AE$3:$AE$5,$G$3:$G$5,O46)</f>
        <v>45575</v>
      </c>
      <c r="T46" s="18"/>
      <c r="AG46" s="15"/>
      <c r="AH46" s="99"/>
    </row>
    <row r="47" spans="14:34">
      <c r="N47" s="42" t="s">
        <v>101</v>
      </c>
      <c r="O47" s="23" t="s">
        <v>27</v>
      </c>
      <c r="P47" s="26">
        <f>SUMIFS($R$3:$R$5,$G$3:$G$5,O47)</f>
        <v>1848</v>
      </c>
      <c r="Q47" s="26">
        <f>SUMIFS($Y$3:$Y$5,$G$3:$G$5,O47)</f>
        <v>1847</v>
      </c>
      <c r="R47" s="32">
        <f>IFERROR(Q47/P47,0)</f>
        <v>0.99945887445887449</v>
      </c>
      <c r="S47" s="33">
        <f>SUMIFS($AE$3:$AE$5,$G$3:$G$5,O47)</f>
        <v>46175</v>
      </c>
      <c r="T47" s="18"/>
      <c r="AG47" s="15"/>
      <c r="AH47" s="99"/>
    </row>
    <row r="48" spans="14:34">
      <c r="N48" s="42" t="s">
        <v>101</v>
      </c>
      <c r="O48" s="23" t="s">
        <v>28</v>
      </c>
      <c r="P48" s="26">
        <f t="shared" ref="P48:P57" si="15">SUMIFS($R$5:$R$5,$G$5:$G$5,O48)</f>
        <v>1848</v>
      </c>
      <c r="Q48" s="26">
        <f t="shared" ref="Q48:Q57" si="16">SUMIFS($Y$5:$Y$5,$G$5:$G$5,O48)</f>
        <v>1847</v>
      </c>
      <c r="R48" s="32">
        <f t="shared" ref="R48:R57" si="17">IFERROR(Q48/P48,0)</f>
        <v>0.99945887445887449</v>
      </c>
      <c r="S48" s="33">
        <f t="shared" ref="S48:S57" si="18">SUMIFS($AE$5:$AE$5,$G$5:$G$5,O48)</f>
        <v>46175</v>
      </c>
      <c r="T48" s="18"/>
      <c r="AG48" s="15"/>
      <c r="AH48" s="99"/>
    </row>
    <row r="49" spans="1:34">
      <c r="N49" s="42" t="s">
        <v>101</v>
      </c>
      <c r="O49" s="23" t="s">
        <v>29</v>
      </c>
      <c r="P49" s="26">
        <f t="shared" si="15"/>
        <v>0</v>
      </c>
      <c r="Q49" s="26">
        <f t="shared" si="16"/>
        <v>0</v>
      </c>
      <c r="R49" s="32">
        <f>IFERROR(Q49/P49,0)</f>
        <v>0</v>
      </c>
      <c r="S49" s="33">
        <f t="shared" si="18"/>
        <v>0</v>
      </c>
      <c r="T49" s="18"/>
      <c r="AG49" s="15"/>
      <c r="AH49" s="99"/>
    </row>
    <row r="50" spans="1:34">
      <c r="N50" s="42" t="s">
        <v>101</v>
      </c>
      <c r="O50" s="23" t="s">
        <v>30</v>
      </c>
      <c r="P50" s="26">
        <f t="shared" si="15"/>
        <v>0</v>
      </c>
      <c r="Q50" s="26">
        <f t="shared" si="16"/>
        <v>0</v>
      </c>
      <c r="R50" s="32">
        <f t="shared" si="17"/>
        <v>0</v>
      </c>
      <c r="S50" s="33">
        <f t="shared" si="18"/>
        <v>0</v>
      </c>
      <c r="T50" s="18"/>
      <c r="AG50" s="15"/>
      <c r="AH50" s="99"/>
    </row>
    <row r="51" spans="1:34">
      <c r="N51" s="42" t="s">
        <v>101</v>
      </c>
      <c r="O51" s="23" t="s">
        <v>31</v>
      </c>
      <c r="P51" s="26">
        <f t="shared" si="15"/>
        <v>0</v>
      </c>
      <c r="Q51" s="26">
        <f t="shared" si="16"/>
        <v>0</v>
      </c>
      <c r="R51" s="32">
        <f t="shared" si="17"/>
        <v>0</v>
      </c>
      <c r="S51" s="33">
        <f t="shared" si="18"/>
        <v>0</v>
      </c>
      <c r="T51" s="18"/>
      <c r="AG51" s="15"/>
      <c r="AH51" s="99"/>
    </row>
    <row r="52" spans="1:34" ht="15" customHeight="1">
      <c r="N52" s="42" t="s">
        <v>101</v>
      </c>
      <c r="O52" s="23" t="s">
        <v>32</v>
      </c>
      <c r="P52" s="26">
        <f t="shared" si="15"/>
        <v>0</v>
      </c>
      <c r="Q52" s="26">
        <f t="shared" si="16"/>
        <v>0</v>
      </c>
      <c r="R52" s="32">
        <f t="shared" si="17"/>
        <v>0</v>
      </c>
      <c r="S52" s="33">
        <f t="shared" si="18"/>
        <v>0</v>
      </c>
      <c r="T52" s="18"/>
      <c r="AG52" s="15"/>
      <c r="AH52" s="99"/>
    </row>
    <row r="53" spans="1:34">
      <c r="A53" s="173"/>
      <c r="B53" s="173"/>
      <c r="C53" s="173"/>
      <c r="D53" s="173"/>
      <c r="E53" s="173"/>
      <c r="F53" s="173"/>
      <c r="G53" s="173"/>
      <c r="N53" s="42" t="s">
        <v>101</v>
      </c>
      <c r="O53" s="23" t="s">
        <v>33</v>
      </c>
      <c r="P53" s="26">
        <f t="shared" si="15"/>
        <v>0</v>
      </c>
      <c r="Q53" s="26">
        <f t="shared" si="16"/>
        <v>0</v>
      </c>
      <c r="R53" s="32">
        <f t="shared" si="17"/>
        <v>0</v>
      </c>
      <c r="S53" s="33">
        <f t="shared" si="18"/>
        <v>0</v>
      </c>
      <c r="T53" s="18"/>
      <c r="AG53" s="15"/>
      <c r="AH53" s="99"/>
    </row>
    <row r="54" spans="1:34">
      <c r="A54" s="173"/>
      <c r="B54" s="173"/>
      <c r="C54" s="173"/>
      <c r="D54" s="173"/>
      <c r="E54" s="173"/>
      <c r="F54" s="173"/>
      <c r="G54" s="173"/>
      <c r="N54" s="42" t="s">
        <v>101</v>
      </c>
      <c r="O54" s="23" t="s">
        <v>34</v>
      </c>
      <c r="P54" s="26">
        <f t="shared" si="15"/>
        <v>0</v>
      </c>
      <c r="Q54" s="26">
        <f t="shared" si="16"/>
        <v>0</v>
      </c>
      <c r="R54" s="32">
        <f t="shared" si="17"/>
        <v>0</v>
      </c>
      <c r="S54" s="33">
        <f t="shared" si="18"/>
        <v>0</v>
      </c>
      <c r="T54" s="18"/>
      <c r="AG54" s="15"/>
      <c r="AH54" s="99"/>
    </row>
    <row r="55" spans="1:34">
      <c r="A55" s="14"/>
      <c r="B55" s="15"/>
      <c r="C55" s="15"/>
      <c r="D55" s="16"/>
      <c r="E55" s="16"/>
      <c r="F55" s="17"/>
      <c r="G55" s="18"/>
      <c r="N55" s="42" t="s">
        <v>101</v>
      </c>
      <c r="O55" s="23" t="s">
        <v>35</v>
      </c>
      <c r="P55" s="26">
        <f t="shared" si="15"/>
        <v>0</v>
      </c>
      <c r="Q55" s="26">
        <f t="shared" si="16"/>
        <v>0</v>
      </c>
      <c r="R55" s="32">
        <f t="shared" si="17"/>
        <v>0</v>
      </c>
      <c r="S55" s="33">
        <f t="shared" si="18"/>
        <v>0</v>
      </c>
      <c r="T55" s="18"/>
      <c r="AG55" s="15"/>
      <c r="AH55" s="99"/>
    </row>
    <row r="56" spans="1:34">
      <c r="A56" s="14"/>
      <c r="B56" s="15"/>
      <c r="C56" s="15"/>
      <c r="D56" s="16"/>
      <c r="E56" s="16"/>
      <c r="F56" s="17"/>
      <c r="G56" s="18"/>
      <c r="N56" s="42" t="s">
        <v>101</v>
      </c>
      <c r="O56" s="23" t="s">
        <v>36</v>
      </c>
      <c r="P56" s="26">
        <f t="shared" si="15"/>
        <v>0</v>
      </c>
      <c r="Q56" s="26">
        <f t="shared" si="16"/>
        <v>0</v>
      </c>
      <c r="R56" s="32">
        <f t="shared" si="17"/>
        <v>0</v>
      </c>
      <c r="S56" s="33">
        <f t="shared" si="18"/>
        <v>0</v>
      </c>
      <c r="T56" s="18"/>
      <c r="AG56" s="15"/>
      <c r="AH56" s="99"/>
    </row>
    <row r="57" spans="1:34">
      <c r="A57" s="14"/>
      <c r="B57" s="15"/>
      <c r="C57" s="15"/>
      <c r="D57" s="16"/>
      <c r="E57" s="16"/>
      <c r="F57" s="17"/>
      <c r="G57" s="18"/>
      <c r="N57" s="42" t="s">
        <v>101</v>
      </c>
      <c r="O57" s="23" t="s">
        <v>37</v>
      </c>
      <c r="P57" s="26">
        <f t="shared" si="15"/>
        <v>0</v>
      </c>
      <c r="Q57" s="26">
        <f t="shared" si="16"/>
        <v>0</v>
      </c>
      <c r="R57" s="32">
        <f t="shared" si="17"/>
        <v>0</v>
      </c>
      <c r="S57" s="33">
        <f t="shared" si="18"/>
        <v>0</v>
      </c>
      <c r="T57" s="18"/>
      <c r="AG57" s="15"/>
      <c r="AH57" s="99"/>
    </row>
    <row r="58" spans="1:34">
      <c r="A58" s="14"/>
      <c r="B58" s="15"/>
      <c r="C58" s="15"/>
      <c r="D58" s="16"/>
      <c r="E58" s="16"/>
      <c r="F58" s="17"/>
      <c r="G58" s="18"/>
      <c r="N58" s="8" t="s">
        <v>101</v>
      </c>
      <c r="O58" s="9"/>
      <c r="P58" s="27">
        <f>SUM(P46:P57)</f>
        <v>5520</v>
      </c>
      <c r="Q58" s="27">
        <f>SUM(Q46:Q57)</f>
        <v>5517</v>
      </c>
      <c r="R58" s="34">
        <f>Q58/P58</f>
        <v>0.99945652173913047</v>
      </c>
      <c r="S58" s="35">
        <f>SUM(S46:S57)</f>
        <v>137925</v>
      </c>
      <c r="T58" s="22"/>
      <c r="AG58" s="13"/>
      <c r="AH58" s="98"/>
    </row>
    <row r="59" spans="1:34">
      <c r="A59" s="14"/>
      <c r="B59" s="15"/>
      <c r="C59" s="15"/>
      <c r="D59" s="16"/>
      <c r="E59" s="16"/>
      <c r="F59" s="17"/>
      <c r="G59" s="18"/>
      <c r="AH59" s="97"/>
    </row>
    <row r="60" spans="1:34">
      <c r="A60" s="19"/>
      <c r="B60" s="19"/>
      <c r="C60" s="13"/>
      <c r="D60" s="20"/>
      <c r="E60" s="20"/>
      <c r="F60" s="21"/>
      <c r="G60" s="22"/>
      <c r="AH60" s="97"/>
    </row>
    <row r="61" spans="1:34">
      <c r="A61" s="10" t="s">
        <v>91</v>
      </c>
      <c r="B61" s="11">
        <v>25</v>
      </c>
      <c r="C61" s="2"/>
      <c r="D61" s="2"/>
      <c r="E61" s="2"/>
      <c r="F61" s="2"/>
      <c r="G61" s="2"/>
      <c r="AH61" s="97"/>
    </row>
  </sheetData>
  <sheetProtection formatCells="0" formatColumns="0" formatRows="0"/>
  <mergeCells count="41">
    <mergeCell ref="G53:G54"/>
    <mergeCell ref="A53:A54"/>
    <mergeCell ref="B53:B54"/>
    <mergeCell ref="C53:C54"/>
    <mergeCell ref="D53:D54"/>
    <mergeCell ref="E53:E54"/>
    <mergeCell ref="F53:F54"/>
    <mergeCell ref="AA1:AE1"/>
    <mergeCell ref="AF1:AF2"/>
    <mergeCell ref="AG1:AG2"/>
    <mergeCell ref="N44:N45"/>
    <mergeCell ref="O44:O45"/>
    <mergeCell ref="P44:P45"/>
    <mergeCell ref="Q44:Q45"/>
    <mergeCell ref="R44:R45"/>
    <mergeCell ref="S44:S45"/>
    <mergeCell ref="T44:T45"/>
    <mergeCell ref="S1:U1"/>
    <mergeCell ref="V1:V2"/>
    <mergeCell ref="W1:W2"/>
    <mergeCell ref="X1:X2"/>
    <mergeCell ref="Y1:Y2"/>
    <mergeCell ref="Z1:Z2"/>
    <mergeCell ref="R1:R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  <headerFooter>
    <oddFooter>&amp;CNBCU Internal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H61"/>
  <sheetViews>
    <sheetView zoomScale="125" zoomScaleNormal="30" workbookViewId="0">
      <pane xSplit="2" topLeftCell="C1" activePane="topRight" state="frozen"/>
      <selection pane="topRight" activeCell="E5" sqref="E5:F5"/>
    </sheetView>
  </sheetViews>
  <sheetFormatPr defaultColWidth="8.81640625" defaultRowHeight="14.5"/>
  <cols>
    <col min="1" max="1" width="9.81640625" style="3" customWidth="1"/>
    <col min="2" max="2" width="20.26953125" style="3" customWidth="1"/>
    <col min="3" max="3" width="11" style="3" customWidth="1"/>
    <col min="4" max="4" width="17.453125" style="3" customWidth="1"/>
    <col min="5" max="6" width="9" style="3" customWidth="1"/>
    <col min="7" max="7" width="8.81640625" style="3" customWidth="1"/>
    <col min="8" max="8" width="19.453125" style="3" customWidth="1"/>
    <col min="9" max="9" width="19.81640625" style="3" customWidth="1"/>
    <col min="10" max="10" width="11.453125" style="3" customWidth="1"/>
    <col min="11" max="11" width="13.1796875" style="3" customWidth="1"/>
    <col min="12" max="12" width="11.1796875" style="3" customWidth="1"/>
    <col min="13" max="14" width="13.1796875" style="3" customWidth="1"/>
    <col min="15" max="15" width="13.81640625" style="3" customWidth="1"/>
    <col min="16" max="16" width="22.453125" style="3" customWidth="1"/>
    <col min="17" max="18" width="19.453125" style="3" customWidth="1"/>
    <col min="19" max="19" width="12.1796875" style="3" customWidth="1"/>
    <col min="20" max="20" width="17.453125" style="3" customWidth="1"/>
    <col min="21" max="21" width="9.81640625" style="3" customWidth="1"/>
    <col min="22" max="22" width="18" style="3" customWidth="1"/>
    <col min="23" max="23" width="19.1796875" style="3" customWidth="1"/>
    <col min="24" max="24" width="13.453125" style="3" customWidth="1"/>
    <col min="25" max="25" width="10.1796875" style="3" customWidth="1"/>
    <col min="26" max="26" width="18.1796875" style="3" customWidth="1"/>
    <col min="27" max="27" width="15" style="3" customWidth="1"/>
    <col min="28" max="28" width="9.453125" style="3" customWidth="1"/>
    <col min="29" max="29" width="18" style="3" customWidth="1"/>
    <col min="30" max="30" width="12.1796875" style="3" customWidth="1"/>
    <col min="31" max="31" width="17.453125" style="3" customWidth="1"/>
    <col min="32" max="32" width="8.81640625" style="3" customWidth="1"/>
    <col min="33" max="33" width="13.81640625" style="3" customWidth="1"/>
    <col min="34" max="34" width="8.81640625" style="3" customWidth="1"/>
    <col min="35" max="16384" width="8.81640625" style="3"/>
  </cols>
  <sheetData>
    <row r="1" spans="1:34" s="1" customFormat="1" ht="33" customHeight="1">
      <c r="A1" s="172" t="s">
        <v>22</v>
      </c>
      <c r="B1" s="172" t="s">
        <v>47</v>
      </c>
      <c r="C1" s="172" t="s">
        <v>48</v>
      </c>
      <c r="D1" s="172" t="s">
        <v>79</v>
      </c>
      <c r="E1" s="172" t="s">
        <v>80</v>
      </c>
      <c r="F1" s="172" t="s">
        <v>81</v>
      </c>
      <c r="G1" s="172" t="s">
        <v>82</v>
      </c>
      <c r="H1" s="172" t="s">
        <v>50</v>
      </c>
      <c r="I1" s="172" t="s">
        <v>51</v>
      </c>
      <c r="J1" s="172" t="s">
        <v>53</v>
      </c>
      <c r="K1" s="172" t="s">
        <v>54</v>
      </c>
      <c r="L1" s="172" t="s">
        <v>94</v>
      </c>
      <c r="M1" s="172" t="s">
        <v>56</v>
      </c>
      <c r="N1" s="175" t="s">
        <v>57</v>
      </c>
      <c r="O1" s="172" t="s">
        <v>58</v>
      </c>
      <c r="P1" s="172" t="s">
        <v>83</v>
      </c>
      <c r="Q1" s="172" t="s">
        <v>84</v>
      </c>
      <c r="R1" s="172" t="s">
        <v>60</v>
      </c>
      <c r="S1" s="172" t="s">
        <v>61</v>
      </c>
      <c r="T1" s="172"/>
      <c r="U1" s="172"/>
      <c r="V1" s="172" t="s">
        <v>62</v>
      </c>
      <c r="W1" s="172" t="s">
        <v>63</v>
      </c>
      <c r="X1" s="172" t="s">
        <v>64</v>
      </c>
      <c r="Y1" s="172" t="s">
        <v>85</v>
      </c>
      <c r="Z1" s="172" t="s">
        <v>66</v>
      </c>
      <c r="AA1" s="172" t="s">
        <v>67</v>
      </c>
      <c r="AB1" s="172"/>
      <c r="AC1" s="172"/>
      <c r="AD1" s="172"/>
      <c r="AE1" s="172"/>
      <c r="AF1" s="172" t="s">
        <v>3</v>
      </c>
      <c r="AG1" s="172" t="s">
        <v>86</v>
      </c>
    </row>
    <row r="2" spans="1:34" s="1" customFormat="1" ht="55.5" customHeigh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6"/>
      <c r="O2" s="172"/>
      <c r="P2" s="172"/>
      <c r="Q2" s="172"/>
      <c r="R2" s="172"/>
      <c r="S2" s="4" t="s">
        <v>68</v>
      </c>
      <c r="T2" s="4" t="s">
        <v>69</v>
      </c>
      <c r="U2" s="4" t="s">
        <v>70</v>
      </c>
      <c r="V2" s="172"/>
      <c r="W2" s="172"/>
      <c r="X2" s="172"/>
      <c r="Y2" s="172"/>
      <c r="Z2" s="172"/>
      <c r="AA2" s="4" t="s">
        <v>96</v>
      </c>
      <c r="AB2" s="4" t="s">
        <v>97</v>
      </c>
      <c r="AC2" s="4" t="s">
        <v>73</v>
      </c>
      <c r="AD2" s="4" t="s">
        <v>74</v>
      </c>
      <c r="AE2" s="4" t="s">
        <v>75</v>
      </c>
      <c r="AF2" s="172"/>
      <c r="AG2" s="172"/>
    </row>
    <row r="3" spans="1:34" ht="17.25" customHeight="1">
      <c r="A3" s="163" t="s">
        <v>102</v>
      </c>
      <c r="B3" s="165" t="s">
        <v>196</v>
      </c>
      <c r="C3" s="165" t="s">
        <v>26</v>
      </c>
      <c r="D3" s="153">
        <v>1</v>
      </c>
      <c r="E3" s="164">
        <v>44928</v>
      </c>
      <c r="F3" s="164">
        <v>44957</v>
      </c>
      <c r="G3" s="153" t="s">
        <v>26</v>
      </c>
      <c r="H3" s="153">
        <v>580</v>
      </c>
      <c r="I3" s="153">
        <v>580</v>
      </c>
      <c r="J3" s="153">
        <v>580</v>
      </c>
      <c r="K3" s="154">
        <v>580</v>
      </c>
      <c r="L3" s="153">
        <v>7</v>
      </c>
      <c r="M3" s="153">
        <v>0</v>
      </c>
      <c r="N3" s="153">
        <v>78</v>
      </c>
      <c r="O3" s="154">
        <v>573</v>
      </c>
      <c r="P3" s="153">
        <v>434</v>
      </c>
      <c r="Q3" s="156">
        <v>0</v>
      </c>
      <c r="R3" s="157">
        <f t="shared" ref="R3:R5" si="0">($P3/$AG3)*8</f>
        <v>694.4</v>
      </c>
      <c r="S3" s="158">
        <v>48</v>
      </c>
      <c r="T3" s="158">
        <v>4</v>
      </c>
      <c r="U3" s="155">
        <v>148</v>
      </c>
      <c r="V3" s="157">
        <v>0</v>
      </c>
      <c r="W3" s="159">
        <v>0</v>
      </c>
      <c r="X3" s="157">
        <f t="shared" ref="X3:X4" si="1">SUM(T3,V3,W3)</f>
        <v>4</v>
      </c>
      <c r="Y3" s="157">
        <f t="shared" ref="Y3:Y4" si="2">R3-X3</f>
        <v>690.4</v>
      </c>
      <c r="Z3" s="160">
        <v>1</v>
      </c>
      <c r="AA3" s="161">
        <f t="shared" ref="AA3:AA4" si="3">J3/I3</f>
        <v>1</v>
      </c>
      <c r="AB3" s="161">
        <f t="shared" ref="AB3:AB4" si="4">J3/H3</f>
        <v>1</v>
      </c>
      <c r="AC3" s="161">
        <f t="shared" ref="AC3:AC4" si="5">IFERROR(P3/(O3*D3),0)</f>
        <v>0.75741710296684117</v>
      </c>
      <c r="AD3" s="161">
        <f t="shared" ref="AD3:AD4" si="6">IFERROR((Y3/R3),0)</f>
        <v>0.99423963133640558</v>
      </c>
      <c r="AE3" s="162">
        <f>Y3*$B$11</f>
        <v>17260</v>
      </c>
      <c r="AF3" s="153"/>
      <c r="AG3" s="153">
        <v>5</v>
      </c>
    </row>
    <row r="4" spans="1:34" ht="17.25" customHeight="1">
      <c r="A4" s="163" t="s">
        <v>102</v>
      </c>
      <c r="B4" s="165" t="s">
        <v>197</v>
      </c>
      <c r="C4" s="165" t="s">
        <v>27</v>
      </c>
      <c r="D4" s="153">
        <v>1</v>
      </c>
      <c r="E4" s="164">
        <v>44958</v>
      </c>
      <c r="F4" s="164">
        <v>44985</v>
      </c>
      <c r="G4" s="153" t="s">
        <v>27</v>
      </c>
      <c r="H4" s="153">
        <v>600</v>
      </c>
      <c r="I4" s="153">
        <v>600</v>
      </c>
      <c r="J4" s="153">
        <v>600</v>
      </c>
      <c r="K4" s="154">
        <v>600</v>
      </c>
      <c r="L4" s="153">
        <v>7</v>
      </c>
      <c r="M4" s="153">
        <v>20</v>
      </c>
      <c r="N4" s="153">
        <v>54</v>
      </c>
      <c r="O4" s="154">
        <v>593</v>
      </c>
      <c r="P4" s="153">
        <v>434</v>
      </c>
      <c r="Q4" s="156">
        <v>48</v>
      </c>
      <c r="R4" s="157">
        <f t="shared" si="0"/>
        <v>694.4</v>
      </c>
      <c r="S4" s="158">
        <v>48</v>
      </c>
      <c r="T4" s="158">
        <v>4</v>
      </c>
      <c r="U4" s="155">
        <v>108</v>
      </c>
      <c r="V4" s="157">
        <v>0</v>
      </c>
      <c r="W4" s="159">
        <v>0</v>
      </c>
      <c r="X4" s="157">
        <f t="shared" si="1"/>
        <v>4</v>
      </c>
      <c r="Y4" s="157">
        <f t="shared" si="2"/>
        <v>690.4</v>
      </c>
      <c r="Z4" s="160">
        <v>0</v>
      </c>
      <c r="AA4" s="161">
        <f t="shared" si="3"/>
        <v>1</v>
      </c>
      <c r="AB4" s="161">
        <f t="shared" si="4"/>
        <v>1</v>
      </c>
      <c r="AC4" s="161">
        <f t="shared" si="5"/>
        <v>0.73187183811129852</v>
      </c>
      <c r="AD4" s="161">
        <f t="shared" si="6"/>
        <v>0.99423963133640558</v>
      </c>
      <c r="AE4" s="162">
        <f>Y4*$B$11</f>
        <v>17260</v>
      </c>
      <c r="AF4" s="153"/>
      <c r="AG4" s="153">
        <v>5</v>
      </c>
    </row>
    <row r="5" spans="1:34" ht="17.25" customHeight="1">
      <c r="A5" s="163" t="s">
        <v>102</v>
      </c>
      <c r="B5" s="165" t="s">
        <v>203</v>
      </c>
      <c r="C5" s="165" t="s">
        <v>28</v>
      </c>
      <c r="D5" s="153">
        <v>1</v>
      </c>
      <c r="E5" s="164">
        <v>44986</v>
      </c>
      <c r="F5" s="164">
        <v>45016</v>
      </c>
      <c r="G5" s="153" t="s">
        <v>28</v>
      </c>
      <c r="H5" s="153">
        <v>674</v>
      </c>
      <c r="I5" s="153">
        <v>674</v>
      </c>
      <c r="J5" s="153">
        <v>674</v>
      </c>
      <c r="K5" s="154">
        <v>674</v>
      </c>
      <c r="L5" s="153">
        <v>7</v>
      </c>
      <c r="M5" s="153">
        <v>74</v>
      </c>
      <c r="N5" s="153">
        <v>0</v>
      </c>
      <c r="O5" s="154">
        <v>667</v>
      </c>
      <c r="P5" s="153">
        <v>528</v>
      </c>
      <c r="Q5" s="156">
        <v>164</v>
      </c>
      <c r="R5" s="157">
        <f t="shared" si="0"/>
        <v>844.8</v>
      </c>
      <c r="S5" s="158">
        <v>48</v>
      </c>
      <c r="T5" s="158">
        <v>4</v>
      </c>
      <c r="U5" s="155">
        <v>0</v>
      </c>
      <c r="V5" s="157">
        <v>0</v>
      </c>
      <c r="W5" s="159">
        <v>0</v>
      </c>
      <c r="X5" s="157">
        <f t="shared" ref="X5" si="7">SUM(T5,V5,W5)</f>
        <v>4</v>
      </c>
      <c r="Y5" s="157">
        <f t="shared" ref="Y5" si="8">R5-X5</f>
        <v>840.8</v>
      </c>
      <c r="Z5" s="160">
        <v>0</v>
      </c>
      <c r="AA5" s="161">
        <f t="shared" ref="AA5" si="9">J5/I5</f>
        <v>1</v>
      </c>
      <c r="AB5" s="161">
        <f t="shared" ref="AB5" si="10">J5/H5</f>
        <v>1</v>
      </c>
      <c r="AC5" s="161">
        <f t="shared" ref="AC5" si="11">IFERROR(P5/(O5*D5),0)</f>
        <v>0.79160419790104952</v>
      </c>
      <c r="AD5" s="161">
        <f t="shared" ref="AD5" si="12">IFERROR((Y5/R5),0)</f>
        <v>0.99526515151515149</v>
      </c>
      <c r="AE5" s="162">
        <f>Y5*$B$11</f>
        <v>21020</v>
      </c>
      <c r="AF5" s="153"/>
      <c r="AG5" s="153">
        <v>5</v>
      </c>
    </row>
    <row r="6" spans="1:34" s="2" customFormat="1">
      <c r="A6" s="8" t="s">
        <v>102</v>
      </c>
      <c r="B6" s="8" t="s">
        <v>90</v>
      </c>
      <c r="C6" s="9" t="s">
        <v>90</v>
      </c>
      <c r="D6" s="9">
        <f ca="1">SUM(D2:INDIRECT("D"&amp;ROW()-1))</f>
        <v>3</v>
      </c>
      <c r="E6" s="9"/>
      <c r="F6" s="9"/>
      <c r="G6" s="9"/>
      <c r="H6" s="9">
        <f ca="1">INDIRECT("H"&amp;ROW()-1)</f>
        <v>674</v>
      </c>
      <c r="I6" s="9">
        <f ca="1">INDIRECT("I"&amp;ROW()-1)</f>
        <v>674</v>
      </c>
      <c r="J6" s="9">
        <f ca="1">INDIRECT("J"&amp;ROW()-1)</f>
        <v>674</v>
      </c>
      <c r="K6" s="9">
        <f ca="1">INDIRECT("K"&amp;ROW()-1)</f>
        <v>674</v>
      </c>
      <c r="L6" s="9">
        <f ca="1">INDIRECT("L"&amp;ROW()-1)</f>
        <v>7</v>
      </c>
      <c r="M6" s="9">
        <f ca="1">SUM(M2:INDIRECT("M"&amp;ROW()-1))</f>
        <v>94</v>
      </c>
      <c r="N6" s="9">
        <f ca="1">SUM(N2:INDIRECT("N"&amp;ROW()-1))</f>
        <v>132</v>
      </c>
      <c r="O6" s="9">
        <f ca="1">INDIRECT("O"&amp;ROW()-1)</f>
        <v>667</v>
      </c>
      <c r="P6" s="9">
        <f ca="1">SUM(P2:INDIRECT("P"&amp;ROW()-1))</f>
        <v>1396</v>
      </c>
      <c r="Q6" s="9">
        <f ca="1">SUM(Q2:INDIRECT("Q"&amp;ROW()-1))</f>
        <v>212</v>
      </c>
      <c r="R6" s="27">
        <f ca="1">SUM(R5:INDIRECT("R"&amp;ROW()-1))</f>
        <v>844.8</v>
      </c>
      <c r="S6" s="27">
        <f>SUM(S5:S5)</f>
        <v>48</v>
      </c>
      <c r="T6" s="27">
        <f>SUM(T5:T5)</f>
        <v>4</v>
      </c>
      <c r="U6" s="27">
        <f>SUM(U5:U5)</f>
        <v>0</v>
      </c>
      <c r="V6" s="9">
        <f ca="1">SUM(V5:INDIRECT("V"&amp;ROW()-1))</f>
        <v>0</v>
      </c>
      <c r="W6" s="9">
        <f ca="1">SUM(W5:INDIRECT("W"&amp;ROW()-1))</f>
        <v>0</v>
      </c>
      <c r="X6" s="9">
        <f ca="1">SUM(X5:INDIRECT("X"&amp;ROW()-1))</f>
        <v>4</v>
      </c>
      <c r="Y6" s="27">
        <f ca="1">SUM(Y5:INDIRECT("Y"&amp;ROW()-1))</f>
        <v>840.8</v>
      </c>
      <c r="Z6" s="9">
        <f ca="1">SUM(Z5:INDIRECT("z"&amp;ROW()-1))</f>
        <v>0</v>
      </c>
      <c r="AA6" s="34">
        <f t="shared" ref="AA6" ca="1" si="13">J6/I6</f>
        <v>1</v>
      </c>
      <c r="AB6" s="34">
        <f t="shared" ref="AB6" ca="1" si="14">J6/H6</f>
        <v>1</v>
      </c>
      <c r="AC6" s="34">
        <f t="shared" ref="AC6" ca="1" si="15">P6/(O6*D6)</f>
        <v>0.69765117441279356</v>
      </c>
      <c r="AD6" s="39">
        <f t="shared" ref="AD6" ca="1" si="16">Y6/R6</f>
        <v>0.99526515151515149</v>
      </c>
      <c r="AE6" s="35">
        <f ca="1">SUM(AE2:INDIRECT("AF"&amp;ROW()-1))</f>
        <v>55540</v>
      </c>
      <c r="AF6" s="9"/>
      <c r="AG6" s="9"/>
    </row>
    <row r="7" spans="1:34" s="2" customFormat="1">
      <c r="S7" s="2">
        <v>0</v>
      </c>
      <c r="AH7" s="96"/>
    </row>
    <row r="8" spans="1:34" s="2" customFormat="1">
      <c r="A8" s="10"/>
      <c r="B8" s="11"/>
      <c r="E8" s="2">
        <v>11</v>
      </c>
      <c r="K8" s="58"/>
      <c r="L8" s="45"/>
      <c r="Q8" s="13"/>
      <c r="AC8" s="25"/>
      <c r="AH8" s="96"/>
    </row>
    <row r="9" spans="1:34" s="2" customFormat="1">
      <c r="A9" s="10"/>
      <c r="B9" s="11"/>
      <c r="Q9" s="13"/>
      <c r="AC9" s="25"/>
      <c r="AH9" s="96"/>
    </row>
    <row r="10" spans="1:34" s="2" customFormat="1">
      <c r="A10" s="10"/>
      <c r="B10" s="11"/>
      <c r="Q10" s="13"/>
      <c r="AC10" s="25"/>
      <c r="AH10" s="96"/>
    </row>
    <row r="11" spans="1:34" s="2" customFormat="1">
      <c r="A11" s="10" t="s">
        <v>91</v>
      </c>
      <c r="B11" s="11">
        <v>25</v>
      </c>
      <c r="P11" s="25"/>
      <c r="Q11" s="13"/>
      <c r="AC11" s="25"/>
      <c r="AH11" s="96"/>
    </row>
    <row r="12" spans="1:34" ht="21">
      <c r="A12" s="10" t="s">
        <v>92</v>
      </c>
      <c r="B12" s="12">
        <v>8</v>
      </c>
      <c r="C12" s="2"/>
      <c r="D12" s="2"/>
      <c r="E12" s="2"/>
      <c r="F12" s="2"/>
      <c r="G12" s="2"/>
      <c r="H12" s="2"/>
      <c r="I12" s="2"/>
      <c r="J12" s="25"/>
      <c r="K12" s="25"/>
      <c r="L12" s="2"/>
      <c r="M12" s="2"/>
      <c r="N12" s="2"/>
      <c r="O12" s="2"/>
      <c r="P12" s="2"/>
      <c r="Q12" s="1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96"/>
    </row>
    <row r="13" spans="1:34">
      <c r="AH13" s="97"/>
    </row>
    <row r="14" spans="1:34">
      <c r="AH14" s="97"/>
    </row>
    <row r="15" spans="1:34">
      <c r="AH15" s="97"/>
    </row>
    <row r="16" spans="1:34">
      <c r="AH16" s="97"/>
    </row>
    <row r="17" spans="34:34">
      <c r="AH17" s="97"/>
    </row>
    <row r="18" spans="34:34">
      <c r="AH18" s="97"/>
    </row>
    <row r="19" spans="34:34">
      <c r="AH19" s="97"/>
    </row>
    <row r="20" spans="34:34">
      <c r="AH20" s="97"/>
    </row>
    <row r="21" spans="34:34">
      <c r="AH21" s="97"/>
    </row>
    <row r="22" spans="34:34">
      <c r="AH22" s="97"/>
    </row>
    <row r="23" spans="34:34">
      <c r="AH23" s="97"/>
    </row>
    <row r="24" spans="34:34">
      <c r="AH24" s="97"/>
    </row>
    <row r="25" spans="34:34">
      <c r="AH25" s="97"/>
    </row>
    <row r="26" spans="34:34">
      <c r="AH26" s="97"/>
    </row>
    <row r="27" spans="34:34">
      <c r="AH27" s="97"/>
    </row>
    <row r="28" spans="34:34">
      <c r="AH28" s="97"/>
    </row>
    <row r="29" spans="34:34">
      <c r="AH29" s="97"/>
    </row>
    <row r="30" spans="34:34">
      <c r="AH30" s="97"/>
    </row>
    <row r="31" spans="34:34">
      <c r="AH31" s="97"/>
    </row>
    <row r="32" spans="34:34">
      <c r="AH32" s="97"/>
    </row>
    <row r="33" spans="14:34">
      <c r="AH33" s="97"/>
    </row>
    <row r="34" spans="14:34">
      <c r="AH34" s="97"/>
    </row>
    <row r="35" spans="14:34">
      <c r="AH35" s="97"/>
    </row>
    <row r="36" spans="14:34">
      <c r="AH36" s="97"/>
    </row>
    <row r="37" spans="14:34">
      <c r="AH37" s="97"/>
    </row>
    <row r="38" spans="14:34">
      <c r="AH38" s="97"/>
    </row>
    <row r="39" spans="14:34">
      <c r="AH39" s="97"/>
    </row>
    <row r="40" spans="14:34">
      <c r="AH40" s="97"/>
    </row>
    <row r="41" spans="14:34">
      <c r="AH41" s="97"/>
    </row>
    <row r="42" spans="14:34">
      <c r="AH42" s="97"/>
    </row>
    <row r="43" spans="14:34">
      <c r="AH43" s="97"/>
    </row>
    <row r="44" spans="14:34">
      <c r="N44" s="172" t="s">
        <v>22</v>
      </c>
      <c r="O44" s="172" t="s">
        <v>82</v>
      </c>
      <c r="P44" s="172" t="s">
        <v>60</v>
      </c>
      <c r="Q44" s="172" t="s">
        <v>85</v>
      </c>
      <c r="R44" s="172" t="s">
        <v>74</v>
      </c>
      <c r="S44" s="172" t="s">
        <v>75</v>
      </c>
      <c r="T44" s="173"/>
      <c r="AG44" s="13"/>
      <c r="AH44" s="98"/>
    </row>
    <row r="45" spans="14:34">
      <c r="N45" s="172"/>
      <c r="O45" s="172"/>
      <c r="P45" s="172"/>
      <c r="Q45" s="172"/>
      <c r="R45" s="172"/>
      <c r="S45" s="172"/>
      <c r="T45" s="173"/>
      <c r="AG45" s="13"/>
      <c r="AH45" s="98"/>
    </row>
    <row r="46" spans="14:34">
      <c r="N46" s="42" t="s">
        <v>102</v>
      </c>
      <c r="O46" s="23" t="s">
        <v>26</v>
      </c>
      <c r="P46" s="26">
        <f>SUMIFS($R$3:$R$5,$G$3:$G$5,O46)</f>
        <v>694.4</v>
      </c>
      <c r="Q46" s="26">
        <f>SUMIFS($Y$3:$Y$5,$G$3:$G$5,O46)</f>
        <v>690.4</v>
      </c>
      <c r="R46" s="32">
        <f>IFERROR(Q46/P46,0)</f>
        <v>0.99423963133640558</v>
      </c>
      <c r="S46" s="33">
        <f>SUMIFS($AE$3:$AE$5,$G$3:$G$5,O46)</f>
        <v>17260</v>
      </c>
      <c r="T46" s="18"/>
      <c r="AG46" s="15"/>
      <c r="AH46" s="99"/>
    </row>
    <row r="47" spans="14:34">
      <c r="N47" s="42" t="s">
        <v>102</v>
      </c>
      <c r="O47" s="23" t="s">
        <v>27</v>
      </c>
      <c r="P47" s="26">
        <f t="shared" ref="P47:P48" si="17">SUMIFS($R$3:$R$5,$G$3:$G$5,O47)</f>
        <v>694.4</v>
      </c>
      <c r="Q47" s="26">
        <f t="shared" ref="Q47:Q48" si="18">SUMIFS($Y$3:$Y$5,$G$3:$G$5,O47)</f>
        <v>690.4</v>
      </c>
      <c r="R47" s="32">
        <f t="shared" ref="R47:R48" si="19">IFERROR(Q47/P47,0)</f>
        <v>0.99423963133640558</v>
      </c>
      <c r="S47" s="33">
        <f t="shared" ref="S47:S48" si="20">SUMIFS($AE$3:$AE$5,$G$3:$G$5,O47)</f>
        <v>17260</v>
      </c>
      <c r="T47" s="18"/>
      <c r="AG47" s="15"/>
      <c r="AH47" s="99"/>
    </row>
    <row r="48" spans="14:34">
      <c r="N48" s="42" t="s">
        <v>102</v>
      </c>
      <c r="O48" s="23" t="s">
        <v>28</v>
      </c>
      <c r="P48" s="26">
        <f t="shared" si="17"/>
        <v>844.8</v>
      </c>
      <c r="Q48" s="26">
        <f t="shared" si="18"/>
        <v>840.8</v>
      </c>
      <c r="R48" s="32">
        <f t="shared" si="19"/>
        <v>0.99526515151515149</v>
      </c>
      <c r="S48" s="33">
        <f t="shared" si="20"/>
        <v>21020</v>
      </c>
      <c r="T48" s="18"/>
      <c r="AG48" s="15"/>
      <c r="AH48" s="99"/>
    </row>
    <row r="49" spans="1:34">
      <c r="N49" s="42" t="s">
        <v>102</v>
      </c>
      <c r="O49" s="23" t="s">
        <v>29</v>
      </c>
      <c r="P49" s="26">
        <f t="shared" ref="P49:P57" si="21">SUMIFS($R$5:$R$5,$G$5:$G$5,O49)</f>
        <v>0</v>
      </c>
      <c r="Q49" s="26">
        <f t="shared" ref="Q49:Q57" si="22">SUMIFS($Y$5:$Y$5,$G$5:$G$5,O49)</f>
        <v>0</v>
      </c>
      <c r="R49" s="32">
        <f>IFERROR(Q49/P49,0)</f>
        <v>0</v>
      </c>
      <c r="S49" s="33">
        <f t="shared" ref="S49:S57" si="23">SUMIFS($AE$5:$AE$5,$G$5:$G$5,O49)</f>
        <v>0</v>
      </c>
      <c r="T49" s="18"/>
      <c r="AG49" s="15"/>
      <c r="AH49" s="99"/>
    </row>
    <row r="50" spans="1:34">
      <c r="N50" s="42" t="s">
        <v>102</v>
      </c>
      <c r="O50" s="23" t="s">
        <v>30</v>
      </c>
      <c r="P50" s="26">
        <f t="shared" si="21"/>
        <v>0</v>
      </c>
      <c r="Q50" s="26">
        <f t="shared" si="22"/>
        <v>0</v>
      </c>
      <c r="R50" s="32">
        <f t="shared" ref="R50" si="24">IFERROR(Q50/P50,0)</f>
        <v>0</v>
      </c>
      <c r="S50" s="33">
        <f t="shared" si="23"/>
        <v>0</v>
      </c>
      <c r="T50" s="18"/>
      <c r="AG50" s="15"/>
      <c r="AH50" s="99"/>
    </row>
    <row r="51" spans="1:34">
      <c r="N51" s="42" t="s">
        <v>102</v>
      </c>
      <c r="O51" s="23" t="s">
        <v>31</v>
      </c>
      <c r="P51" s="26">
        <f t="shared" si="21"/>
        <v>0</v>
      </c>
      <c r="Q51" s="26">
        <f t="shared" si="22"/>
        <v>0</v>
      </c>
      <c r="R51" s="32">
        <f t="shared" ref="R51" si="25">IFERROR(Q51/P51,0)</f>
        <v>0</v>
      </c>
      <c r="S51" s="33">
        <f t="shared" si="23"/>
        <v>0</v>
      </c>
      <c r="T51" s="18"/>
      <c r="AG51" s="15"/>
      <c r="AH51" s="99"/>
    </row>
    <row r="52" spans="1:34" ht="15" customHeight="1">
      <c r="N52" s="42" t="s">
        <v>102</v>
      </c>
      <c r="O52" s="23" t="s">
        <v>32</v>
      </c>
      <c r="P52" s="26">
        <f t="shared" si="21"/>
        <v>0</v>
      </c>
      <c r="Q52" s="26">
        <f t="shared" si="22"/>
        <v>0</v>
      </c>
      <c r="R52" s="32">
        <f t="shared" ref="R52" si="26">IFERROR(Q52/P52,0)</f>
        <v>0</v>
      </c>
      <c r="S52" s="33">
        <f t="shared" si="23"/>
        <v>0</v>
      </c>
      <c r="T52" s="18"/>
      <c r="AG52" s="15"/>
      <c r="AH52" s="99"/>
    </row>
    <row r="53" spans="1:34">
      <c r="A53" s="173"/>
      <c r="B53" s="173"/>
      <c r="C53" s="173"/>
      <c r="D53" s="173"/>
      <c r="E53" s="173"/>
      <c r="F53" s="173"/>
      <c r="G53" s="173"/>
      <c r="N53" s="42" t="s">
        <v>102</v>
      </c>
      <c r="O53" s="23" t="s">
        <v>33</v>
      </c>
      <c r="P53" s="26">
        <f t="shared" si="21"/>
        <v>0</v>
      </c>
      <c r="Q53" s="26">
        <f t="shared" si="22"/>
        <v>0</v>
      </c>
      <c r="R53" s="32">
        <f t="shared" ref="R53:R55" si="27">IFERROR(Q53/P53,0)</f>
        <v>0</v>
      </c>
      <c r="S53" s="33">
        <f t="shared" si="23"/>
        <v>0</v>
      </c>
      <c r="T53" s="18"/>
      <c r="AG53" s="15"/>
      <c r="AH53" s="99"/>
    </row>
    <row r="54" spans="1:34">
      <c r="A54" s="173"/>
      <c r="B54" s="173"/>
      <c r="C54" s="173"/>
      <c r="D54" s="173"/>
      <c r="E54" s="173"/>
      <c r="F54" s="173"/>
      <c r="G54" s="173"/>
      <c r="N54" s="42" t="s">
        <v>102</v>
      </c>
      <c r="O54" s="23" t="s">
        <v>34</v>
      </c>
      <c r="P54" s="26">
        <f t="shared" si="21"/>
        <v>0</v>
      </c>
      <c r="Q54" s="26">
        <f t="shared" si="22"/>
        <v>0</v>
      </c>
      <c r="R54" s="32">
        <f t="shared" si="27"/>
        <v>0</v>
      </c>
      <c r="S54" s="33">
        <f t="shared" si="23"/>
        <v>0</v>
      </c>
      <c r="T54" s="18"/>
      <c r="AG54" s="15"/>
      <c r="AH54" s="99"/>
    </row>
    <row r="55" spans="1:34">
      <c r="A55" s="14"/>
      <c r="B55" s="15"/>
      <c r="C55" s="15"/>
      <c r="D55" s="16"/>
      <c r="E55" s="16"/>
      <c r="F55" s="17"/>
      <c r="G55" s="18"/>
      <c r="N55" s="42" t="s">
        <v>102</v>
      </c>
      <c r="O55" s="23" t="s">
        <v>35</v>
      </c>
      <c r="P55" s="26">
        <f t="shared" si="21"/>
        <v>0</v>
      </c>
      <c r="Q55" s="26">
        <f t="shared" si="22"/>
        <v>0</v>
      </c>
      <c r="R55" s="32">
        <f t="shared" si="27"/>
        <v>0</v>
      </c>
      <c r="S55" s="33">
        <f t="shared" si="23"/>
        <v>0</v>
      </c>
      <c r="T55" s="18"/>
      <c r="AG55" s="15"/>
      <c r="AH55" s="99"/>
    </row>
    <row r="56" spans="1:34">
      <c r="A56" s="14"/>
      <c r="B56" s="15"/>
      <c r="C56" s="15"/>
      <c r="D56" s="16"/>
      <c r="E56" s="16"/>
      <c r="F56" s="17"/>
      <c r="G56" s="18"/>
      <c r="N56" s="42" t="s">
        <v>102</v>
      </c>
      <c r="O56" s="23" t="s">
        <v>36</v>
      </c>
      <c r="P56" s="26">
        <f t="shared" si="21"/>
        <v>0</v>
      </c>
      <c r="Q56" s="26">
        <f t="shared" si="22"/>
        <v>0</v>
      </c>
      <c r="R56" s="32">
        <f t="shared" ref="R56:R57" si="28">IFERROR(Q56/P56,0)</f>
        <v>0</v>
      </c>
      <c r="S56" s="33">
        <f t="shared" si="23"/>
        <v>0</v>
      </c>
      <c r="T56" s="18"/>
      <c r="AG56" s="15"/>
      <c r="AH56" s="99"/>
    </row>
    <row r="57" spans="1:34">
      <c r="A57" s="14"/>
      <c r="B57" s="15"/>
      <c r="C57" s="15"/>
      <c r="D57" s="16"/>
      <c r="E57" s="16"/>
      <c r="F57" s="17"/>
      <c r="G57" s="18"/>
      <c r="N57" s="42" t="s">
        <v>102</v>
      </c>
      <c r="O57" s="23" t="s">
        <v>37</v>
      </c>
      <c r="P57" s="26">
        <f t="shared" si="21"/>
        <v>0</v>
      </c>
      <c r="Q57" s="26">
        <f t="shared" si="22"/>
        <v>0</v>
      </c>
      <c r="R57" s="32">
        <f t="shared" si="28"/>
        <v>0</v>
      </c>
      <c r="S57" s="33">
        <f t="shared" si="23"/>
        <v>0</v>
      </c>
      <c r="T57" s="18"/>
      <c r="AG57" s="15"/>
      <c r="AH57" s="99"/>
    </row>
    <row r="58" spans="1:34">
      <c r="A58" s="14"/>
      <c r="B58" s="15"/>
      <c r="C58" s="15"/>
      <c r="D58" s="16"/>
      <c r="E58" s="16"/>
      <c r="F58" s="17"/>
      <c r="G58" s="18"/>
      <c r="N58" s="8" t="s">
        <v>102</v>
      </c>
      <c r="O58" s="9"/>
      <c r="P58" s="27">
        <f>SUM(P46:P57)</f>
        <v>2233.6</v>
      </c>
      <c r="Q58" s="27">
        <f>SUM(Q46:Q57)</f>
        <v>2221.6</v>
      </c>
      <c r="R58" s="34">
        <f>Q58/P58</f>
        <v>0.99462750716332382</v>
      </c>
      <c r="S58" s="35">
        <f>SUM(S46:S57)</f>
        <v>55540</v>
      </c>
      <c r="T58" s="22"/>
      <c r="AG58" s="13"/>
      <c r="AH58" s="98"/>
    </row>
    <row r="59" spans="1:34">
      <c r="A59" s="14"/>
      <c r="B59" s="15"/>
      <c r="C59" s="15"/>
      <c r="D59" s="16"/>
      <c r="E59" s="16"/>
      <c r="F59" s="17"/>
      <c r="G59" s="18"/>
      <c r="AH59" s="97"/>
    </row>
    <row r="60" spans="1:34">
      <c r="A60" s="19"/>
      <c r="B60" s="19"/>
      <c r="C60" s="13"/>
      <c r="D60" s="20"/>
      <c r="E60" s="20"/>
      <c r="F60" s="21"/>
      <c r="G60" s="22"/>
      <c r="AH60" s="97"/>
    </row>
    <row r="61" spans="1:34">
      <c r="A61" s="10" t="s">
        <v>91</v>
      </c>
      <c r="B61" s="11">
        <v>25</v>
      </c>
      <c r="C61" s="2"/>
      <c r="D61" s="2"/>
      <c r="E61" s="2"/>
      <c r="F61" s="2"/>
      <c r="G61" s="2"/>
      <c r="AH61" s="97"/>
    </row>
  </sheetData>
  <sheetProtection formatCells="0" formatColumns="0" formatRows="0"/>
  <mergeCells count="41">
    <mergeCell ref="Y1:Y2"/>
    <mergeCell ref="Z1:Z2"/>
    <mergeCell ref="AF1:AF2"/>
    <mergeCell ref="AG1:AG2"/>
    <mergeCell ref="S44:S45"/>
    <mergeCell ref="T44:T45"/>
    <mergeCell ref="V1:V2"/>
    <mergeCell ref="W1:W2"/>
    <mergeCell ref="X1:X2"/>
    <mergeCell ref="S1:U1"/>
    <mergeCell ref="AA1:AE1"/>
    <mergeCell ref="P1:P2"/>
    <mergeCell ref="P44:P45"/>
    <mergeCell ref="Q1:Q2"/>
    <mergeCell ref="Q44:Q45"/>
    <mergeCell ref="R1:R2"/>
    <mergeCell ref="R44:R45"/>
    <mergeCell ref="M1:M2"/>
    <mergeCell ref="N1:N2"/>
    <mergeCell ref="N44:N45"/>
    <mergeCell ref="O1:O2"/>
    <mergeCell ref="O44:O45"/>
    <mergeCell ref="H1:H2"/>
    <mergeCell ref="I1:I2"/>
    <mergeCell ref="J1:J2"/>
    <mergeCell ref="K1:K2"/>
    <mergeCell ref="L1:L2"/>
    <mergeCell ref="A1:A2"/>
    <mergeCell ref="A53:A54"/>
    <mergeCell ref="B1:B2"/>
    <mergeCell ref="B53:B54"/>
    <mergeCell ref="C1:C2"/>
    <mergeCell ref="C53:C54"/>
    <mergeCell ref="G1:G2"/>
    <mergeCell ref="G53:G54"/>
    <mergeCell ref="D1:D2"/>
    <mergeCell ref="D53:D54"/>
    <mergeCell ref="E1:E2"/>
    <mergeCell ref="E53:E54"/>
    <mergeCell ref="F1:F2"/>
    <mergeCell ref="F53:F54"/>
  </mergeCells>
  <pageMargins left="0.7" right="0.7" top="0.75" bottom="0.75" header="0.3" footer="0.3"/>
  <pageSetup paperSize="9" orientation="portrait" r:id="rId1"/>
  <headerFooter>
    <oddFooter>&amp;CNBCU Internal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G60"/>
  <sheetViews>
    <sheetView topLeftCell="B1" zoomScale="150" zoomScaleNormal="150" workbookViewId="0">
      <selection activeCell="O4" sqref="O4"/>
    </sheetView>
  </sheetViews>
  <sheetFormatPr defaultColWidth="8.81640625" defaultRowHeight="14.5"/>
  <cols>
    <col min="1" max="1" width="32" style="67" customWidth="1"/>
    <col min="2" max="3" width="14.453125" style="67" customWidth="1"/>
    <col min="4" max="4" width="5.453125" style="67" customWidth="1"/>
    <col min="5" max="6" width="9" style="67" customWidth="1"/>
    <col min="7" max="7" width="8.81640625" style="67" customWidth="1"/>
    <col min="8" max="8" width="19.453125" style="67" customWidth="1"/>
    <col min="9" max="9" width="19.81640625" style="67" customWidth="1"/>
    <col min="10" max="10" width="11.453125" style="67" customWidth="1"/>
    <col min="11" max="11" width="13.1796875" style="67" customWidth="1"/>
    <col min="12" max="12" width="11.1796875" style="67" customWidth="1"/>
    <col min="13" max="13" width="13.1796875" style="67" customWidth="1"/>
    <col min="14" max="14" width="21.453125" style="67" customWidth="1"/>
    <col min="15" max="15" width="13.81640625" style="67" customWidth="1"/>
    <col min="16" max="16" width="22.453125" style="67" customWidth="1"/>
    <col min="17" max="18" width="19.453125" style="67" customWidth="1"/>
    <col min="19" max="19" width="12.1796875" style="67" customWidth="1"/>
    <col min="20" max="20" width="17.453125" style="67" customWidth="1"/>
    <col min="21" max="21" width="9.81640625" style="67" customWidth="1"/>
    <col min="22" max="22" width="18" style="67" customWidth="1"/>
    <col min="23" max="23" width="19.1796875" style="67" customWidth="1"/>
    <col min="24" max="24" width="13.453125" style="67" customWidth="1"/>
    <col min="25" max="25" width="10.1796875" style="67" customWidth="1"/>
    <col min="26" max="26" width="18.1796875" style="67" customWidth="1"/>
    <col min="27" max="27" width="17.7265625" style="67" customWidth="1"/>
    <col min="28" max="28" width="15.1796875" style="67" customWidth="1"/>
    <col min="29" max="29" width="18" style="67" customWidth="1"/>
    <col min="30" max="30" width="12.1796875" style="67" customWidth="1"/>
    <col min="31" max="31" width="11.453125" style="67" customWidth="1"/>
    <col min="32" max="32" width="6.453125" style="67" customWidth="1"/>
    <col min="33" max="33" width="9.1796875" style="67" customWidth="1"/>
    <col min="34" max="16384" width="8.81640625" style="67"/>
  </cols>
  <sheetData>
    <row r="1" spans="1:33" s="65" customFormat="1" ht="33" customHeight="1">
      <c r="A1" s="177" t="s">
        <v>22</v>
      </c>
      <c r="B1" s="177" t="s">
        <v>47</v>
      </c>
      <c r="C1" s="177" t="s">
        <v>48</v>
      </c>
      <c r="D1" s="177" t="s">
        <v>79</v>
      </c>
      <c r="E1" s="177" t="s">
        <v>80</v>
      </c>
      <c r="F1" s="177" t="s">
        <v>81</v>
      </c>
      <c r="G1" s="177" t="s">
        <v>82</v>
      </c>
      <c r="H1" s="177" t="s">
        <v>50</v>
      </c>
      <c r="I1" s="177" t="s">
        <v>51</v>
      </c>
      <c r="J1" s="177" t="s">
        <v>53</v>
      </c>
      <c r="K1" s="177" t="s">
        <v>54</v>
      </c>
      <c r="L1" s="177" t="s">
        <v>94</v>
      </c>
      <c r="M1" s="177" t="s">
        <v>56</v>
      </c>
      <c r="N1" s="179" t="s">
        <v>57</v>
      </c>
      <c r="O1" s="177" t="s">
        <v>58</v>
      </c>
      <c r="P1" s="177" t="s">
        <v>83</v>
      </c>
      <c r="Q1" s="177" t="s">
        <v>84</v>
      </c>
      <c r="R1" s="177" t="s">
        <v>60</v>
      </c>
      <c r="S1" s="177" t="s">
        <v>61</v>
      </c>
      <c r="T1" s="177"/>
      <c r="U1" s="177"/>
      <c r="V1" s="177" t="s">
        <v>62</v>
      </c>
      <c r="W1" s="177" t="s">
        <v>63</v>
      </c>
      <c r="X1" s="177" t="s">
        <v>64</v>
      </c>
      <c r="Y1" s="177" t="s">
        <v>85</v>
      </c>
      <c r="Z1" s="177" t="s">
        <v>66</v>
      </c>
      <c r="AA1" s="177" t="s">
        <v>67</v>
      </c>
      <c r="AB1" s="177"/>
      <c r="AC1" s="177"/>
      <c r="AD1" s="177"/>
      <c r="AE1" s="177"/>
      <c r="AF1" s="177" t="s">
        <v>3</v>
      </c>
      <c r="AG1" s="177" t="s">
        <v>86</v>
      </c>
    </row>
    <row r="2" spans="1:33" s="65" customFormat="1" ht="55.5" customHeight="1">
      <c r="A2" s="177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80"/>
      <c r="O2" s="177"/>
      <c r="P2" s="177"/>
      <c r="Q2" s="177"/>
      <c r="R2" s="177"/>
      <c r="S2" s="68" t="s">
        <v>68</v>
      </c>
      <c r="T2" s="68" t="s">
        <v>69</v>
      </c>
      <c r="U2" s="68" t="s">
        <v>70</v>
      </c>
      <c r="V2" s="177"/>
      <c r="W2" s="177"/>
      <c r="X2" s="177"/>
      <c r="Y2" s="177"/>
      <c r="Z2" s="177"/>
      <c r="AA2" s="68" t="s">
        <v>96</v>
      </c>
      <c r="AB2" s="68" t="s">
        <v>97</v>
      </c>
      <c r="AC2" s="68" t="s">
        <v>73</v>
      </c>
      <c r="AD2" s="68" t="s">
        <v>74</v>
      </c>
      <c r="AE2" s="68" t="s">
        <v>75</v>
      </c>
      <c r="AF2" s="177"/>
      <c r="AG2" s="177"/>
    </row>
    <row r="3" spans="1:33">
      <c r="A3" s="142" t="s">
        <v>103</v>
      </c>
      <c r="B3" s="143" t="s">
        <v>195</v>
      </c>
      <c r="C3" s="143" t="s">
        <v>194</v>
      </c>
      <c r="D3" s="143">
        <v>4</v>
      </c>
      <c r="E3" s="152">
        <v>44928</v>
      </c>
      <c r="F3" s="152">
        <v>44957</v>
      </c>
      <c r="G3" s="23" t="s">
        <v>194</v>
      </c>
      <c r="H3" s="143">
        <v>520</v>
      </c>
      <c r="I3" s="143">
        <v>420</v>
      </c>
      <c r="J3" s="143">
        <v>320</v>
      </c>
      <c r="K3" s="143">
        <v>320</v>
      </c>
      <c r="L3" s="143">
        <v>0</v>
      </c>
      <c r="M3" s="143">
        <v>320</v>
      </c>
      <c r="N3" s="143">
        <v>123</v>
      </c>
      <c r="O3" s="144">
        <v>6</v>
      </c>
      <c r="P3" s="143">
        <v>360</v>
      </c>
      <c r="Q3" s="146">
        <v>150</v>
      </c>
      <c r="R3" s="147">
        <v>336</v>
      </c>
      <c r="S3" s="148">
        <v>0</v>
      </c>
      <c r="T3" s="148">
        <v>0</v>
      </c>
      <c r="U3" s="145">
        <v>30</v>
      </c>
      <c r="V3" s="147">
        <v>0</v>
      </c>
      <c r="W3" s="149">
        <v>0</v>
      </c>
      <c r="X3" s="89">
        <f t="shared" ref="X3" si="0">SUM(T3,V3,W3)</f>
        <v>0</v>
      </c>
      <c r="Y3" s="89">
        <f t="shared" ref="Y3" si="1">R3-X3</f>
        <v>336</v>
      </c>
      <c r="Z3" s="150">
        <v>1</v>
      </c>
      <c r="AA3" s="94">
        <f t="shared" ref="AA3" si="2">J3/I3</f>
        <v>0.76190476190476186</v>
      </c>
      <c r="AB3" s="94">
        <f t="shared" ref="AB3" si="3">J3/H3</f>
        <v>0.61538461538461542</v>
      </c>
      <c r="AC3" s="94">
        <f t="shared" ref="AC3" si="4">P3/(O3*D3)</f>
        <v>15</v>
      </c>
      <c r="AD3" s="94">
        <f t="shared" ref="AD3" si="5">Y3/R3</f>
        <v>1</v>
      </c>
      <c r="AE3" s="151">
        <v>8400</v>
      </c>
      <c r="AF3" s="143"/>
      <c r="AG3" s="143">
        <v>10</v>
      </c>
    </row>
    <row r="4" spans="1:33">
      <c r="A4" s="142" t="s">
        <v>103</v>
      </c>
      <c r="B4" s="143">
        <v>20.3</v>
      </c>
      <c r="C4" s="143" t="s">
        <v>202</v>
      </c>
      <c r="D4" s="143">
        <v>4</v>
      </c>
      <c r="E4" s="152">
        <v>44958</v>
      </c>
      <c r="F4" s="152">
        <v>44985</v>
      </c>
      <c r="G4" s="23" t="s">
        <v>202</v>
      </c>
      <c r="H4" s="143">
        <v>520</v>
      </c>
      <c r="I4" s="143">
        <v>464</v>
      </c>
      <c r="J4" s="143">
        <v>340</v>
      </c>
      <c r="K4" s="143">
        <v>340</v>
      </c>
      <c r="L4" s="143">
        <v>0</v>
      </c>
      <c r="M4" s="143">
        <v>340</v>
      </c>
      <c r="N4" s="143">
        <v>240</v>
      </c>
      <c r="O4" s="144">
        <v>6</v>
      </c>
      <c r="P4" s="143">
        <v>340</v>
      </c>
      <c r="Q4" s="146">
        <v>150</v>
      </c>
      <c r="R4" s="147">
        <v>336</v>
      </c>
      <c r="S4" s="148">
        <v>0</v>
      </c>
      <c r="T4" s="148">
        <v>0</v>
      </c>
      <c r="U4" s="145">
        <v>154</v>
      </c>
      <c r="V4" s="147">
        <v>0</v>
      </c>
      <c r="W4" s="149">
        <v>0</v>
      </c>
      <c r="X4" s="89">
        <f t="shared" ref="X4" si="6">SUM(T4,V4,W4)</f>
        <v>0</v>
      </c>
      <c r="Y4" s="89">
        <f t="shared" ref="Y4" si="7">R4-X4</f>
        <v>336</v>
      </c>
      <c r="Z4" s="150">
        <v>1</v>
      </c>
      <c r="AA4" s="94">
        <f t="shared" ref="AA4" si="8">J4/I4</f>
        <v>0.73275862068965514</v>
      </c>
      <c r="AB4" s="94">
        <f t="shared" ref="AB4" si="9">J4/H4</f>
        <v>0.65384615384615385</v>
      </c>
      <c r="AC4" s="94">
        <f t="shared" ref="AC4" si="10">P4/(O4*D4)</f>
        <v>14.166666666666666</v>
      </c>
      <c r="AD4" s="94">
        <f t="shared" ref="AD4" si="11">Y4/R4</f>
        <v>1</v>
      </c>
      <c r="AE4" s="151">
        <v>8400</v>
      </c>
      <c r="AF4" s="143"/>
      <c r="AG4" s="143">
        <v>10</v>
      </c>
    </row>
    <row r="5" spans="1:33" s="66" customFormat="1">
      <c r="A5" s="71" t="s">
        <v>103</v>
      </c>
      <c r="B5" s="71" t="s">
        <v>90</v>
      </c>
      <c r="C5" s="71" t="s">
        <v>90</v>
      </c>
      <c r="D5" s="71">
        <f ca="1">SUM(D3:INDIRECT("C"&amp;ROW()-1))</f>
        <v>8</v>
      </c>
      <c r="E5" s="71"/>
      <c r="F5" s="71"/>
      <c r="G5" s="71"/>
      <c r="H5" s="71">
        <f ca="1">INDIRECT("H"&amp;ROW()-1)</f>
        <v>520</v>
      </c>
      <c r="I5" s="71">
        <f ca="1">INDIRECT("I"&amp;ROW()-1)</f>
        <v>464</v>
      </c>
      <c r="J5" s="71">
        <f ca="1">INDIRECT("J"&amp;ROW()-1)</f>
        <v>340</v>
      </c>
      <c r="K5" s="71">
        <f ca="1">INDIRECT("K"&amp;ROW()-1)</f>
        <v>340</v>
      </c>
      <c r="L5" s="71">
        <f ca="1">INDIRECT("L"&amp;ROW()-1)</f>
        <v>0</v>
      </c>
      <c r="M5" s="71">
        <f ca="1">SUM(M3:INDIRECT("M"&amp;ROW()-1))</f>
        <v>660</v>
      </c>
      <c r="N5" s="71">
        <f ca="1">SUM(N3:INDIRECT("N"&amp;ROW()-1))</f>
        <v>363</v>
      </c>
      <c r="O5" s="71">
        <f ca="1">INDIRECT("O"&amp;ROW()-1)</f>
        <v>6</v>
      </c>
      <c r="P5" s="71">
        <f ca="1">SUM(P3:INDIRECT("P"&amp;ROW()-1))</f>
        <v>700</v>
      </c>
      <c r="Q5" s="71">
        <v>72</v>
      </c>
      <c r="R5" s="88">
        <f ca="1">SUM(R3:INDIRECT("R"&amp;ROW()-1))</f>
        <v>672</v>
      </c>
      <c r="S5" s="71">
        <f ca="1">SUM(S3:INDIRECT("S"&amp;ROW()-1))</f>
        <v>0</v>
      </c>
      <c r="T5" s="71">
        <f ca="1">SUM(T3:INDIRECT("T"&amp;ROW()-1))</f>
        <v>0</v>
      </c>
      <c r="U5" s="71">
        <f ca="1">SUM(U3:INDIRECT("U"&amp;ROW()-1))</f>
        <v>184</v>
      </c>
      <c r="V5" s="71">
        <f ca="1">SUM(V3:INDIRECT("V"&amp;ROW()-1))</f>
        <v>0</v>
      </c>
      <c r="W5" s="71">
        <f ca="1">SUM(W3:INDIRECT("W"&amp;ROW()-1))</f>
        <v>0</v>
      </c>
      <c r="X5" s="71">
        <f ca="1">SUM(X3:INDIRECT("X"&amp;ROW()-1))</f>
        <v>0</v>
      </c>
      <c r="Y5" s="88">
        <f ca="1">SUM(Y3:INDIRECT("Y"&amp;ROW()-1))</f>
        <v>672</v>
      </c>
      <c r="Z5" s="71">
        <f ca="1">SUM(Z3:INDIRECT("z"&amp;ROW()-1))</f>
        <v>2</v>
      </c>
      <c r="AA5" s="92">
        <f t="shared" ref="AA5" ca="1" si="12">J5/I5</f>
        <v>0.73275862068965514</v>
      </c>
      <c r="AB5" s="92">
        <f t="shared" ref="AB5" ca="1" si="13">J5/H5</f>
        <v>0.65384615384615385</v>
      </c>
      <c r="AC5" s="92">
        <f ca="1">IFERROR(P5/(O5*D5),0)</f>
        <v>14.583333333333334</v>
      </c>
      <c r="AD5" s="95">
        <f ca="1">IFERROR(Y5/R5,0)</f>
        <v>1</v>
      </c>
      <c r="AE5" s="93">
        <f ca="1">SUM(AE3:INDIRECT("AF"&amp;ROW()-1))</f>
        <v>16800</v>
      </c>
      <c r="AF5" s="71"/>
      <c r="AG5" s="71"/>
    </row>
    <row r="6" spans="1:33" s="66" customFormat="1"/>
    <row r="7" spans="1:33" s="66" customFormat="1">
      <c r="A7" s="72"/>
      <c r="B7" s="73"/>
      <c r="C7" s="73"/>
      <c r="E7" s="66">
        <v>11</v>
      </c>
      <c r="I7" s="85"/>
      <c r="N7" s="85"/>
      <c r="Q7" s="75"/>
      <c r="S7" s="85"/>
      <c r="T7" s="85"/>
      <c r="U7" s="85"/>
      <c r="V7" s="85"/>
      <c r="AC7" s="86"/>
    </row>
    <row r="8" spans="1:33" s="66" customFormat="1">
      <c r="A8" s="72"/>
      <c r="B8" s="73"/>
      <c r="C8" s="73"/>
      <c r="I8" s="85"/>
      <c r="Q8" s="75"/>
      <c r="R8" s="85"/>
      <c r="S8" s="85"/>
      <c r="T8" s="85"/>
      <c r="AC8" s="86"/>
    </row>
    <row r="9" spans="1:33" s="66" customFormat="1">
      <c r="A9" s="72"/>
      <c r="B9" s="73"/>
      <c r="C9" s="73"/>
      <c r="Q9" s="75"/>
      <c r="R9" s="85"/>
      <c r="AC9" s="86"/>
    </row>
    <row r="10" spans="1:33" s="66" customFormat="1">
      <c r="A10" s="72" t="s">
        <v>91</v>
      </c>
      <c r="B10" s="73">
        <v>25</v>
      </c>
      <c r="C10" s="73"/>
      <c r="I10" s="85"/>
      <c r="P10" s="86"/>
      <c r="Q10" s="75"/>
      <c r="R10" s="85"/>
      <c r="T10" s="85"/>
      <c r="AC10" s="86"/>
    </row>
    <row r="11" spans="1:33">
      <c r="A11" s="72" t="s">
        <v>92</v>
      </c>
      <c r="B11" s="74">
        <v>8</v>
      </c>
      <c r="C11" s="74"/>
      <c r="D11" s="66"/>
      <c r="E11" s="66"/>
      <c r="F11" s="66"/>
      <c r="G11" s="66"/>
      <c r="H11" s="66"/>
      <c r="I11" s="66"/>
      <c r="J11" s="86"/>
      <c r="K11" s="86"/>
      <c r="L11" s="66"/>
      <c r="M11" s="66"/>
      <c r="N11" s="66"/>
      <c r="O11" s="66"/>
      <c r="P11" s="66"/>
      <c r="Q11" s="75"/>
      <c r="R11" s="85"/>
      <c r="S11" s="66"/>
      <c r="T11" s="85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</row>
    <row r="43" spans="14:33">
      <c r="N43" s="177" t="s">
        <v>22</v>
      </c>
      <c r="O43" s="177" t="s">
        <v>82</v>
      </c>
      <c r="P43" s="177" t="s">
        <v>60</v>
      </c>
      <c r="Q43" s="177" t="s">
        <v>85</v>
      </c>
      <c r="R43" s="177" t="s">
        <v>74</v>
      </c>
      <c r="S43" s="177" t="s">
        <v>75</v>
      </c>
      <c r="T43" s="178"/>
      <c r="AG43" s="75"/>
    </row>
    <row r="44" spans="14:33">
      <c r="N44" s="177"/>
      <c r="O44" s="177"/>
      <c r="P44" s="177"/>
      <c r="Q44" s="177"/>
      <c r="R44" s="177"/>
      <c r="S44" s="177"/>
      <c r="T44" s="178"/>
      <c r="AG44" s="75"/>
    </row>
    <row r="45" spans="14:33">
      <c r="N45" s="69" t="s">
        <v>103</v>
      </c>
      <c r="O45" s="70" t="s">
        <v>36</v>
      </c>
      <c r="P45" s="87">
        <f>SUMIFS(R3,G3,O45)</f>
        <v>0</v>
      </c>
      <c r="Q45" s="87">
        <f>SUMIFS(Y3,G3,O45)</f>
        <v>0</v>
      </c>
      <c r="R45" s="90">
        <f t="shared" ref="R45" si="14">IFERROR(Q45/P45,0)</f>
        <v>0</v>
      </c>
      <c r="S45" s="91">
        <f>SUMIFS(AE3,G3,O45)</f>
        <v>0</v>
      </c>
      <c r="T45" s="80"/>
      <c r="AG45" s="77"/>
    </row>
    <row r="46" spans="14:33">
      <c r="N46" s="69" t="s">
        <v>103</v>
      </c>
      <c r="O46" s="70" t="s">
        <v>37</v>
      </c>
      <c r="P46" s="87">
        <f>SUMIFS(R3:R3,G3:G3,O46)</f>
        <v>0</v>
      </c>
      <c r="Q46" s="87">
        <f>SUMIFS(Y3:Y3,G3:G3,O46)</f>
        <v>0</v>
      </c>
      <c r="R46" s="90">
        <f t="shared" ref="R46" si="15">IFERROR(Q46/P46,0)</f>
        <v>0</v>
      </c>
      <c r="S46" s="91">
        <f>SUMIFS(AE3:AE3,G3:G3,O46)</f>
        <v>0</v>
      </c>
      <c r="T46" s="80"/>
      <c r="AG46" s="77"/>
    </row>
    <row r="47" spans="14:33">
      <c r="N47" s="69" t="s">
        <v>103</v>
      </c>
      <c r="O47" s="70" t="s">
        <v>26</v>
      </c>
      <c r="P47" s="87">
        <f>SUMIFS(R5:R5,G5:G5,O47)</f>
        <v>0</v>
      </c>
      <c r="Q47" s="87">
        <f>SUMIFS(Y5:Y5,G5:G5,O47)</f>
        <v>0</v>
      </c>
      <c r="R47" s="90">
        <f t="shared" ref="R47:R49" si="16">IFERROR(Q47/P47,0)</f>
        <v>0</v>
      </c>
      <c r="S47" s="91">
        <f>SUMIFS(AE5:AE5,G5:G5,O47)</f>
        <v>0</v>
      </c>
      <c r="T47" s="80"/>
      <c r="AG47" s="77"/>
    </row>
    <row r="48" spans="14:33">
      <c r="N48" s="69" t="s">
        <v>103</v>
      </c>
      <c r="O48" s="70" t="s">
        <v>27</v>
      </c>
      <c r="P48" s="87">
        <f>SUMIFS(R5:R6,G5:G6,O48)</f>
        <v>0</v>
      </c>
      <c r="Q48" s="87">
        <f>SUMIFS(Y5:Y6,G5:G6,O48)</f>
        <v>0</v>
      </c>
      <c r="R48" s="90">
        <f t="shared" si="16"/>
        <v>0</v>
      </c>
      <c r="S48" s="91">
        <f>SUMIFS(AE5:AE6,G5:G6,O48)</f>
        <v>0</v>
      </c>
      <c r="T48" s="80"/>
      <c r="AG48" s="77"/>
    </row>
    <row r="49" spans="1:33">
      <c r="N49" s="69" t="s">
        <v>103</v>
      </c>
      <c r="O49" s="70" t="s">
        <v>28</v>
      </c>
      <c r="P49" s="87">
        <f>SUMIFS(R5:R7,G5:G7,O49)</f>
        <v>0</v>
      </c>
      <c r="Q49" s="87">
        <f>SUMIFS(Y5:Y7,G5:G7,O49)</f>
        <v>0</v>
      </c>
      <c r="R49" s="90">
        <f t="shared" si="16"/>
        <v>0</v>
      </c>
      <c r="S49" s="91">
        <f>SUMIFS(AE5:AE7,G5:G7,O49)</f>
        <v>0</v>
      </c>
      <c r="T49" s="80"/>
      <c r="AG49" s="77"/>
    </row>
    <row r="50" spans="1:33">
      <c r="N50" s="71" t="s">
        <v>103</v>
      </c>
      <c r="O50" s="71"/>
      <c r="P50" s="88">
        <f>SUM(P45:P49)</f>
        <v>0</v>
      </c>
      <c r="Q50" s="88">
        <f>SUM(Q45:Q49)</f>
        <v>0</v>
      </c>
      <c r="R50" s="92" t="e">
        <f>Q50/P50</f>
        <v>#DIV/0!</v>
      </c>
      <c r="S50" s="93">
        <f>SUM(S45:S49)</f>
        <v>0</v>
      </c>
      <c r="T50" s="80"/>
      <c r="AG50" s="77"/>
    </row>
    <row r="51" spans="1:33">
      <c r="T51" s="80"/>
      <c r="AG51" s="77"/>
    </row>
    <row r="52" spans="1:33">
      <c r="A52" s="178"/>
      <c r="B52" s="178"/>
      <c r="C52" s="75"/>
      <c r="D52" s="178"/>
      <c r="E52" s="178"/>
      <c r="F52" s="178"/>
      <c r="G52" s="178"/>
      <c r="T52" s="80"/>
      <c r="AG52" s="77"/>
    </row>
    <row r="53" spans="1:33">
      <c r="A53" s="178"/>
      <c r="B53" s="178"/>
      <c r="C53" s="75"/>
      <c r="D53" s="178"/>
      <c r="E53" s="178"/>
      <c r="F53" s="178"/>
      <c r="G53" s="178"/>
      <c r="T53" s="80"/>
      <c r="AG53" s="77"/>
    </row>
    <row r="54" spans="1:33">
      <c r="A54" s="76"/>
      <c r="B54" s="77"/>
      <c r="C54" s="77"/>
      <c r="D54" s="78"/>
      <c r="E54" s="78"/>
      <c r="F54" s="79"/>
      <c r="G54" s="80"/>
      <c r="T54" s="80"/>
      <c r="AG54" s="77"/>
    </row>
    <row r="55" spans="1:33">
      <c r="A55" s="76"/>
      <c r="B55" s="77"/>
      <c r="C55" s="77"/>
      <c r="D55" s="78"/>
      <c r="E55" s="78"/>
      <c r="F55" s="79"/>
      <c r="G55" s="80"/>
      <c r="T55" s="80"/>
      <c r="AG55" s="77"/>
    </row>
    <row r="56" spans="1:33">
      <c r="A56" s="76"/>
      <c r="B56" s="77"/>
      <c r="C56" s="77"/>
      <c r="D56" s="78"/>
      <c r="E56" s="78"/>
      <c r="F56" s="79"/>
      <c r="G56" s="80"/>
      <c r="T56" s="80"/>
      <c r="AG56" s="77"/>
    </row>
    <row r="57" spans="1:33">
      <c r="A57" s="76"/>
      <c r="B57" s="77"/>
      <c r="C57" s="77"/>
      <c r="D57" s="78"/>
      <c r="E57" s="78"/>
      <c r="F57" s="79"/>
      <c r="G57" s="80"/>
      <c r="T57" s="84"/>
      <c r="AG57" s="75"/>
    </row>
    <row r="58" spans="1:33">
      <c r="A58" s="76"/>
      <c r="B58" s="77"/>
      <c r="C58" s="77"/>
      <c r="D58" s="78"/>
      <c r="E58" s="78"/>
      <c r="F58" s="79"/>
      <c r="G58" s="80"/>
    </row>
    <row r="59" spans="1:33">
      <c r="A59" s="81"/>
      <c r="B59" s="81"/>
      <c r="C59" s="81"/>
      <c r="D59" s="82"/>
      <c r="E59" s="82"/>
      <c r="F59" s="83"/>
      <c r="G59" s="84"/>
    </row>
    <row r="60" spans="1:33">
      <c r="A60" s="72" t="s">
        <v>91</v>
      </c>
      <c r="B60" s="73">
        <v>25</v>
      </c>
      <c r="C60" s="73"/>
      <c r="D60" s="66"/>
      <c r="E60" s="66"/>
      <c r="F60" s="66"/>
      <c r="G60" s="66"/>
    </row>
  </sheetData>
  <mergeCells count="40">
    <mergeCell ref="Z1:Z2"/>
    <mergeCell ref="AF1:AF2"/>
    <mergeCell ref="AG1:AG2"/>
    <mergeCell ref="T43:T44"/>
    <mergeCell ref="V1:V2"/>
    <mergeCell ref="W1:W2"/>
    <mergeCell ref="X1:X2"/>
    <mergeCell ref="Y1:Y2"/>
    <mergeCell ref="AA1:AE1"/>
    <mergeCell ref="Q1:Q2"/>
    <mergeCell ref="Q43:Q44"/>
    <mergeCell ref="R1:R2"/>
    <mergeCell ref="R43:R44"/>
    <mergeCell ref="S43:S44"/>
    <mergeCell ref="S1:U1"/>
    <mergeCell ref="N1:N2"/>
    <mergeCell ref="N43:N44"/>
    <mergeCell ref="O1:O2"/>
    <mergeCell ref="O43:O44"/>
    <mergeCell ref="P1:P2"/>
    <mergeCell ref="P43:P44"/>
    <mergeCell ref="I1:I2"/>
    <mergeCell ref="J1:J2"/>
    <mergeCell ref="K1:K2"/>
    <mergeCell ref="L1:L2"/>
    <mergeCell ref="M1:M2"/>
    <mergeCell ref="A1:A2"/>
    <mergeCell ref="A52:A53"/>
    <mergeCell ref="B1:B2"/>
    <mergeCell ref="B52:B53"/>
    <mergeCell ref="C1:C2"/>
    <mergeCell ref="G1:G2"/>
    <mergeCell ref="G52:G53"/>
    <mergeCell ref="H1:H2"/>
    <mergeCell ref="D1:D2"/>
    <mergeCell ref="D52:D53"/>
    <mergeCell ref="E1:E2"/>
    <mergeCell ref="E52:E53"/>
    <mergeCell ref="F1:F2"/>
    <mergeCell ref="F52:F53"/>
  </mergeCells>
  <pageMargins left="0.7" right="0.7" top="0.75" bottom="0.75" header="0.3" footer="0.3"/>
  <pageSetup orientation="portrait"/>
  <headerFooter>
    <oddFooter>&amp;CNBCU Internal</oddFooter>
  </headerFooter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AG60"/>
  <sheetViews>
    <sheetView topLeftCell="N1" zoomScale="172" workbookViewId="0">
      <selection activeCell="P4" sqref="P4"/>
    </sheetView>
  </sheetViews>
  <sheetFormatPr defaultColWidth="8.81640625" defaultRowHeight="14.5"/>
  <cols>
    <col min="1" max="1" width="14.81640625" style="3" customWidth="1"/>
    <col min="2" max="3" width="14.453125" style="3" customWidth="1"/>
    <col min="4" max="4" width="5.453125" style="3" customWidth="1"/>
    <col min="5" max="6" width="9" style="3" customWidth="1"/>
    <col min="7" max="7" width="8.81640625" style="3" customWidth="1"/>
    <col min="8" max="8" width="19.453125" style="3" customWidth="1"/>
    <col min="9" max="9" width="19.81640625" style="3" customWidth="1"/>
    <col min="10" max="10" width="11.453125" style="3" customWidth="1"/>
    <col min="11" max="11" width="13.1796875" style="3" customWidth="1"/>
    <col min="12" max="12" width="11.1796875" style="3" customWidth="1"/>
    <col min="13" max="13" width="13.1796875" style="3" customWidth="1"/>
    <col min="14" max="14" width="16.1796875" style="3" customWidth="1"/>
    <col min="15" max="15" width="13.81640625" style="3" customWidth="1"/>
    <col min="16" max="16" width="22.453125" style="3" customWidth="1"/>
    <col min="17" max="18" width="19.453125" style="3" customWidth="1"/>
    <col min="19" max="19" width="12.1796875" style="3" customWidth="1"/>
    <col min="20" max="20" width="17.453125" style="3" customWidth="1"/>
    <col min="21" max="21" width="9.81640625" style="3" customWidth="1"/>
    <col min="22" max="22" width="18" style="3" customWidth="1"/>
    <col min="23" max="23" width="19.1796875" style="3" customWidth="1"/>
    <col min="24" max="24" width="13.453125" style="3" customWidth="1"/>
    <col min="25" max="25" width="10.1796875" style="3" customWidth="1"/>
    <col min="26" max="26" width="18.1796875" style="3" customWidth="1"/>
    <col min="27" max="27" width="17.7265625" style="3" customWidth="1"/>
    <col min="28" max="28" width="15.1796875" style="3" customWidth="1"/>
    <col min="29" max="29" width="18" style="3" customWidth="1"/>
    <col min="30" max="30" width="12.1796875" style="3" customWidth="1"/>
    <col min="31" max="31" width="11.453125" style="3" customWidth="1"/>
    <col min="32" max="32" width="6.453125" style="3" customWidth="1"/>
    <col min="33" max="33" width="9.1796875" style="3" customWidth="1"/>
    <col min="34" max="16384" width="8.81640625" style="3"/>
  </cols>
  <sheetData>
    <row r="1" spans="1:33" s="1" customFormat="1" ht="33" customHeight="1">
      <c r="A1" s="172" t="s">
        <v>22</v>
      </c>
      <c r="B1" s="172" t="s">
        <v>47</v>
      </c>
      <c r="C1" s="172" t="s">
        <v>48</v>
      </c>
      <c r="D1" s="172" t="s">
        <v>79</v>
      </c>
      <c r="E1" s="172" t="s">
        <v>80</v>
      </c>
      <c r="F1" s="172" t="s">
        <v>81</v>
      </c>
      <c r="G1" s="172" t="s">
        <v>82</v>
      </c>
      <c r="H1" s="172" t="s">
        <v>50</v>
      </c>
      <c r="I1" s="172" t="s">
        <v>51</v>
      </c>
      <c r="J1" s="172" t="s">
        <v>53</v>
      </c>
      <c r="K1" s="172" t="s">
        <v>54</v>
      </c>
      <c r="L1" s="172" t="s">
        <v>94</v>
      </c>
      <c r="M1" s="172" t="s">
        <v>56</v>
      </c>
      <c r="N1" s="175" t="s">
        <v>57</v>
      </c>
      <c r="O1" s="172" t="s">
        <v>58</v>
      </c>
      <c r="P1" s="172" t="s">
        <v>83</v>
      </c>
      <c r="Q1" s="172" t="s">
        <v>84</v>
      </c>
      <c r="R1" s="172" t="s">
        <v>60</v>
      </c>
      <c r="S1" s="172" t="s">
        <v>61</v>
      </c>
      <c r="T1" s="172"/>
      <c r="U1" s="172"/>
      <c r="V1" s="172" t="s">
        <v>62</v>
      </c>
      <c r="W1" s="172" t="s">
        <v>63</v>
      </c>
      <c r="X1" s="172" t="s">
        <v>64</v>
      </c>
      <c r="Y1" s="172" t="s">
        <v>85</v>
      </c>
      <c r="Z1" s="172" t="s">
        <v>66</v>
      </c>
      <c r="AA1" s="172" t="s">
        <v>67</v>
      </c>
      <c r="AB1" s="172"/>
      <c r="AC1" s="172"/>
      <c r="AD1" s="172"/>
      <c r="AE1" s="172"/>
      <c r="AF1" s="172" t="s">
        <v>3</v>
      </c>
      <c r="AG1" s="172" t="s">
        <v>86</v>
      </c>
    </row>
    <row r="2" spans="1:33" s="1" customFormat="1" ht="55.5" customHeigh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6"/>
      <c r="O2" s="172"/>
      <c r="P2" s="172"/>
      <c r="Q2" s="172"/>
      <c r="R2" s="172"/>
      <c r="S2" s="4" t="s">
        <v>68</v>
      </c>
      <c r="T2" s="4" t="s">
        <v>69</v>
      </c>
      <c r="U2" s="4" t="s">
        <v>70</v>
      </c>
      <c r="V2" s="172"/>
      <c r="W2" s="172"/>
      <c r="X2" s="172"/>
      <c r="Y2" s="172"/>
      <c r="Z2" s="172"/>
      <c r="AA2" s="4" t="s">
        <v>96</v>
      </c>
      <c r="AB2" s="4" t="s">
        <v>97</v>
      </c>
      <c r="AC2" s="4" t="s">
        <v>73</v>
      </c>
      <c r="AD2" s="4" t="s">
        <v>74</v>
      </c>
      <c r="AE2" s="4" t="s">
        <v>75</v>
      </c>
      <c r="AF2" s="172"/>
      <c r="AG2" s="172"/>
    </row>
    <row r="3" spans="1:33">
      <c r="A3" s="42" t="s">
        <v>104</v>
      </c>
      <c r="B3" s="143">
        <v>23.1</v>
      </c>
      <c r="C3" s="143" t="s">
        <v>194</v>
      </c>
      <c r="D3" s="143">
        <v>4</v>
      </c>
      <c r="E3" s="152">
        <v>44928</v>
      </c>
      <c r="F3" s="152">
        <v>44957</v>
      </c>
      <c r="G3" s="23" t="s">
        <v>194</v>
      </c>
      <c r="H3" s="23">
        <v>2584</v>
      </c>
      <c r="I3" s="23">
        <v>2584</v>
      </c>
      <c r="J3" s="23">
        <v>2584</v>
      </c>
      <c r="K3" s="24">
        <v>0</v>
      </c>
      <c r="L3" s="23">
        <v>0</v>
      </c>
      <c r="M3" s="23">
        <v>0</v>
      </c>
      <c r="N3" s="23">
        <v>64</v>
      </c>
      <c r="O3" s="24">
        <v>2584</v>
      </c>
      <c r="P3" s="23">
        <v>524</v>
      </c>
      <c r="Q3" s="28">
        <v>0</v>
      </c>
      <c r="R3" s="29">
        <f t="shared" ref="R3:R4" si="0">($P3/$AG3)*8</f>
        <v>419.2</v>
      </c>
      <c r="S3" s="30">
        <v>0</v>
      </c>
      <c r="T3" s="30">
        <v>16</v>
      </c>
      <c r="U3" s="26">
        <v>0</v>
      </c>
      <c r="V3" s="29">
        <v>0</v>
      </c>
      <c r="W3" s="31">
        <v>0</v>
      </c>
      <c r="X3" s="29">
        <f t="shared" ref="X3" si="1">SUM(T3,V3,W3)</f>
        <v>16</v>
      </c>
      <c r="Y3" s="29">
        <f t="shared" ref="Y3" si="2">R3-X3</f>
        <v>403.2</v>
      </c>
      <c r="Z3" s="36">
        <v>0</v>
      </c>
      <c r="AA3" s="37">
        <f t="shared" ref="AA3" si="3">J3/I3</f>
        <v>1</v>
      </c>
      <c r="AB3" s="37">
        <f t="shared" ref="AB3" si="4">J3/H3</f>
        <v>1</v>
      </c>
      <c r="AC3" s="37">
        <f t="shared" ref="AC3" si="5">P3/(O3*D3)</f>
        <v>5.0696594427244585E-2</v>
      </c>
      <c r="AD3" s="37">
        <f t="shared" ref="AD3" si="6">Y3/R3</f>
        <v>0.96183206106870234</v>
      </c>
      <c r="AE3" s="38">
        <f>Y3*$B$10</f>
        <v>10080</v>
      </c>
      <c r="AF3" s="23"/>
      <c r="AG3" s="23">
        <v>10</v>
      </c>
    </row>
    <row r="4" spans="1:33">
      <c r="A4" s="42" t="s">
        <v>104</v>
      </c>
      <c r="B4" s="143">
        <v>23.2</v>
      </c>
      <c r="C4" s="143" t="s">
        <v>202</v>
      </c>
      <c r="D4" s="143">
        <v>4</v>
      </c>
      <c r="E4" s="152">
        <v>44958</v>
      </c>
      <c r="F4" s="152">
        <v>44985</v>
      </c>
      <c r="G4" s="23" t="s">
        <v>202</v>
      </c>
      <c r="H4" s="23">
        <v>2584</v>
      </c>
      <c r="I4" s="23">
        <v>2584</v>
      </c>
      <c r="J4" s="23">
        <v>2584</v>
      </c>
      <c r="K4" s="24">
        <v>0</v>
      </c>
      <c r="L4" s="23">
        <v>0</v>
      </c>
      <c r="M4" s="23">
        <v>0</v>
      </c>
      <c r="N4" s="23">
        <v>52</v>
      </c>
      <c r="O4" s="24">
        <v>2584</v>
      </c>
      <c r="P4" s="23">
        <v>623</v>
      </c>
      <c r="Q4" s="28">
        <v>0</v>
      </c>
      <c r="R4" s="29">
        <f t="shared" si="0"/>
        <v>498.4</v>
      </c>
      <c r="S4" s="30">
        <v>0</v>
      </c>
      <c r="T4" s="30">
        <v>16</v>
      </c>
      <c r="U4" s="26">
        <v>0</v>
      </c>
      <c r="V4" s="29">
        <v>0</v>
      </c>
      <c r="W4" s="31">
        <v>0</v>
      </c>
      <c r="X4" s="29">
        <f t="shared" ref="X4" si="7">SUM(T4,V4,W4)</f>
        <v>16</v>
      </c>
      <c r="Y4" s="29">
        <f t="shared" ref="Y4" si="8">R4-X4</f>
        <v>482.4</v>
      </c>
      <c r="Z4" s="36">
        <v>0</v>
      </c>
      <c r="AA4" s="37">
        <f t="shared" ref="AA4" si="9">J4/I4</f>
        <v>1</v>
      </c>
      <c r="AB4" s="37">
        <f t="shared" ref="AB4" si="10">J4/H4</f>
        <v>1</v>
      </c>
      <c r="AC4" s="37">
        <f t="shared" ref="AC4" si="11">P4/(O4*D4)</f>
        <v>6.0274767801857587E-2</v>
      </c>
      <c r="AD4" s="37">
        <f t="shared" ref="AD4" si="12">Y4/R4</f>
        <v>0.9678972712680578</v>
      </c>
      <c r="AE4" s="38">
        <f>Y4*$B$10</f>
        <v>12060</v>
      </c>
      <c r="AF4" s="23"/>
      <c r="AG4" s="23">
        <v>10</v>
      </c>
    </row>
    <row r="5" spans="1:33" s="2" customFormat="1">
      <c r="A5" s="8" t="s">
        <v>104</v>
      </c>
      <c r="B5" s="9" t="s">
        <v>90</v>
      </c>
      <c r="C5" s="9" t="s">
        <v>90</v>
      </c>
      <c r="D5" s="9">
        <f ca="1">SUM(D2:INDIRECT("D"&amp;ROW()-1))</f>
        <v>8</v>
      </c>
      <c r="E5" s="9"/>
      <c r="F5" s="9"/>
      <c r="G5" s="9"/>
      <c r="H5" s="9">
        <f ca="1">INDIRECT("H"&amp;ROW()-1)</f>
        <v>2584</v>
      </c>
      <c r="I5" s="9">
        <f ca="1">INDIRECT("I"&amp;ROW()-1)</f>
        <v>2584</v>
      </c>
      <c r="J5" s="9">
        <f ca="1">INDIRECT("J"&amp;ROW()-1)</f>
        <v>2584</v>
      </c>
      <c r="K5" s="9">
        <f ca="1">INDIRECT("K"&amp;ROW()-1)</f>
        <v>0</v>
      </c>
      <c r="L5" s="9">
        <f ca="1">INDIRECT("L"&amp;ROW()-1)</f>
        <v>0</v>
      </c>
      <c r="M5" s="9">
        <f ca="1">SUM(M2:INDIRECT("M"&amp;ROW()-1))</f>
        <v>0</v>
      </c>
      <c r="N5" s="9">
        <f ca="1">SUM(N2:INDIRECT("N"&amp;ROW()-1))</f>
        <v>116</v>
      </c>
      <c r="O5" s="9">
        <f ca="1">INDIRECT("O"&amp;ROW()-1)</f>
        <v>2584</v>
      </c>
      <c r="P5" s="9">
        <f ca="1">SUM(P2:INDIRECT("P"&amp;ROW()-1))</f>
        <v>1147</v>
      </c>
      <c r="Q5" s="9">
        <f ca="1">SUM(Q2:INDIRECT("Q"&amp;ROW()-1))</f>
        <v>0</v>
      </c>
      <c r="R5" s="27">
        <f ca="1">SUM(R2:INDIRECT("R"&amp;ROW()-1))</f>
        <v>917.59999999999991</v>
      </c>
      <c r="S5" s="27">
        <f ca="1">SUM(S3:INDIRECT("S"&amp;ROW()-1))</f>
        <v>0</v>
      </c>
      <c r="T5" s="27">
        <f ca="1">SUM(T3:INDIRECT("T"&amp;ROW()-1))</f>
        <v>32</v>
      </c>
      <c r="U5" s="27">
        <f ca="1">SUM(U3:INDIRECT("U"&amp;ROW()-1))</f>
        <v>0</v>
      </c>
      <c r="V5" s="9">
        <f ca="1">SUM(V3:INDIRECT("V"&amp;ROW()-1))</f>
        <v>0</v>
      </c>
      <c r="W5" s="9">
        <f ca="1">SUM(W3:INDIRECT("W"&amp;ROW()-1))</f>
        <v>0</v>
      </c>
      <c r="X5" s="9">
        <f ca="1">SUM(X3:INDIRECT("X"&amp;ROW()-1))</f>
        <v>32</v>
      </c>
      <c r="Y5" s="27">
        <f ca="1">SUM(Y3:INDIRECT("Y"&amp;ROW()-1))</f>
        <v>885.59999999999991</v>
      </c>
      <c r="Z5" s="9">
        <f ca="1">SUM(Z3:INDIRECT("z"&amp;ROW()-1))</f>
        <v>0</v>
      </c>
      <c r="AA5" s="34">
        <f t="shared" ref="AA5" ca="1" si="13">J5/I5</f>
        <v>1</v>
      </c>
      <c r="AB5" s="34">
        <f t="shared" ref="AB5" ca="1" si="14">J5/H5</f>
        <v>1</v>
      </c>
      <c r="AC5" s="34">
        <f ca="1">IFERROR(P5/(O5*D5),0)</f>
        <v>5.5485681114551086E-2</v>
      </c>
      <c r="AD5" s="39">
        <f ca="1">IFERROR(Y5/R5,0)</f>
        <v>0.96512641673931998</v>
      </c>
      <c r="AE5" s="35">
        <f ca="1">SUM(AE2:INDIRECT("AF"&amp;ROW()-1))</f>
        <v>22140</v>
      </c>
      <c r="AF5" s="9"/>
      <c r="AG5" s="9"/>
    </row>
    <row r="6" spans="1:33" s="2" customFormat="1"/>
    <row r="7" spans="1:33" s="2" customFormat="1">
      <c r="A7" s="10"/>
      <c r="B7" s="11"/>
      <c r="C7" s="11"/>
      <c r="E7" s="2">
        <v>11</v>
      </c>
      <c r="I7" s="45"/>
      <c r="N7" s="45"/>
      <c r="Q7" s="13"/>
      <c r="S7" s="45"/>
      <c r="T7" s="45"/>
      <c r="U7" s="45"/>
      <c r="AC7" s="25"/>
    </row>
    <row r="8" spans="1:33" s="2" customFormat="1">
      <c r="A8" s="10"/>
      <c r="B8" s="11"/>
      <c r="C8" s="11"/>
      <c r="I8" s="45"/>
      <c r="Q8" s="13"/>
      <c r="R8" s="45"/>
      <c r="S8" s="45"/>
      <c r="T8" s="45"/>
      <c r="AC8" s="25"/>
    </row>
    <row r="9" spans="1:33" s="2" customFormat="1">
      <c r="A9" s="10"/>
      <c r="B9" s="11"/>
      <c r="C9" s="11"/>
      <c r="Q9" s="13"/>
      <c r="R9" s="45"/>
      <c r="AC9" s="25"/>
    </row>
    <row r="10" spans="1:33" s="2" customFormat="1">
      <c r="A10" s="10" t="s">
        <v>91</v>
      </c>
      <c r="B10" s="11">
        <v>25</v>
      </c>
      <c r="C10" s="11"/>
      <c r="I10" s="45"/>
      <c r="P10" s="25"/>
      <c r="Q10" s="13"/>
      <c r="R10" s="45"/>
      <c r="AC10" s="25"/>
    </row>
    <row r="11" spans="1:33">
      <c r="A11" s="10" t="s">
        <v>92</v>
      </c>
      <c r="B11" s="12">
        <v>8</v>
      </c>
      <c r="C11" s="12"/>
      <c r="D11" s="2"/>
      <c r="E11" s="2"/>
      <c r="F11" s="2"/>
      <c r="G11" s="2"/>
      <c r="H11" s="2"/>
      <c r="I11" s="2"/>
      <c r="J11" s="25"/>
      <c r="K11" s="25"/>
      <c r="L11" s="2"/>
      <c r="M11" s="2"/>
      <c r="N11" s="2"/>
      <c r="O11" s="2"/>
      <c r="P11" s="2"/>
      <c r="Q11" s="13"/>
      <c r="R11" s="45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43" spans="14:33">
      <c r="N43" s="172" t="s">
        <v>22</v>
      </c>
      <c r="O43" s="172" t="s">
        <v>82</v>
      </c>
      <c r="P43" s="172" t="s">
        <v>60</v>
      </c>
      <c r="Q43" s="172" t="s">
        <v>85</v>
      </c>
      <c r="R43" s="172" t="s">
        <v>74</v>
      </c>
      <c r="S43" s="172" t="s">
        <v>75</v>
      </c>
      <c r="T43" s="173"/>
      <c r="AG43" s="13"/>
    </row>
    <row r="44" spans="14:33">
      <c r="N44" s="172"/>
      <c r="O44" s="172"/>
      <c r="P44" s="172"/>
      <c r="Q44" s="172"/>
      <c r="R44" s="172"/>
      <c r="S44" s="172"/>
      <c r="T44" s="173"/>
      <c r="AG44" s="13"/>
    </row>
    <row r="45" spans="14:33">
      <c r="N45" s="23" t="s">
        <v>104</v>
      </c>
      <c r="O45" s="23" t="s">
        <v>26</v>
      </c>
      <c r="P45" s="26" t="e">
        <f>SUMIFS(#REF!,#REF!,O45)</f>
        <v>#REF!</v>
      </c>
      <c r="Q45" s="26" t="e">
        <f>SUMIFS(#REF!,#REF!,O45)</f>
        <v>#REF!</v>
      </c>
      <c r="R45" s="32">
        <f t="shared" ref="R45:R56" si="15">IFERROR(Q45/P45,0)</f>
        <v>0</v>
      </c>
      <c r="S45" s="33" t="e">
        <f>SUMIFS(#REF!,#REF!,O45)</f>
        <v>#REF!</v>
      </c>
      <c r="T45" s="18"/>
      <c r="AG45" s="15"/>
    </row>
    <row r="46" spans="14:33">
      <c r="N46" s="23" t="s">
        <v>104</v>
      </c>
      <c r="O46" s="23" t="s">
        <v>27</v>
      </c>
      <c r="P46" s="26" t="e">
        <f>SUMIFS(#REF!,#REF!,O46)</f>
        <v>#REF!</v>
      </c>
      <c r="Q46" s="26" t="e">
        <f>SUMIFS(#REF!,#REF!,O46)</f>
        <v>#REF!</v>
      </c>
      <c r="R46" s="32">
        <f t="shared" si="15"/>
        <v>0</v>
      </c>
      <c r="S46" s="33" t="e">
        <f>SUMIFS(#REF!,#REF!,O46)</f>
        <v>#REF!</v>
      </c>
      <c r="T46" s="18"/>
      <c r="AG46" s="15"/>
    </row>
    <row r="47" spans="14:33">
      <c r="N47" s="23" t="s">
        <v>104</v>
      </c>
      <c r="O47" s="23" t="s">
        <v>28</v>
      </c>
      <c r="P47" s="26" t="e">
        <f>SUMIFS(#REF!,#REF!,O47)</f>
        <v>#REF!</v>
      </c>
      <c r="Q47" s="26" t="e">
        <f>SUMIFS(#REF!,#REF!,O47)</f>
        <v>#REF!</v>
      </c>
      <c r="R47" s="32">
        <f t="shared" si="15"/>
        <v>0</v>
      </c>
      <c r="S47" s="33" t="e">
        <f>SUMIFS(#REF!,#REF!,O47)</f>
        <v>#REF!</v>
      </c>
      <c r="T47" s="18"/>
      <c r="AG47" s="15"/>
    </row>
    <row r="48" spans="14:33">
      <c r="N48" s="23" t="s">
        <v>104</v>
      </c>
      <c r="O48" s="23" t="s">
        <v>29</v>
      </c>
      <c r="P48" s="26" t="e">
        <f>SUMIFS(#REF!,#REF!,O48)</f>
        <v>#REF!</v>
      </c>
      <c r="Q48" s="26" t="e">
        <f>SUMIFS(#REF!,#REF!,O48)</f>
        <v>#REF!</v>
      </c>
      <c r="R48" s="32">
        <f t="shared" si="15"/>
        <v>0</v>
      </c>
      <c r="S48" s="33" t="e">
        <f>SUMIFS(#REF!,#REF!,O48)</f>
        <v>#REF!</v>
      </c>
      <c r="T48" s="18"/>
      <c r="AG48" s="15"/>
    </row>
    <row r="49" spans="1:33">
      <c r="N49" s="23" t="s">
        <v>104</v>
      </c>
      <c r="O49" s="23" t="s">
        <v>30</v>
      </c>
      <c r="P49" s="26" t="e">
        <f>SUMIFS(#REF!,#REF!,O49)</f>
        <v>#REF!</v>
      </c>
      <c r="Q49" s="26" t="e">
        <f>SUMIFS(#REF!,#REF!,O49)</f>
        <v>#REF!</v>
      </c>
      <c r="R49" s="32">
        <f t="shared" si="15"/>
        <v>0</v>
      </c>
      <c r="S49" s="33" t="e">
        <f>SUMIFS(#REF!,#REF!,O49)</f>
        <v>#REF!</v>
      </c>
      <c r="T49" s="18"/>
      <c r="AG49" s="15"/>
    </row>
    <row r="50" spans="1:33">
      <c r="N50" s="23" t="s">
        <v>104</v>
      </c>
      <c r="O50" s="23" t="s">
        <v>31</v>
      </c>
      <c r="P50" s="26" t="e">
        <f>SUMIFS(#REF!,#REF!,O50)</f>
        <v>#REF!</v>
      </c>
      <c r="Q50" s="26" t="e">
        <f>SUMIFS(#REF!,#REF!,O50)</f>
        <v>#REF!</v>
      </c>
      <c r="R50" s="32">
        <f t="shared" si="15"/>
        <v>0</v>
      </c>
      <c r="S50" s="33" t="e">
        <f>SUMIFS(#REF!,#REF!,O50)</f>
        <v>#REF!</v>
      </c>
      <c r="T50" s="18"/>
      <c r="AG50" s="15"/>
    </row>
    <row r="51" spans="1:33">
      <c r="N51" s="23" t="s">
        <v>104</v>
      </c>
      <c r="O51" s="23" t="s">
        <v>32</v>
      </c>
      <c r="P51" s="26" t="e">
        <f>SUMIFS(#REF!,#REF!,O51)</f>
        <v>#REF!</v>
      </c>
      <c r="Q51" s="26" t="e">
        <f>SUMIFS(#REF!,#REF!,O51)</f>
        <v>#REF!</v>
      </c>
      <c r="R51" s="32">
        <f t="shared" si="15"/>
        <v>0</v>
      </c>
      <c r="S51" s="33" t="e">
        <f>SUMIFS(#REF!,#REF!,O51)</f>
        <v>#REF!</v>
      </c>
      <c r="T51" s="18"/>
      <c r="AG51" s="15"/>
    </row>
    <row r="52" spans="1:33">
      <c r="A52" s="173"/>
      <c r="B52" s="173"/>
      <c r="C52" s="13"/>
      <c r="D52" s="173"/>
      <c r="E52" s="173"/>
      <c r="F52" s="173"/>
      <c r="G52" s="173"/>
      <c r="N52" s="23" t="s">
        <v>104</v>
      </c>
      <c r="O52" s="23" t="s">
        <v>33</v>
      </c>
      <c r="P52" s="26" t="e">
        <f>SUMIFS(#REF!,#REF!,O52)</f>
        <v>#REF!</v>
      </c>
      <c r="Q52" s="26" t="e">
        <f>SUMIFS(#REF!,#REF!,O52)</f>
        <v>#REF!</v>
      </c>
      <c r="R52" s="32">
        <f t="shared" si="15"/>
        <v>0</v>
      </c>
      <c r="S52" s="33" t="e">
        <f>SUMIFS(#REF!,#REF!,O52)</f>
        <v>#REF!</v>
      </c>
      <c r="T52" s="18"/>
      <c r="AG52" s="15"/>
    </row>
    <row r="53" spans="1:33">
      <c r="A53" s="173"/>
      <c r="B53" s="173"/>
      <c r="C53" s="13"/>
      <c r="D53" s="173"/>
      <c r="E53" s="173"/>
      <c r="F53" s="173"/>
      <c r="G53" s="173"/>
      <c r="N53" s="23" t="s">
        <v>104</v>
      </c>
      <c r="O53" s="23" t="s">
        <v>34</v>
      </c>
      <c r="P53" s="26">
        <f t="shared" ref="P53:P56" si="16">SUMIFS($R5,$G5,O53)</f>
        <v>0</v>
      </c>
      <c r="Q53" s="26">
        <f t="shared" ref="Q53:Q56" si="17">SUMIFS($Y5,$G5,O53)</f>
        <v>0</v>
      </c>
      <c r="R53" s="32">
        <f t="shared" si="15"/>
        <v>0</v>
      </c>
      <c r="S53" s="33">
        <f t="shared" ref="S53:S56" si="18">SUMIFS($AE5,$G5,O53)</f>
        <v>0</v>
      </c>
      <c r="T53" s="18"/>
      <c r="AG53" s="15"/>
    </row>
    <row r="54" spans="1:33">
      <c r="A54" s="14"/>
      <c r="B54" s="15"/>
      <c r="C54" s="15"/>
      <c r="D54" s="16"/>
      <c r="E54" s="16"/>
      <c r="F54" s="17"/>
      <c r="G54" s="18"/>
      <c r="N54" s="23" t="s">
        <v>104</v>
      </c>
      <c r="O54" s="23" t="s">
        <v>35</v>
      </c>
      <c r="P54" s="26">
        <f t="shared" si="16"/>
        <v>0</v>
      </c>
      <c r="Q54" s="26">
        <f t="shared" si="17"/>
        <v>0</v>
      </c>
      <c r="R54" s="32">
        <f t="shared" si="15"/>
        <v>0</v>
      </c>
      <c r="S54" s="33">
        <f t="shared" si="18"/>
        <v>0</v>
      </c>
      <c r="T54" s="18"/>
      <c r="AG54" s="15"/>
    </row>
    <row r="55" spans="1:33">
      <c r="A55" s="14"/>
      <c r="B55" s="15"/>
      <c r="C55" s="15"/>
      <c r="D55" s="16"/>
      <c r="E55" s="16"/>
      <c r="F55" s="17"/>
      <c r="G55" s="18"/>
      <c r="N55" s="23" t="s">
        <v>104</v>
      </c>
      <c r="O55" s="23" t="s">
        <v>36</v>
      </c>
      <c r="P55" s="26">
        <f t="shared" si="16"/>
        <v>0</v>
      </c>
      <c r="Q55" s="26">
        <f t="shared" si="17"/>
        <v>0</v>
      </c>
      <c r="R55" s="32">
        <f t="shared" si="15"/>
        <v>0</v>
      </c>
      <c r="S55" s="33">
        <f t="shared" si="18"/>
        <v>0</v>
      </c>
      <c r="T55" s="18"/>
      <c r="AG55" s="15"/>
    </row>
    <row r="56" spans="1:33">
      <c r="A56" s="14"/>
      <c r="B56" s="15"/>
      <c r="C56" s="15"/>
      <c r="D56" s="16"/>
      <c r="E56" s="16"/>
      <c r="F56" s="17"/>
      <c r="G56" s="18"/>
      <c r="N56" s="23" t="s">
        <v>104</v>
      </c>
      <c r="O56" s="23" t="s">
        <v>37</v>
      </c>
      <c r="P56" s="26">
        <f t="shared" si="16"/>
        <v>0</v>
      </c>
      <c r="Q56" s="26">
        <f t="shared" si="17"/>
        <v>0</v>
      </c>
      <c r="R56" s="32">
        <f t="shared" si="15"/>
        <v>0</v>
      </c>
      <c r="S56" s="33">
        <f t="shared" si="18"/>
        <v>0</v>
      </c>
      <c r="T56" s="18"/>
      <c r="AG56" s="15"/>
    </row>
    <row r="57" spans="1:33">
      <c r="A57" s="14"/>
      <c r="B57" s="15"/>
      <c r="C57" s="15"/>
      <c r="D57" s="16"/>
      <c r="E57" s="16"/>
      <c r="F57" s="17"/>
      <c r="G57" s="18"/>
      <c r="N57" s="9" t="s">
        <v>104</v>
      </c>
      <c r="O57" s="9"/>
      <c r="P57" s="27" t="e">
        <f>SUM(P45:P56)</f>
        <v>#REF!</v>
      </c>
      <c r="Q57" s="27" t="e">
        <f>SUM(Q45:Q56)</f>
        <v>#REF!</v>
      </c>
      <c r="R57" s="34" t="e">
        <f>Q57/P57</f>
        <v>#REF!</v>
      </c>
      <c r="S57" s="35" t="e">
        <f>SUM(S45:S56)</f>
        <v>#REF!</v>
      </c>
      <c r="T57" s="22"/>
      <c r="AG57" s="13"/>
    </row>
    <row r="58" spans="1:33">
      <c r="A58" s="14"/>
      <c r="B58" s="15"/>
      <c r="C58" s="15"/>
      <c r="D58" s="16"/>
      <c r="E58" s="16"/>
      <c r="F58" s="17"/>
      <c r="G58" s="18"/>
    </row>
    <row r="59" spans="1:33">
      <c r="A59" s="19"/>
      <c r="B59" s="19"/>
      <c r="C59" s="19"/>
      <c r="D59" s="20"/>
      <c r="E59" s="20"/>
      <c r="F59" s="21"/>
      <c r="G59" s="22"/>
    </row>
    <row r="60" spans="1:33">
      <c r="A60" s="10" t="s">
        <v>91</v>
      </c>
      <c r="B60" s="11">
        <v>25</v>
      </c>
      <c r="C60" s="11"/>
      <c r="D60" s="2"/>
      <c r="E60" s="2"/>
      <c r="F60" s="2"/>
      <c r="G60" s="2"/>
    </row>
  </sheetData>
  <mergeCells count="40">
    <mergeCell ref="Z1:Z2"/>
    <mergeCell ref="AF1:AF2"/>
    <mergeCell ref="AG1:AG2"/>
    <mergeCell ref="T43:T44"/>
    <mergeCell ref="V1:V2"/>
    <mergeCell ref="W1:W2"/>
    <mergeCell ref="X1:X2"/>
    <mergeCell ref="Y1:Y2"/>
    <mergeCell ref="AA1:AE1"/>
    <mergeCell ref="Q1:Q2"/>
    <mergeCell ref="Q43:Q44"/>
    <mergeCell ref="R1:R2"/>
    <mergeCell ref="R43:R44"/>
    <mergeCell ref="S43:S44"/>
    <mergeCell ref="S1:U1"/>
    <mergeCell ref="N1:N2"/>
    <mergeCell ref="N43:N44"/>
    <mergeCell ref="O1:O2"/>
    <mergeCell ref="O43:O44"/>
    <mergeCell ref="P1:P2"/>
    <mergeCell ref="P43:P44"/>
    <mergeCell ref="I1:I2"/>
    <mergeCell ref="J1:J2"/>
    <mergeCell ref="K1:K2"/>
    <mergeCell ref="L1:L2"/>
    <mergeCell ref="M1:M2"/>
    <mergeCell ref="A1:A2"/>
    <mergeCell ref="A52:A53"/>
    <mergeCell ref="B1:B2"/>
    <mergeCell ref="B52:B53"/>
    <mergeCell ref="C1:C2"/>
    <mergeCell ref="G1:G2"/>
    <mergeCell ref="G52:G53"/>
    <mergeCell ref="H1:H2"/>
    <mergeCell ref="D1:D2"/>
    <mergeCell ref="D52:D53"/>
    <mergeCell ref="E1:E2"/>
    <mergeCell ref="E52:E53"/>
    <mergeCell ref="F1:F2"/>
    <mergeCell ref="F52:F53"/>
  </mergeCells>
  <pageMargins left="0.7" right="0.7" top="0.75" bottom="0.75" header="0.3" footer="0.3"/>
  <pageSetup orientation="portrait"/>
  <headerFooter>
    <oddFooter>&amp;CNBCU Internal</oddFooter>
  </headerFooter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AG59"/>
  <sheetViews>
    <sheetView zoomScale="113" zoomScaleNormal="100" workbookViewId="0">
      <selection activeCell="H8" sqref="H8"/>
    </sheetView>
  </sheetViews>
  <sheetFormatPr defaultColWidth="8.81640625" defaultRowHeight="14.5"/>
  <cols>
    <col min="1" max="1" width="12.1796875" style="3" customWidth="1"/>
    <col min="2" max="2" width="10.453125" style="3" customWidth="1"/>
    <col min="3" max="3" width="14.1796875" style="3" customWidth="1"/>
    <col min="4" max="4" width="5.453125" style="3" customWidth="1"/>
    <col min="5" max="6" width="9" style="3" customWidth="1"/>
    <col min="7" max="7" width="8.81640625" style="3"/>
    <col min="8" max="8" width="16.453125" style="3" customWidth="1"/>
    <col min="9" max="9" width="19.81640625" style="3" customWidth="1"/>
    <col min="10" max="10" width="11.453125" style="3" customWidth="1"/>
    <col min="11" max="11" width="13.1796875" style="3" customWidth="1"/>
    <col min="12" max="12" width="11.1796875" style="3" customWidth="1"/>
    <col min="13" max="14" width="13.1796875" style="3" customWidth="1"/>
    <col min="15" max="15" width="13.81640625" style="3" customWidth="1"/>
    <col min="16" max="16" width="22.453125" style="3" customWidth="1"/>
    <col min="17" max="18" width="19.453125" style="3" customWidth="1"/>
    <col min="19" max="19" width="12.1796875" style="3" customWidth="1"/>
    <col min="20" max="20" width="17.453125" style="3" customWidth="1"/>
    <col min="21" max="21" width="9.81640625" style="3" customWidth="1"/>
    <col min="22" max="22" width="18" style="3" customWidth="1"/>
    <col min="23" max="23" width="19.1796875" style="3" customWidth="1"/>
    <col min="24" max="24" width="13.453125" style="3" customWidth="1"/>
    <col min="25" max="25" width="10.1796875" style="3" customWidth="1"/>
    <col min="26" max="26" width="18.1796875" style="3" customWidth="1"/>
    <col min="27" max="27" width="15" style="3" customWidth="1"/>
    <col min="28" max="28" width="9.453125" style="3" customWidth="1"/>
    <col min="29" max="29" width="18" style="3" customWidth="1"/>
    <col min="30" max="30" width="12.1796875" style="3" customWidth="1"/>
    <col min="31" max="31" width="11.453125" style="3" customWidth="1"/>
    <col min="32" max="32" width="22.453125" style="3" customWidth="1"/>
    <col min="33" max="33" width="9.1796875" style="3" customWidth="1"/>
    <col min="34" max="16384" width="8.81640625" style="3"/>
  </cols>
  <sheetData>
    <row r="1" spans="1:33" s="1" customFormat="1" ht="33" customHeight="1">
      <c r="A1" s="172" t="s">
        <v>22</v>
      </c>
      <c r="B1" s="172" t="s">
        <v>47</v>
      </c>
      <c r="C1" s="172" t="s">
        <v>48</v>
      </c>
      <c r="D1" s="172" t="s">
        <v>79</v>
      </c>
      <c r="E1" s="172" t="s">
        <v>80</v>
      </c>
      <c r="F1" s="172" t="s">
        <v>81</v>
      </c>
      <c r="G1" s="172" t="s">
        <v>82</v>
      </c>
      <c r="H1" s="172" t="s">
        <v>50</v>
      </c>
      <c r="I1" s="172" t="s">
        <v>51</v>
      </c>
      <c r="J1" s="172" t="s">
        <v>53</v>
      </c>
      <c r="K1" s="172" t="s">
        <v>54</v>
      </c>
      <c r="L1" s="172" t="s">
        <v>94</v>
      </c>
      <c r="M1" s="172" t="s">
        <v>56</v>
      </c>
      <c r="N1" s="175" t="s">
        <v>57</v>
      </c>
      <c r="O1" s="172" t="s">
        <v>58</v>
      </c>
      <c r="P1" s="172" t="s">
        <v>83</v>
      </c>
      <c r="Q1" s="172" t="s">
        <v>84</v>
      </c>
      <c r="R1" s="172" t="s">
        <v>60</v>
      </c>
      <c r="S1" s="172" t="s">
        <v>61</v>
      </c>
      <c r="T1" s="172"/>
      <c r="U1" s="172"/>
      <c r="V1" s="172" t="s">
        <v>62</v>
      </c>
      <c r="W1" s="172" t="s">
        <v>63</v>
      </c>
      <c r="X1" s="172" t="s">
        <v>64</v>
      </c>
      <c r="Y1" s="172" t="s">
        <v>85</v>
      </c>
      <c r="Z1" s="172" t="s">
        <v>66</v>
      </c>
      <c r="AA1" s="172" t="s">
        <v>67</v>
      </c>
      <c r="AB1" s="172"/>
      <c r="AC1" s="172"/>
      <c r="AD1" s="172"/>
      <c r="AE1" s="172"/>
      <c r="AF1" s="172" t="s">
        <v>3</v>
      </c>
      <c r="AG1" s="172" t="s">
        <v>92</v>
      </c>
    </row>
    <row r="2" spans="1:33" s="1" customFormat="1" ht="55.5" customHeight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6"/>
      <c r="O2" s="172"/>
      <c r="P2" s="172"/>
      <c r="Q2" s="172"/>
      <c r="R2" s="172"/>
      <c r="S2" s="4" t="s">
        <v>68</v>
      </c>
      <c r="T2" s="4" t="s">
        <v>69</v>
      </c>
      <c r="U2" s="4" t="s">
        <v>70</v>
      </c>
      <c r="V2" s="172"/>
      <c r="W2" s="172"/>
      <c r="X2" s="172"/>
      <c r="Y2" s="172"/>
      <c r="Z2" s="172"/>
      <c r="AA2" s="4" t="s">
        <v>96</v>
      </c>
      <c r="AB2" s="4" t="s">
        <v>97</v>
      </c>
      <c r="AC2" s="4" t="s">
        <v>73</v>
      </c>
      <c r="AD2" s="4" t="s">
        <v>74</v>
      </c>
      <c r="AE2" s="4" t="s">
        <v>75</v>
      </c>
      <c r="AF2" s="172"/>
      <c r="AG2" s="172"/>
    </row>
    <row r="3" spans="1:33" ht="14.25" customHeight="1">
      <c r="A3" s="5" t="s">
        <v>110</v>
      </c>
      <c r="B3" s="143">
        <v>23.1</v>
      </c>
      <c r="C3" s="143" t="s">
        <v>194</v>
      </c>
      <c r="D3" s="143">
        <v>4</v>
      </c>
      <c r="E3" s="152">
        <v>44928</v>
      </c>
      <c r="F3" s="152">
        <v>44957</v>
      </c>
      <c r="G3" s="23" t="s">
        <v>194</v>
      </c>
      <c r="H3" s="23">
        <v>115</v>
      </c>
      <c r="I3" s="23">
        <v>115</v>
      </c>
      <c r="J3" s="23">
        <v>115</v>
      </c>
      <c r="K3" s="24">
        <v>115</v>
      </c>
      <c r="L3" s="23">
        <v>4</v>
      </c>
      <c r="M3" s="23">
        <v>0</v>
      </c>
      <c r="N3" s="23">
        <v>72</v>
      </c>
      <c r="O3" s="24">
        <v>111</v>
      </c>
      <c r="P3" s="23">
        <v>444</v>
      </c>
      <c r="Q3" s="28">
        <v>0</v>
      </c>
      <c r="R3" s="29">
        <f t="shared" ref="R3" si="0">($P3/$AG3)*8</f>
        <v>888</v>
      </c>
      <c r="S3" s="30">
        <v>0</v>
      </c>
      <c r="T3" s="30">
        <v>16</v>
      </c>
      <c r="U3" s="26">
        <v>152</v>
      </c>
      <c r="V3" s="29">
        <v>0</v>
      </c>
      <c r="W3" s="31">
        <v>0</v>
      </c>
      <c r="X3" s="29">
        <f t="shared" ref="X3" si="1">SUM(T3,V3,W3)</f>
        <v>16</v>
      </c>
      <c r="Y3" s="29">
        <f t="shared" ref="Y3" si="2">R3-X3</f>
        <v>872</v>
      </c>
      <c r="Z3" s="36">
        <v>0</v>
      </c>
      <c r="AA3" s="37">
        <f t="shared" ref="AA3" si="3">J3/I3</f>
        <v>1</v>
      </c>
      <c r="AB3" s="37">
        <f t="shared" ref="AB3" si="4">J3/I3</f>
        <v>1</v>
      </c>
      <c r="AC3" s="37">
        <f t="shared" ref="AC3" si="5">P3/(O3*D3)</f>
        <v>1</v>
      </c>
      <c r="AD3" s="37">
        <f t="shared" ref="AD3" si="6">Y3/R3</f>
        <v>0.98198198198198194</v>
      </c>
      <c r="AE3" s="38">
        <f>Y3*$B$9</f>
        <v>21800</v>
      </c>
      <c r="AF3" s="42"/>
      <c r="AG3" s="23">
        <v>4</v>
      </c>
    </row>
    <row r="4" spans="1:33" s="2" customFormat="1">
      <c r="A4" s="8" t="s">
        <v>110</v>
      </c>
      <c r="B4" s="9" t="s">
        <v>90</v>
      </c>
      <c r="C4" s="9" t="s">
        <v>90</v>
      </c>
      <c r="D4" s="9">
        <f ca="1">SUM(D2:INDIRECT("D"&amp;ROW()-1))</f>
        <v>4</v>
      </c>
      <c r="E4" s="9"/>
      <c r="F4" s="9"/>
      <c r="G4" s="9"/>
      <c r="H4" s="9">
        <f ca="1">INDIRECT("H"&amp;ROW()-1)</f>
        <v>115</v>
      </c>
      <c r="I4" s="9">
        <f ca="1">INDIRECT("I"&amp;ROW()-1)</f>
        <v>115</v>
      </c>
      <c r="J4" s="9">
        <f ca="1">INDIRECT("J"&amp;ROW()-1)</f>
        <v>115</v>
      </c>
      <c r="K4" s="9">
        <f ca="1">INDIRECT("K"&amp;ROW()-1)</f>
        <v>115</v>
      </c>
      <c r="L4" s="9">
        <f ca="1">INDIRECT("L"&amp;ROW()-1)</f>
        <v>4</v>
      </c>
      <c r="M4" s="9">
        <f ca="1">SUM(M2:INDIRECT("M"&amp;ROW()-1))</f>
        <v>0</v>
      </c>
      <c r="N4" s="9">
        <f ca="1">SUM(N2:INDIRECT("N"&amp;ROW()-1))</f>
        <v>72</v>
      </c>
      <c r="O4" s="9">
        <f ca="1">INDIRECT("O"&amp;ROW()-1)</f>
        <v>111</v>
      </c>
      <c r="P4" s="9">
        <f ca="1">SUM(P2:INDIRECT("P"&amp;ROW()-1))</f>
        <v>444</v>
      </c>
      <c r="Q4" s="9">
        <f ca="1">SUM(Q2:INDIRECT("Q"&amp;ROW()-1))</f>
        <v>0</v>
      </c>
      <c r="R4" s="27">
        <f ca="1">SUM(R2:INDIRECT("R"&amp;ROW()-1))</f>
        <v>888</v>
      </c>
      <c r="S4" s="27">
        <f ca="1">SUM(S3:INDIRECT("S"&amp;ROW()-1))</f>
        <v>0</v>
      </c>
      <c r="T4" s="27">
        <f ca="1">SUM(T3:INDIRECT("T"&amp;ROW()-1))</f>
        <v>16</v>
      </c>
      <c r="U4" s="27">
        <f ca="1">SUM(U3:INDIRECT("U"&amp;ROW()-1))</f>
        <v>152</v>
      </c>
      <c r="V4" s="9">
        <f ca="1">SUM(V3:INDIRECT("V"&amp;ROW()-1))</f>
        <v>0</v>
      </c>
      <c r="W4" s="9">
        <f ca="1">SUM(W3:INDIRECT("W"&amp;ROW()-1))</f>
        <v>0</v>
      </c>
      <c r="X4" s="9">
        <f ca="1">SUM(X3:INDIRECT("X"&amp;ROW()-1))</f>
        <v>16</v>
      </c>
      <c r="Y4" s="27">
        <f ca="1">SUM(Y3:INDIRECT("Y"&amp;ROW()-1))</f>
        <v>872</v>
      </c>
      <c r="Z4" s="9">
        <f ca="1">SUM(Z3:INDIRECT("z"&amp;ROW()-1))</f>
        <v>0</v>
      </c>
      <c r="AA4" s="34">
        <f t="shared" ref="AA4" ca="1" si="7">J4/I4</f>
        <v>1</v>
      </c>
      <c r="AB4" s="34">
        <f t="shared" ref="AB4" ca="1" si="8">J4/H4</f>
        <v>1</v>
      </c>
      <c r="AC4" s="34">
        <f ca="1">IFERROR(P4/(O4*D4),0)</f>
        <v>1</v>
      </c>
      <c r="AD4" s="39">
        <f ca="1">IFERROR(Y4/R4,0)</f>
        <v>0.98198198198198194</v>
      </c>
      <c r="AE4" s="35">
        <f ca="1">SUM(AE2:INDIRECT("AF"&amp;ROW()-1))</f>
        <v>21800</v>
      </c>
      <c r="AF4" s="9"/>
      <c r="AG4" s="27">
        <f>SUM(AG3:AG3)</f>
        <v>4</v>
      </c>
    </row>
    <row r="5" spans="1:33" s="2" customFormat="1"/>
    <row r="6" spans="1:33" s="2" customFormat="1">
      <c r="A6" s="10"/>
      <c r="B6" s="11"/>
      <c r="E6" s="2">
        <v>11</v>
      </c>
      <c r="P6" s="45"/>
      <c r="Q6" s="13"/>
      <c r="T6" s="45"/>
      <c r="AC6" s="25"/>
    </row>
    <row r="7" spans="1:33" s="2" customFormat="1">
      <c r="A7" s="10"/>
      <c r="B7" s="11"/>
      <c r="M7" s="45"/>
      <c r="Q7" s="13"/>
      <c r="S7" s="45"/>
      <c r="T7" s="45"/>
      <c r="AC7" s="25"/>
    </row>
    <row r="8" spans="1:33" s="2" customFormat="1">
      <c r="A8" s="10"/>
      <c r="B8" s="11"/>
      <c r="Q8" s="13"/>
      <c r="S8" s="45"/>
      <c r="T8" s="45"/>
      <c r="AC8" s="25"/>
    </row>
    <row r="9" spans="1:33" s="2" customFormat="1">
      <c r="A9" s="10" t="s">
        <v>91</v>
      </c>
      <c r="B9" s="11">
        <v>25</v>
      </c>
      <c r="P9" s="25"/>
      <c r="Q9" s="13"/>
      <c r="S9" s="45"/>
      <c r="AC9" s="25"/>
    </row>
    <row r="10" spans="1:33" ht="21">
      <c r="A10" s="10" t="s">
        <v>92</v>
      </c>
      <c r="B10" s="12">
        <v>8</v>
      </c>
      <c r="C10" s="2"/>
      <c r="D10" s="2"/>
      <c r="E10" s="2"/>
      <c r="F10" s="2"/>
      <c r="G10" s="2"/>
      <c r="H10" s="2"/>
      <c r="I10" s="2"/>
      <c r="J10" s="25"/>
      <c r="K10" s="25"/>
      <c r="L10" s="2"/>
      <c r="M10" s="2"/>
      <c r="N10" s="2"/>
      <c r="O10" s="2"/>
      <c r="P10" s="2"/>
      <c r="Q10" s="1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42" spans="14:33">
      <c r="N42" s="172" t="s">
        <v>22</v>
      </c>
      <c r="O42" s="172" t="s">
        <v>82</v>
      </c>
      <c r="P42" s="172" t="s">
        <v>60</v>
      </c>
      <c r="Q42" s="172" t="s">
        <v>85</v>
      </c>
      <c r="R42" s="172" t="s">
        <v>74</v>
      </c>
      <c r="S42" s="172" t="s">
        <v>75</v>
      </c>
      <c r="T42" s="173"/>
      <c r="AG42" s="13"/>
    </row>
    <row r="43" spans="14:33">
      <c r="N43" s="172"/>
      <c r="O43" s="172"/>
      <c r="P43" s="172"/>
      <c r="Q43" s="172"/>
      <c r="R43" s="172"/>
      <c r="S43" s="172"/>
      <c r="T43" s="173"/>
      <c r="AG43" s="13"/>
    </row>
    <row r="44" spans="14:33">
      <c r="N44" s="42" t="s">
        <v>110</v>
      </c>
      <c r="O44" s="23" t="s">
        <v>26</v>
      </c>
      <c r="P44" s="26" t="e">
        <f>SUMIFS(#REF!,#REF!,O44)</f>
        <v>#REF!</v>
      </c>
      <c r="Q44" s="26" t="e">
        <f>SUMIFS(#REF!,#REF!,O44)</f>
        <v>#REF!</v>
      </c>
      <c r="R44" s="32">
        <f t="shared" ref="R44:R56" si="9">IFERROR(Q44/P44,0)</f>
        <v>0</v>
      </c>
      <c r="S44" s="33" t="e">
        <f>SUMIFS(#REF!,#REF!,O44)</f>
        <v>#REF!</v>
      </c>
      <c r="T44" s="18"/>
      <c r="AG44" s="15"/>
    </row>
    <row r="45" spans="14:33">
      <c r="N45" s="42" t="s">
        <v>110</v>
      </c>
      <c r="O45" s="23" t="s">
        <v>27</v>
      </c>
      <c r="P45" s="26" t="e">
        <f>SUMIFS(#REF!,#REF!,O45)</f>
        <v>#REF!</v>
      </c>
      <c r="Q45" s="26" t="e">
        <f>SUMIFS(#REF!,#REF!,O45)</f>
        <v>#REF!</v>
      </c>
      <c r="R45" s="32">
        <f t="shared" si="9"/>
        <v>0</v>
      </c>
      <c r="S45" s="33" t="e">
        <f>SUMIFS(#REF!,#REF!,O45)</f>
        <v>#REF!</v>
      </c>
      <c r="T45" s="18"/>
      <c r="AG45" s="15"/>
    </row>
    <row r="46" spans="14:33">
      <c r="N46" s="42" t="s">
        <v>110</v>
      </c>
      <c r="O46" s="23" t="s">
        <v>28</v>
      </c>
      <c r="P46" s="26" t="e">
        <f>SUMIFS(#REF!,#REF!,O46)</f>
        <v>#REF!</v>
      </c>
      <c r="Q46" s="26" t="e">
        <f>SUMIFS(#REF!,#REF!,O46)</f>
        <v>#REF!</v>
      </c>
      <c r="R46" s="32">
        <f t="shared" si="9"/>
        <v>0</v>
      </c>
      <c r="S46" s="33" t="e">
        <f>SUMIFS(#REF!,#REF!,O46)</f>
        <v>#REF!</v>
      </c>
      <c r="T46" s="18"/>
      <c r="AG46" s="15"/>
    </row>
    <row r="47" spans="14:33">
      <c r="N47" s="42" t="s">
        <v>110</v>
      </c>
      <c r="O47" s="23" t="s">
        <v>29</v>
      </c>
      <c r="P47" s="26" t="e">
        <f>SUMIFS(#REF!,#REF!,O47)</f>
        <v>#REF!</v>
      </c>
      <c r="Q47" s="26" t="e">
        <f>SUMIFS(#REF!,#REF!,O47)</f>
        <v>#REF!</v>
      </c>
      <c r="R47" s="32">
        <f t="shared" si="9"/>
        <v>0</v>
      </c>
      <c r="S47" s="33" t="e">
        <f>SUMIFS(#REF!,#REF!,O47)</f>
        <v>#REF!</v>
      </c>
      <c r="T47" s="18"/>
      <c r="AG47" s="15"/>
    </row>
    <row r="48" spans="14:33">
      <c r="N48" s="42" t="s">
        <v>110</v>
      </c>
      <c r="O48" s="23" t="s">
        <v>30</v>
      </c>
      <c r="P48" s="26" t="e">
        <f>SUMIFS(#REF!,#REF!,O48)</f>
        <v>#REF!</v>
      </c>
      <c r="Q48" s="26" t="e">
        <f>SUMIFS(#REF!,#REF!,O48)</f>
        <v>#REF!</v>
      </c>
      <c r="R48" s="32">
        <f t="shared" si="9"/>
        <v>0</v>
      </c>
      <c r="S48" s="33" t="e">
        <f>SUMIFS(#REF!,#REF!,O48)</f>
        <v>#REF!</v>
      </c>
      <c r="T48" s="18"/>
      <c r="AG48" s="15"/>
    </row>
    <row r="49" spans="1:33">
      <c r="N49" s="42" t="s">
        <v>110</v>
      </c>
      <c r="O49" s="23" t="s">
        <v>31</v>
      </c>
      <c r="P49" s="26" t="e">
        <f>SUMIFS(#REF!,#REF!,O49)</f>
        <v>#REF!</v>
      </c>
      <c r="Q49" s="26" t="e">
        <f>SUMIFS(#REF!,#REF!,O49)</f>
        <v>#REF!</v>
      </c>
      <c r="R49" s="32">
        <f t="shared" si="9"/>
        <v>0</v>
      </c>
      <c r="S49" s="33" t="e">
        <f>SUMIFS(#REF!,#REF!,O49)</f>
        <v>#REF!</v>
      </c>
      <c r="T49" s="18"/>
      <c r="AG49" s="15"/>
    </row>
    <row r="50" spans="1:33" ht="15" customHeight="1">
      <c r="N50" s="42" t="s">
        <v>110</v>
      </c>
      <c r="O50" s="23" t="s">
        <v>32</v>
      </c>
      <c r="P50" s="26" t="e">
        <f>SUMIFS(#REF!,#REF!,O50)</f>
        <v>#REF!</v>
      </c>
      <c r="Q50" s="26" t="e">
        <f>SUMIFS(#REF!,#REF!,O50)</f>
        <v>#REF!</v>
      </c>
      <c r="R50" s="32">
        <f t="shared" si="9"/>
        <v>0</v>
      </c>
      <c r="S50" s="33" t="e">
        <f>SUMIFS(#REF!,#REF!,O50)</f>
        <v>#REF!</v>
      </c>
      <c r="T50" s="18"/>
      <c r="AG50" s="15"/>
    </row>
    <row r="51" spans="1:33">
      <c r="A51" s="173"/>
      <c r="B51" s="173"/>
      <c r="C51" s="173"/>
      <c r="D51" s="173"/>
      <c r="E51" s="173"/>
      <c r="F51" s="173"/>
      <c r="G51" s="173"/>
      <c r="N51" s="42" t="s">
        <v>110</v>
      </c>
      <c r="O51" s="23" t="s">
        <v>33</v>
      </c>
      <c r="P51" s="26" t="e">
        <f>SUMIFS(#REF!,#REF!,O51)</f>
        <v>#REF!</v>
      </c>
      <c r="Q51" s="26" t="e">
        <f>SUMIFS(#REF!,#REF!,O51)</f>
        <v>#REF!</v>
      </c>
      <c r="R51" s="32">
        <f t="shared" si="9"/>
        <v>0</v>
      </c>
      <c r="S51" s="33" t="e">
        <f>SUMIFS(#REF!,#REF!,O51)</f>
        <v>#REF!</v>
      </c>
      <c r="T51" s="18"/>
      <c r="AG51" s="15"/>
    </row>
    <row r="52" spans="1:33">
      <c r="A52" s="173"/>
      <c r="B52" s="173"/>
      <c r="C52" s="173"/>
      <c r="D52" s="173"/>
      <c r="E52" s="173"/>
      <c r="F52" s="173"/>
      <c r="G52" s="173"/>
      <c r="N52" s="42" t="s">
        <v>110</v>
      </c>
      <c r="O52" s="23" t="s">
        <v>34</v>
      </c>
      <c r="P52" s="26" t="e">
        <f>SUMIFS(#REF!,#REF!,O52)</f>
        <v>#REF!</v>
      </c>
      <c r="Q52" s="26" t="e">
        <f>SUMIFS(#REF!,#REF!,O52)</f>
        <v>#REF!</v>
      </c>
      <c r="R52" s="32">
        <f t="shared" si="9"/>
        <v>0</v>
      </c>
      <c r="S52" s="33" t="e">
        <f>SUMIFS(#REF!,#REF!,O52)</f>
        <v>#REF!</v>
      </c>
      <c r="T52" s="18"/>
      <c r="AG52" s="15"/>
    </row>
    <row r="53" spans="1:33">
      <c r="A53" s="14"/>
      <c r="B53" s="15"/>
      <c r="C53" s="15"/>
      <c r="D53" s="16"/>
      <c r="E53" s="16"/>
      <c r="F53" s="17"/>
      <c r="G53" s="18"/>
      <c r="N53" s="42" t="s">
        <v>110</v>
      </c>
      <c r="O53" s="23" t="s">
        <v>35</v>
      </c>
      <c r="P53" s="26">
        <f t="shared" ref="P53:P55" si="10">SUMIFS($R8,$G8,O53)</f>
        <v>0</v>
      </c>
      <c r="Q53" s="26">
        <f t="shared" ref="Q53:Q55" si="11">SUMIFS($Y8,$G8,O53)</f>
        <v>0</v>
      </c>
      <c r="R53" s="32">
        <f t="shared" si="9"/>
        <v>0</v>
      </c>
      <c r="S53" s="33">
        <f t="shared" ref="S53:S55" si="12">SUMIFS($AE8,$G8,O53)</f>
        <v>0</v>
      </c>
      <c r="T53" s="18"/>
      <c r="AG53" s="15"/>
    </row>
    <row r="54" spans="1:33">
      <c r="A54" s="14"/>
      <c r="B54" s="15"/>
      <c r="C54" s="15"/>
      <c r="D54" s="16"/>
      <c r="E54" s="16"/>
      <c r="F54" s="17"/>
      <c r="G54" s="18"/>
      <c r="N54" s="42" t="s">
        <v>110</v>
      </c>
      <c r="O54" s="23" t="s">
        <v>36</v>
      </c>
      <c r="P54" s="26">
        <f t="shared" si="10"/>
        <v>0</v>
      </c>
      <c r="Q54" s="26">
        <f t="shared" si="11"/>
        <v>0</v>
      </c>
      <c r="R54" s="32">
        <f t="shared" si="9"/>
        <v>0</v>
      </c>
      <c r="S54" s="33">
        <f t="shared" si="12"/>
        <v>0</v>
      </c>
      <c r="T54" s="18"/>
      <c r="AG54" s="15"/>
    </row>
    <row r="55" spans="1:33">
      <c r="A55" s="14"/>
      <c r="B55" s="15"/>
      <c r="C55" s="15"/>
      <c r="D55" s="16"/>
      <c r="E55" s="16"/>
      <c r="F55" s="17"/>
      <c r="G55" s="18"/>
      <c r="N55" s="42" t="s">
        <v>110</v>
      </c>
      <c r="O55" s="23" t="s">
        <v>37</v>
      </c>
      <c r="P55" s="26">
        <f t="shared" si="10"/>
        <v>0</v>
      </c>
      <c r="Q55" s="26">
        <f t="shared" si="11"/>
        <v>0</v>
      </c>
      <c r="R55" s="32">
        <f t="shared" si="9"/>
        <v>0</v>
      </c>
      <c r="S55" s="33">
        <f t="shared" si="12"/>
        <v>0</v>
      </c>
      <c r="T55" s="18"/>
      <c r="AG55" s="15"/>
    </row>
    <row r="56" spans="1:33">
      <c r="A56" s="14"/>
      <c r="B56" s="15"/>
      <c r="C56" s="15"/>
      <c r="D56" s="16"/>
      <c r="E56" s="16"/>
      <c r="F56" s="17"/>
      <c r="G56" s="18"/>
      <c r="N56" s="8" t="s">
        <v>110</v>
      </c>
      <c r="O56" s="9"/>
      <c r="P56" s="27" t="e">
        <f>SUM(P44:P55)</f>
        <v>#REF!</v>
      </c>
      <c r="Q56" s="27" t="e">
        <f>SUM(Q44:Q55)</f>
        <v>#REF!</v>
      </c>
      <c r="R56" s="34">
        <f t="shared" si="9"/>
        <v>0</v>
      </c>
      <c r="S56" s="35" t="e">
        <f>SUM(S44:S55)</f>
        <v>#REF!</v>
      </c>
      <c r="T56" s="22"/>
      <c r="AG56" s="13"/>
    </row>
    <row r="57" spans="1:33">
      <c r="A57" s="14"/>
      <c r="B57" s="15"/>
      <c r="C57" s="15"/>
      <c r="D57" s="16"/>
      <c r="E57" s="16"/>
      <c r="F57" s="17"/>
      <c r="G57" s="18"/>
    </row>
    <row r="58" spans="1:33">
      <c r="A58" s="19"/>
      <c r="B58" s="19"/>
      <c r="C58" s="13"/>
      <c r="D58" s="20"/>
      <c r="E58" s="20"/>
      <c r="F58" s="21"/>
      <c r="G58" s="22"/>
    </row>
    <row r="59" spans="1:33">
      <c r="A59" s="10" t="s">
        <v>91</v>
      </c>
      <c r="B59" s="11">
        <v>25</v>
      </c>
      <c r="C59" s="2"/>
      <c r="D59" s="2"/>
      <c r="E59" s="2"/>
      <c r="F59" s="2"/>
      <c r="G59" s="2"/>
    </row>
  </sheetData>
  <mergeCells count="41">
    <mergeCell ref="Y1:Y2"/>
    <mergeCell ref="Z1:Z2"/>
    <mergeCell ref="AF1:AF2"/>
    <mergeCell ref="AG1:AG2"/>
    <mergeCell ref="S42:S43"/>
    <mergeCell ref="T42:T43"/>
    <mergeCell ref="V1:V2"/>
    <mergeCell ref="W1:W2"/>
    <mergeCell ref="X1:X2"/>
    <mergeCell ref="S1:U1"/>
    <mergeCell ref="AA1:AE1"/>
    <mergeCell ref="P1:P2"/>
    <mergeCell ref="P42:P43"/>
    <mergeCell ref="Q1:Q2"/>
    <mergeCell ref="Q42:Q43"/>
    <mergeCell ref="R1:R2"/>
    <mergeCell ref="R42:R43"/>
    <mergeCell ref="M1:M2"/>
    <mergeCell ref="N1:N2"/>
    <mergeCell ref="N42:N43"/>
    <mergeCell ref="O1:O2"/>
    <mergeCell ref="O42:O43"/>
    <mergeCell ref="H1:H2"/>
    <mergeCell ref="I1:I2"/>
    <mergeCell ref="J1:J2"/>
    <mergeCell ref="K1:K2"/>
    <mergeCell ref="L1:L2"/>
    <mergeCell ref="A1:A2"/>
    <mergeCell ref="A51:A52"/>
    <mergeCell ref="B1:B2"/>
    <mergeCell ref="B51:B52"/>
    <mergeCell ref="C1:C2"/>
    <mergeCell ref="C51:C52"/>
    <mergeCell ref="G1:G2"/>
    <mergeCell ref="G51:G52"/>
    <mergeCell ref="D1:D2"/>
    <mergeCell ref="D51:D52"/>
    <mergeCell ref="E1:E2"/>
    <mergeCell ref="E51:E52"/>
    <mergeCell ref="F1:F2"/>
    <mergeCell ref="F51:F52"/>
  </mergeCells>
  <pageMargins left="0.7" right="0.7" top="0.75" bottom="0.75" header="0.3" footer="0.3"/>
  <pageSetup paperSize="9" orientation="portrait"/>
  <headerFooter>
    <oddFooter>&amp;CNBCU Internal</oddFooter>
  </headerFooter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73A3117919D745A4801ED54787CDBC" ma:contentTypeVersion="12" ma:contentTypeDescription="Create a new document." ma:contentTypeScope="" ma:versionID="25ed6e05e2ae92dd56759135e8f100e3">
  <xsd:schema xmlns:xsd="http://www.w3.org/2001/XMLSchema" xmlns:xs="http://www.w3.org/2001/XMLSchema" xmlns:p="http://schemas.microsoft.com/office/2006/metadata/properties" xmlns:ns3="570c46bb-fd07-4b81-aa7c-979a0b77e6c8" xmlns:ns4="27aa5691-8a7d-4ed4-a2c2-3201bb6d3ded" targetNamespace="http://schemas.microsoft.com/office/2006/metadata/properties" ma:root="true" ma:fieldsID="8c0280bad8cd24038f8af83ba0fb237f" ns3:_="" ns4:_="">
    <xsd:import namespace="570c46bb-fd07-4b81-aa7c-979a0b77e6c8"/>
    <xsd:import namespace="27aa5691-8a7d-4ed4-a2c2-3201bb6d3d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0c46bb-fd07-4b81-aa7c-979a0b77e6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a5691-8a7d-4ed4-a2c2-3201bb6d3de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129A97-8184-43A0-8BF6-3BF7F5C967B1}">
  <ds:schemaRefs/>
</ds:datastoreItem>
</file>

<file path=customXml/itemProps2.xml><?xml version="1.0" encoding="utf-8"?>
<ds:datastoreItem xmlns:ds="http://schemas.openxmlformats.org/officeDocument/2006/customXml" ds:itemID="{6D22B509-240F-4BC9-BECF-483106973880}">
  <ds:schemaRefs/>
</ds:datastoreItem>
</file>

<file path=customXml/itemProps3.xml><?xml version="1.0" encoding="utf-8"?>
<ds:datastoreItem xmlns:ds="http://schemas.openxmlformats.org/officeDocument/2006/customXml" ds:itemID="{FCC976A3-D1F0-4B61-A0E4-6D7D9199029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Readme</vt:lpstr>
      <vt:lpstr>EffortSavings 2021</vt:lpstr>
      <vt:lpstr>Cumulative Metrics 2022</vt:lpstr>
      <vt:lpstr>SAMPLE</vt:lpstr>
      <vt:lpstr>Magic</vt:lpstr>
      <vt:lpstr>GTM</vt:lpstr>
      <vt:lpstr>Linearschedule_BulkCreate</vt:lpstr>
      <vt:lpstr>CompassRePlatform</vt:lpstr>
      <vt:lpstr>Finance</vt:lpstr>
      <vt:lpstr>USH OmniBasket</vt:lpstr>
      <vt:lpstr>ALF</vt:lpstr>
      <vt:lpstr>UO OmniBasket</vt:lpstr>
      <vt:lpstr>DigitalForce</vt:lpstr>
      <vt:lpstr>RF_Mercury</vt:lpstr>
      <vt:lpstr>POP</vt:lpstr>
      <vt:lpstr>TicketingPOS</vt:lpstr>
      <vt:lpstr>USH_EzRez</vt:lpstr>
      <vt:lpstr>Medea</vt:lpstr>
      <vt:lpstr>CAR</vt:lpstr>
      <vt:lpstr>KAM</vt:lpstr>
      <vt:lpstr>Recap</vt:lpstr>
      <vt:lpstr>TBT</vt:lpstr>
      <vt:lpstr>ReleaseForce</vt:lpstr>
      <vt:lpstr>WideOrbit</vt:lpstr>
      <vt:lpstr>Score</vt:lpstr>
      <vt:lpstr>DeptSystems</vt:lpstr>
      <vt:lpstr>Sphere</vt:lpstr>
      <vt:lpstr>CAFE</vt:lpstr>
      <vt:lpstr>SAFE</vt:lpstr>
      <vt:lpstr>ProM</vt:lpstr>
      <vt:lpstr>TVROCS</vt:lpstr>
      <vt:lpstr>PDM</vt:lpstr>
      <vt:lpstr>AssetTracker</vt:lpstr>
      <vt:lpstr>APAR</vt:lpstr>
      <vt:lpstr>Sheet2</vt:lpstr>
      <vt:lpstr>Producer Dashboard</vt:lpstr>
      <vt:lpstr>Sheet1</vt:lpstr>
    </vt:vector>
  </TitlesOfParts>
  <Company>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S, Sridhar (Cognizant)</dc:creator>
  <cp:lastModifiedBy>Thirumoorthi, Sabarinathan (Contractor)</cp:lastModifiedBy>
  <dcterms:created xsi:type="dcterms:W3CDTF">2016-09-19T11:45:00Z</dcterms:created>
  <dcterms:modified xsi:type="dcterms:W3CDTF">2023-03-31T06:31:33Z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0x010100C673A3117919D745A4801ED54787CDBC</vt:lpwstr>
  </property>
  <property fmtid="{D5CDD505-2E9C-101B-9397-08002B2CF9AE}" pid="3" name="WorkbookGuid">
    <vt:lpwstr>e653da5c-0d36-4c78-a610-d996262a908d</vt:lpwstr>
  </property>
  <property fmtid="{D5CDD505-2E9C-101B-9397-08002B2CF9AE}" pid="4" name="ICV">
    <vt:lpwstr>AFB6FB5344BE44FEA99EC2F77E0A1328</vt:lpwstr>
  </property>
  <property fmtid="{D5CDD505-2E9C-101B-9397-08002B2CF9AE}" pid="5" name="KSOProductBuildVer">
    <vt:lpwstr>1033-11.2.0.10463</vt:lpwstr>
  </property>
</Properties>
</file>