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<sst xmlns="http://schemas.openxmlformats.org/spreadsheetml/2006/main" count="4267" uniqueCount="2132">
  <si>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</si>
  <si>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</si>
  <si>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</si>
  <si>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</si>
  <si>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</si>
  <si>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</si>
  <si>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</si>
  <si>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</si>
  <si>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</si>
  <si>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</si>
  <si>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</si>
  <si>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</si>
  <si>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</si>
  <si>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</si>
  <si>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</si>
  <si>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</si>
  <si>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</si>
  <si>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</si>
  <si>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</si>
  <si>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</si>
  <si>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</si>
  <si>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</si>
  <si>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</si>
  <si>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</si>
  <si>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</si>
  <si>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</si>
  <si>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</si>
  <si>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</si>
  <si>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</si>
  <si>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</si>
  <si>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</si>
  <si>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Flowers for Algernon</t>
  </si>
  <si>
    <t>The Outsiders</t>
  </si>
  <si>
    <t>The Sound of Mountain Water</t>
  </si>
  <si>
    <t>A Farewell to Alms: A Brief Economic History of the World</t>
  </si>
  <si>
    <t>Jarhead : A Marine's Chronicle of the Gulf War and Other Battles</t>
  </si>
  <si>
    <t>Class: A Guide Through the American Status System</t>
  </si>
  <si>
    <t>Rationality: From AI to Zombies</t>
  </si>
  <si>
    <t>Raise a Genius!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</si>
  <si>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</si>
  <si>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</si>
  <si>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</si>
  <si>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</si>
  <si>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</si>
  <si>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</si>
  <si>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</si>
  <si>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</si>
  <si>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</si>
  <si>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</si>
  <si>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</si>
  <si>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</si>
  <si>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</si>
  <si>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</si>
  <si>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</si>
  <si>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</si>
  <si>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</si>
  <si>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</si>
  <si>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</si>
  <si>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</si>
  <si>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</si>
  <si>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</si>
  <si>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</si>
  <si>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</si>
  <si>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</si>
  <si>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</si>
  <si>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</si>
  <si>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</si>
  <si>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</si>
  <si>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</si>
  <si>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</si>
  <si>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</si>
  <si>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</si>
  <si>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</si>
  <si>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</si>
  <si>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</si>
  <si>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</si>
  <si>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</si>
  <si>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</si>
  <si>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</si>
  <si>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</si>
  <si>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</si>
  <si>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</si>
  <si>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</si>
  <si>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</si>
  <si>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</si>
  <si>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</si>
  <si>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</si>
  <si>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</si>
  <si>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</si>
  <si>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</si>
  <si>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</si>
  <si>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</si>
  <si>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</si>
  <si>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</si>
  <si>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</si>
  <si>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</si>
  <si>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</si>
  <si>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</si>
  <si>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</si>
  <si>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</si>
  <si>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</si>
  <si>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</si>
  <si>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</si>
  <si>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</si>
  <si>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</si>
  <si>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</si>
  <si>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</si>
  <si>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</si>
  <si>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</si>
  <si>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</si>
  <si>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</si>
  <si>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</si>
  <si>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</si>
  <si>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</si>
  <si>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</si>
  <si>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</si>
  <si>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</si>
  <si>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</si>
  <si>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</si>
  <si>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</si>
  <si>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</si>
  <si>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</si>
  <si>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</si>
  <si>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</si>
  <si>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</si>
  <si>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</si>
  <si>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</si>
  <si>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</si>
  <si>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</si>
  <si>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</si>
  <si>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</si>
  <si>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</si>
  <si>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</si>
  <si>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</si>
  <si>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</si>
  <si>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</si>
  <si>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</si>
  <si>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</si>
  <si>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</si>
  <si>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</si>
  <si>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</si>
  <si>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</si>
  <si>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</si>
  <si>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</si>
  <si>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</si>
  <si>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</si>
  <si>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</si>
  <si>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</si>
  <si>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</si>
  <si>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</si>
  <si>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</si>
  <si>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</si>
  <si>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</si>
  <si>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</si>
  <si>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</si>
  <si>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</si>
  <si>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</si>
  <si>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</si>
  <si>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</si>
  <si>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</si>
  <si>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</si>
  <si>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</si>
  <si>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</si>
  <si>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</si>
  <si>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</si>
  <si>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</si>
  <si>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</si>
  <si>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</si>
  <si>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</si>
  <si>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</si>
  <si>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</si>
  <si>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</si>
  <si>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</si>
  <si>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</si>
  <si>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</si>
  <si>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</si>
  <si>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</si>
  <si>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</si>
  <si>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</si>
  <si>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</si>
  <si>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</si>
  <si>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</si>
  <si>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</si>
  <si>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</si>
  <si>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</si>
  <si>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</si>
  <si>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</si>
  <si>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</si>
  <si>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</si>
  <si>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</si>
  <si>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</si>
  <si>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</si>
  <si>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</si>
  <si>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</si>
  <si>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</si>
  <si>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</si>
  <si>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</si>
  <si>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</si>
  <si>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</si>
  <si>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</si>
  <si>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</si>
  <si>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</si>
  <si>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</si>
  <si>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</si>
  <si>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</si>
  <si>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</si>
  <si>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</si>
  <si>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</si>
  <si>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</si>
  <si>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</si>
  <si>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</si>
  <si>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</si>
  <si>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</si>
  <si>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</si>
  <si>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</si>
  <si>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</si>
  <si>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</si>
  <si>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</si>
  <si>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</si>
  <si>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</si>
  <si>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</si>
  <si>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</si>
  <si>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</si>
  <si>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</si>
  <si>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</si>
  <si>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</si>
  <si>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</si>
  <si>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</si>
  <si>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</si>
  <si>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</si>
  <si>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</si>
  <si>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</si>
  <si>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</si>
  <si>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</si>
  <si>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</si>
  <si>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</si>
  <si>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</si>
  <si>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</si>
  <si>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</si>
  <si>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</si>
  <si>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</si>
  <si>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</si>
  <si>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</si>
  <si>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</si>
  <si>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</si>
  <si>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</si>
  <si>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</si>
  <si>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</si>
  <si>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</si>
  <si>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</si>
  <si>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</si>
  <si>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</si>
  <si>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</si>
  <si>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</si>
  <si>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</si>
  <si>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</si>
  <si>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</si>
  <si>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</si>
  <si>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</si>
  <si>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</si>
  <si>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</si>
  <si>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</si>
  <si>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</si>
  <si>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</si>
  <si>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</si>
  <si>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</si>
  <si>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</si>
  <si>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</si>
  <si>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</si>
  <si>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</si>
  <si>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</si>
  <si>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</si>
  <si>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</si>
  <si>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</si>
  <si>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</si>
  <si>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</si>
  <si>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</si>
  <si>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</si>
  <si>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</si>
  <si>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</si>
  <si>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</si>
  <si>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</si>
  <si>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</si>
  <si>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</si>
  <si>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</si>
  <si>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</si>
  <si>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</si>
  <si>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</si>
  <si>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</si>
  <si>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</si>
  <si>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</si>
  <si>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</si>
  <si>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</si>
  <si>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</si>
  <si>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</si>
  <si>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</si>
  <si>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</si>
  <si>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</si>
  <si>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</si>
  <si>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</si>
  <si>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</si>
  <si>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</si>
  <si>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</si>
  <si>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</si>
  <si>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</si>
  <si>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</si>
  <si>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</si>
  <si>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</si>
  <si>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</si>
  <si>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</si>
  <si>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</si>
  <si>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</si>
  <si>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</si>
  <si>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</si>
  <si>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</si>
  <si>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</si>
  <si>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</si>
  <si>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</si>
  <si>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</si>
  <si>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</si>
  <si>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</si>
  <si>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</si>
  <si>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</si>
  <si>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</si>
  <si>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</si>
  <si>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</si>
  <si>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</si>
  <si>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</si>
  <si>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</si>
  <si>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</si>
  <si>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</si>
  <si>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</si>
  <si>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</si>
  <si>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</si>
  <si>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</si>
  <si>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</si>
  <si>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</si>
  <si>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</si>
  <si>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</si>
  <si>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</si>
  <si>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</si>
  <si>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</si>
  <si>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</si>
  <si>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</si>
  <si>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</si>
  <si>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</si>
  <si>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</si>
  <si>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</si>
  <si>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</si>
  <si>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</si>
  <si>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</si>
  <si>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</si>
  <si>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</si>
  <si>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</si>
  <si>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</si>
  <si>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</si>
  <si>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</si>
  <si>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</si>
  <si>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</si>
  <si>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</si>
  <si>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</si>
  <si>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</si>
  <si>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</si>
  <si>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</si>
  <si>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</si>
  <si>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</si>
  <si>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</si>
  <si>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</si>
  <si>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</si>
  <si>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</si>
  <si>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</si>
  <si>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</si>
  <si>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</si>
  <si>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</si>
  <si>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</si>
  <si>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</si>
  <si>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</si>
  <si>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</si>
  <si>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</si>
  <si>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</si>
  <si>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</si>
  <si>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</si>
  <si>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</si>
  <si>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</si>
  <si>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</si>
  <si>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</si>
  <si>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</si>
  <si>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</si>
  <si>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</si>
  <si>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</si>
  <si>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</si>
  <si>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</si>
  <si>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</si>
  <si>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</si>
  <si>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</si>
  <si>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</si>
  <si>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</si>
  <si>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</si>
  <si>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</si>
  <si>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</si>
  <si>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</si>
  <si>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</si>
  <si>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</si>
  <si>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</si>
  <si>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</si>
  <si>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</si>
  <si>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</si>
  <si>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</si>
  <si>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</si>
  <si>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</si>
  <si>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</si>
  <si>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</si>
  <si>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</si>
  <si>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</si>
  <si>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</si>
  <si>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</si>
  <si>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</si>
  <si>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</si>
  <si>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</si>
  <si>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</si>
  <si>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</si>
  <si>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</si>
  <si>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</si>
  <si>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</si>
  <si>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</si>
  <si>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</si>
  <si>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</si>
  <si>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</si>
  <si>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</si>
  <si>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</si>
  <si>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</si>
  <si>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</si>
  <si>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</si>
  <si>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</si>
  <si>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</si>
  <si>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</si>
  <si>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</si>
  <si>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</si>
  <si>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</si>
  <si>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</si>
  <si>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</si>
  <si>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</si>
  <si>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</si>
  <si>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</si>
  <si>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</si>
  <si>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</si>
  <si>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</si>
  <si>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</si>
  <si>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</si>
  <si>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</si>
  <si>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</si>
  <si>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</si>
  <si>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</si>
  <si>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</si>
  <si>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</si>
  <si>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</si>
  <si>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</si>
  <si>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</si>
  <si>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</si>
  <si>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</si>
  <si>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</si>
  <si>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</si>
  <si>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</si>
  <si>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</si>
  <si>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</si>
  <si>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</si>
  <si>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</si>
  <si>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</si>
  <si>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</si>
  <si>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</si>
  <si>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</si>
  <si>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</si>
  <si>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</si>
  <si>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</si>
  <si>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</si>
  <si>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</si>
  <si>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</si>
  <si>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</si>
  <si>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</si>
  <si>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</si>
  <si>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</si>
  <si>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</si>
  <si>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</si>
  <si>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</si>
  <si>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</si>
  <si>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</si>
  <si>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</si>
  <si>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</si>
  <si>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</si>
  <si>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</si>
  <si>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</si>
  <si>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</si>
  <si>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</si>
  <si>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</si>
  <si>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</si>
  <si>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</si>
  <si>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</si>
  <si>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</si>
  <si>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</si>
  <si>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</si>
  <si>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</si>
  <si>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</si>
  <si>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</si>
  <si>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</si>
  <si>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</si>
  <si>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</si>
  <si>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</si>
  <si>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</si>
  <si>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</si>
  <si>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</si>
  <si>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</si>
  <si>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</si>
  <si>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</si>
  <si>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</si>
  <si>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</si>
  <si>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</si>
  <si>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</si>
  <si>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</si>
  <si>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</si>
  <si>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</si>
  <si>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</si>
  <si>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</si>
  <si>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</si>
  <si>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</si>
  <si>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</si>
  <si>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</si>
  <si>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</si>
  <si>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Daniel Keyes</t>
  </si>
  <si>
    <t>S.E. Hinton</t>
  </si>
  <si>
    <t>Wallace Stegner</t>
  </si>
  <si>
    <t>Gregory Clark</t>
  </si>
  <si>
    <t>Anthony Swofford</t>
  </si>
  <si>
    <t>Paul Fussell</t>
  </si>
  <si>
    <t>Eliezer Yudkowsky</t>
  </si>
  <si>
    <t>László Polgár</t>
  </si>
  <si>
    <t>Erik Larson</t>
  </si>
  <si>
    <t>Barry Sears</t>
  </si>
  <si>
    <t>Jean Paul Zogby</t>
  </si>
  <si>
    <t>John F. O'Hanlon</t>
  </si>
  <si>
    <t>Mitchell Duneier</t>
  </si>
  <si>
    <t>Daniel Defoe</t>
  </si>
  <si>
    <t>Philip J. Guo</t>
  </si>
  <si>
    <t>Elbert Hubbard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</si>
  <si>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</si>
  <si>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</si>
  <si>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</si>
  <si>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</si>
  <si>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</si>
  <si>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</si>
  <si>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</si>
  <si>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</si>
  <si>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</si>
  <si>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</si>
  <si>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</si>
  <si>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</si>
  <si>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</si>
  <si>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</si>
  <si>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</si>
  <si>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Gabriel García Márquez</t>
  </si>
  <si>
    <t>Franz Kafka</t>
  </si>
  <si>
    <t>Walter Isaacson</t>
  </si>
  <si>
    <t>Jacques-Yves Cousteau</t>
  </si>
  <si>
    <t>Patrick Radden Keefe</t>
  </si>
  <si>
    <t>Richard P. Feynman</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</si>
  <si>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</si>
  <si>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</si>
  <si>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</si>
  <si>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</si>
  <si>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</si>
  <si>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</si>
  <si>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</si>
  <si>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</si>
  <si>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</si>
  <si>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</si>
  <si>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</si>
  <si>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</si>
  <si>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</si>
  <si>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</si>
  <si>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</si>
  <si>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</si>
  <si>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</si>
  <si>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</si>
  <si>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</si>
  <si>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</si>
  <si>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</si>
  <si>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</si>
  <si>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</si>
  <si>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</si>
  <si>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</si>
  <si>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</si>
  <si>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</si>
  <si>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</si>
  <si>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</si>
  <si>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</si>
  <si>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</si>
  <si>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</si>
  <si>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</si>
  <si>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</si>
  <si>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</si>
  <si>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</si>
  <si>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</si>
  <si>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</si>
  <si>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</si>
  <si>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</si>
  <si>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</si>
  <si>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</si>
  <si>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</si>
  <si>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</si>
  <si>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</si>
  <si>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</si>
  <si>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</si>
  <si>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</si>
  <si>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</si>
  <si>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</si>
  <si>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</si>
  <si>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</si>
  <si>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</si>
  <si>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</si>
  <si>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</si>
  <si>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</si>
  <si>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</si>
  <si>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</si>
  <si>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</si>
  <si>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</si>
  <si>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</si>
  <si>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</si>
  <si>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</si>
  <si>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</si>
  <si>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</si>
  <si>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</si>
  <si>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</si>
  <si>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</si>
  <si>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</si>
  <si>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</si>
  <si>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</si>
  <si>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</si>
  <si>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</si>
  <si>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</si>
  <si>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</si>
  <si>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</si>
  <si>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</si>
  <si>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</si>
  <si>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</si>
  <si>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</si>
  <si>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</si>
  <si>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</si>
  <si>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</si>
  <si>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</si>
  <si>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</si>
  <si>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</si>
  <si>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</si>
  <si>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</si>
  <si>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</si>
  <si>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</si>
  <si>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</si>
  <si>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</si>
  <si>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</si>
  <si>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</si>
  <si>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</si>
  <si>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</si>
  <si>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</si>
  <si>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</si>
  <si>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</si>
  <si>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</si>
  <si>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</si>
  <si>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</si>
  <si>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</si>
  <si>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</si>
  <si>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</si>
  <si>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</si>
  <si>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</si>
  <si>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</si>
  <si>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</si>
  <si>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</si>
  <si>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</si>
  <si>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</si>
  <si>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</si>
  <si>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</si>
  <si>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</si>
  <si>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</si>
  <si>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</si>
  <si>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</si>
  <si>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</si>
  <si>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</si>
  <si>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</si>
  <si>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</si>
  <si>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</si>
  <si>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</si>
  <si>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</si>
  <si>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</si>
  <si>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</si>
  <si>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</si>
  <si>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</si>
  <si>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</si>
  <si>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</si>
  <si>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</si>
  <si>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</si>
  <si>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</si>
  <si>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</si>
  <si>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</si>
  <si>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</si>
  <si>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</si>
  <si>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</si>
  <si>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</si>
  <si>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</si>
  <si>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</si>
  <si>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</si>
  <si>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</si>
  <si>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</si>
  <si>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</si>
  <si>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</si>
  <si>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</si>
  <si>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</si>
  <si>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</si>
  <si>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</si>
  <si>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</si>
  <si>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</si>
  <si>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</si>
  <si>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</si>
  <si>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</si>
  <si>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</si>
  <si>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</si>
  <si>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</si>
  <si>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</si>
  <si>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</si>
  <si>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</si>
  <si>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</si>
  <si>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</si>
  <si>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</si>
  <si>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</si>
  <si>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</si>
  <si>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</si>
  <si>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</si>
  <si>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</si>
  <si>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</si>
  <si>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</si>
  <si>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</si>
  <si>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</si>
  <si>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</si>
  <si>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</si>
  <si>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</si>
  <si>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</si>
  <si>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</si>
  <si>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</si>
  <si>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</si>
  <si>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</si>
  <si>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</si>
  <si>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</si>
  <si>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</si>
  <si>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</si>
  <si>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</si>
  <si>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</si>
  <si>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</si>
  <si>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</si>
  <si>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</si>
  <si>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</si>
  <si>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</si>
  <si>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</si>
  <si>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</si>
  <si>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</si>
  <si>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</si>
  <si>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</si>
  <si>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</si>
  <si>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</si>
  <si>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</si>
  <si>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</si>
  <si>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</si>
  <si>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</si>
  <si>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</si>
  <si>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</si>
  <si>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</si>
  <si>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</si>
  <si>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</si>
  <si>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</si>
  <si>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</si>
  <si>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</si>
  <si>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</si>
  <si>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</si>
  <si>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</si>
  <si>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</si>
  <si>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</si>
  <si>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</si>
  <si>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</si>
  <si>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</si>
  <si>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</si>
  <si>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</si>
  <si>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</si>
  <si>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</si>
  <si>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</si>
  <si>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</si>
  <si>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</si>
  <si>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</si>
  <si>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</si>
  <si>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</si>
  <si>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</si>
  <si>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</si>
  <si>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</si>
  <si>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</si>
  <si>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</si>
  <si>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</si>
  <si>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</si>
  <si>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</si>
  <si>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</si>
  <si>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</si>
  <si>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</si>
  <si>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</si>
  <si>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</si>
  <si>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</si>
  <si>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</si>
  <si>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</si>
  <si>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</si>
  <si>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</si>
  <si>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</si>
  <si>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</si>
  <si>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</si>
  <si>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</si>
  <si>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</si>
  <si>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</si>
  <si>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</si>
  <si>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</si>
  <si>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</si>
  <si>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</si>
  <si>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</si>
  <si>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</si>
  <si>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</si>
  <si>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</si>
  <si>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</si>
  <si>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</si>
  <si>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</si>
  <si>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</si>
  <si>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</si>
  <si>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</si>
  <si>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</si>
  <si>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</si>
  <si>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</si>
  <si>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</si>
  <si>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</si>
  <si>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</si>
  <si>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</si>
  <si>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</si>
  <si>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</si>
  <si>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</si>
  <si>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</si>
  <si>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</si>
  <si>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</si>
  <si>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</si>
  <si>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</si>
  <si>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</si>
  <si>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</si>
  <si>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</si>
  <si>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</si>
  <si>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</si>
  <si>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</si>
  <si>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</si>
  <si>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</si>
  <si>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</si>
  <si>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</si>
  <si>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</si>
  <si>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</si>
  <si>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</si>
  <si>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</si>
  <si>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</si>
  <si>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</si>
  <si>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</si>
  <si>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</si>
  <si>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</si>
  <si>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</si>
  <si>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</si>
  <si>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</si>
  <si>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</si>
  <si>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</si>
  <si>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</si>
  <si>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</si>
  <si>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</si>
  <si>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</si>
  <si>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</si>
  <si>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</si>
  <si>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</si>
  <si>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</si>
  <si>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</si>
  <si>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</si>
  <si>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</si>
  <si>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</si>
  <si>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</si>
  <si>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</si>
  <si>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</si>
  <si>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</si>
  <si>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</si>
  <si>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</si>
  <si>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</si>
  <si>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</si>
  <si>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</si>
  <si>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</si>
  <si>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</si>
  <si>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</si>
  <si>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</si>
  <si>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</si>
  <si>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</si>
  <si>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</si>
  <si>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</si>
  <si>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</si>
  <si>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</si>
  <si>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Keyes, Daniel</t>
  </si>
  <si>
    <t>Hinton, S.E.</t>
  </si>
  <si>
    <t>Stegner, Wallace</t>
  </si>
  <si>
    <t>Clark, Gregory</t>
  </si>
  <si>
    <t>Swofford, Anthony</t>
  </si>
  <si>
    <t>Fussell, Paul</t>
  </si>
  <si>
    <t>Yudkowsky, Eliezer</t>
  </si>
  <si>
    <t>Polgár, László</t>
  </si>
  <si>
    <t>Larson, Erik</t>
  </si>
  <si>
    <t>Sears, Barry</t>
  </si>
  <si>
    <t>Zogby, Jean Paul</t>
  </si>
  <si>
    <t>O'Hanlon, John F.</t>
  </si>
  <si>
    <t>Duneier, Mitchell</t>
  </si>
  <si>
    <t>Defoe, Daniel</t>
  </si>
  <si>
    <t>Guo, Philip J.</t>
  </si>
  <si>
    <t>Hubbard, Elbert</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</si>
  <si>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</si>
  <si>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</si>
  <si>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</si>
  <si>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</si>
  <si>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</si>
  <si>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</si>
  <si>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</si>
  <si>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</si>
  <si>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</si>
  <si>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</si>
  <si>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</si>
  <si>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</si>
  <si>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</si>
  <si>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</si>
  <si>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</si>
  <si>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Márquez, Gabriel García</t>
  </si>
  <si>
    <t>Kafka, Franz</t>
  </si>
  <si>
    <t>Isaacson, Walter</t>
  </si>
  <si>
    <t>Cousteau, Jacques-Yves</t>
  </si>
  <si>
    <t>Keefe, Patrick Radden</t>
  </si>
  <si>
    <t>Feynman, Richard P.</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</si>
  <si>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</si>
  <si>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</si>
  <si>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</si>
  <si>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</si>
  <si>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</si>
  <si>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</si>
  <si>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</si>
  <si>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</si>
  <si>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</si>
  <si>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</si>
  <si>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</si>
  <si>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</si>
  <si>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</si>
  <si>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</si>
  <si>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</si>
  <si>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</si>
  <si>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</si>
  <si>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</si>
  <si>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</si>
  <si>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</si>
  <si>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</si>
  <si>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</si>
  <si>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</si>
  <si>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</si>
  <si>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</si>
  <si>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</si>
  <si>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</si>
  <si>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</si>
  <si>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</si>
  <si>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</si>
  <si>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</si>
  <si>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</si>
  <si>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</si>
  <si>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</si>
  <si>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</si>
  <si>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</si>
  <si>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</si>
  <si>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</si>
  <si>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</si>
  <si>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</si>
  <si>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</si>
  <si>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</si>
  <si>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</si>
  <si>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</si>
  <si>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</si>
  <si>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</si>
  <si>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</si>
  <si>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</si>
  <si>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</si>
  <si>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</si>
  <si>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</si>
  <si>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</si>
  <si>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</si>
  <si>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</si>
  <si>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</si>
  <si>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</si>
  <si>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</si>
  <si>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</si>
  <si>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</si>
  <si>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</si>
  <si>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</si>
  <si>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</si>
  <si>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</si>
  <si>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</si>
  <si>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</si>
  <si>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</si>
  <si>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</si>
  <si>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</si>
  <si>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</si>
  <si>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</si>
  <si>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</si>
  <si>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</si>
  <si>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</si>
  <si>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</si>
  <si>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</si>
  <si>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</si>
  <si>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</si>
  <si>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</si>
  <si>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</si>
  <si>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</si>
  <si>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</si>
  <si>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</si>
  <si>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</si>
  <si>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</si>
  <si>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</si>
  <si>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</si>
  <si>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</si>
  <si>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</si>
  <si>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</si>
  <si>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</si>
  <si>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</si>
  <si>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</si>
  <si>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</si>
  <si>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</si>
  <si>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</si>
  <si>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</si>
  <si>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</si>
  <si>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</si>
  <si>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</si>
  <si>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</si>
  <si>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</si>
  <si>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</si>
  <si>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</si>
  <si>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</si>
  <si>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</si>
  <si>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</si>
  <si>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</si>
  <si>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</si>
  <si>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</si>
  <si>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</si>
  <si>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</si>
  <si>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</si>
  <si>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</si>
  <si>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</si>
  <si>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</si>
  <si>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</si>
  <si>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</si>
  <si>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</si>
  <si>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</si>
  <si>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</si>
  <si>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</si>
  <si>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</si>
  <si>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</si>
  <si>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</si>
  <si>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</si>
  <si>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</si>
  <si>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</si>
  <si>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</si>
  <si>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</si>
  <si>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</si>
  <si>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</si>
  <si>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</si>
  <si>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</si>
  <si>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</si>
  <si>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</si>
  <si>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</si>
  <si>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</si>
  <si>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</si>
  <si>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</si>
  <si>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</si>
  <si>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</si>
  <si>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</si>
  <si>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</si>
  <si>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</si>
  <si>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</si>
  <si>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</si>
  <si>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</si>
  <si>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</si>
  <si>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</si>
  <si>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</si>
  <si>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</si>
  <si>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</si>
  <si>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</si>
  <si>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</si>
  <si>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</si>
  <si>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</si>
  <si>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</si>
  <si>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</si>
  <si>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</si>
  <si>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</si>
  <si>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</si>
  <si>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</si>
  <si>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</si>
  <si>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</si>
  <si>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</si>
  <si>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</si>
  <si>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</si>
  <si>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</si>
  <si>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</si>
  <si>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</si>
  <si>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</si>
  <si>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</si>
  <si>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</si>
  <si>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</si>
  <si>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</si>
  <si>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</si>
  <si>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</si>
  <si>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</si>
  <si>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</si>
  <si>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</si>
  <si>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</si>
  <si>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</si>
  <si>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</si>
  <si>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</si>
  <si>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</si>
  <si>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</si>
  <si>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</si>
  <si>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</si>
  <si>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</si>
  <si>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</si>
  <si>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</si>
  <si>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</si>
  <si>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</si>
  <si>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</si>
  <si>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</si>
  <si>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</si>
  <si>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</si>
  <si>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</si>
  <si>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</si>
  <si>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</si>
  <si>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</si>
  <si>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</si>
  <si>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</si>
  <si>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</si>
  <si>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</si>
  <si>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</si>
  <si>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</si>
  <si>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</si>
  <si>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</si>
  <si>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</si>
  <si>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</si>
  <si>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</si>
  <si>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</si>
  <si>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</si>
  <si>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</si>
  <si>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</si>
  <si>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</si>
  <si>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</si>
  <si>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</si>
  <si>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</si>
  <si>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</si>
  <si>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</si>
  <si>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</si>
  <si>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</si>
  <si>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</si>
  <si>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</si>
  <si>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</si>
  <si>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</si>
  <si>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</si>
  <si>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</si>
  <si>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</si>
  <si>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</si>
  <si>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</si>
  <si>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</si>
  <si>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</si>
  <si>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</si>
  <si>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</si>
  <si>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</si>
  <si>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</si>
  <si>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</si>
  <si>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</si>
  <si>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</si>
  <si>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</si>
  <si>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</si>
  <si>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</si>
  <si>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</si>
  <si>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</si>
  <si>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</si>
  <si>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</si>
  <si>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</si>
  <si>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</si>
  <si>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</si>
  <si>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</si>
  <si>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</si>
  <si>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</si>
  <si>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</si>
  <si>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</si>
  <si>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</si>
  <si>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</si>
  <si>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</si>
  <si>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</si>
  <si>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</si>
  <si>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</si>
  <si>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</si>
  <si>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</si>
  <si>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</si>
  <si>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</si>
  <si>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</si>
  <si>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</si>
  <si>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</si>
  <si>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</si>
  <si>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</si>
  <si>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</si>
  <si>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</si>
  <si>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</si>
  <si>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</si>
  <si>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</si>
  <si>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</si>
  <si>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</si>
  <si>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</si>
  <si>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</si>
  <si>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</si>
  <si>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</si>
  <si>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</si>
  <si>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</si>
  <si>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</si>
  <si>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</si>
  <si>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</si>
  <si>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</si>
  <si>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</si>
  <si>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</si>
  <si>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</si>
  <si>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</si>
  <si>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</si>
  <si>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</si>
  <si>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</si>
  <si>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</si>
  <si>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</si>
  <si>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</si>
  <si>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</si>
  <si>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</si>
  <si>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</si>
  <si>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</si>
  <si>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</si>
  <si>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</si>
  <si>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</si>
  <si>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</si>
  <si>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</si>
  <si>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</si>
  <si>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</si>
  <si>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</si>
  <si>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</si>
  <si>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</si>
  <si>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</si>
  <si>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</si>
  <si>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</si>
  <si>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</si>
  <si>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</si>
  <si>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</si>
  <si>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</si>
  <si>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</si>
  <si>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</si>
  <si>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</si>
  <si>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</si>
  <si>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</si>
  <si>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</si>
  <si>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</si>
  <si>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</si>
  <si>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</si>
  <si>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</si>
  <si>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</si>
  <si>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</si>
  <si>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</si>
  <si>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</si>
  <si>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</si>
  <si>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</si>
  <si>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</si>
  <si>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</si>
  <si>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</si>
  <si>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Jozefo Horvath, Gordon Tisher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</si>
  <si>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</si>
  <si>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</si>
  <si>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</si>
  <si>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</si>
  <si>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</si>
  <si>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</si>
  <si>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</si>
  <si>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</si>
  <si>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</si>
  <si>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</si>
  <si>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</si>
  <si>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</si>
  <si>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</si>
  <si>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</si>
  <si>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</si>
  <si>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</si>
  <si>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</si>
  <si>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</si>
  <si>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</si>
  <si>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</si>
  <si>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</si>
  <si>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</si>
  <si>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</si>
  <si>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</si>
  <si>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</si>
  <si>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</si>
  <si>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</si>
  <si>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</si>
  <si>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</si>
  <si>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</si>
  <si>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</si>
  <si>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</si>
  <si>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</si>
  <si>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</si>
  <si>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</si>
  <si>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</si>
  <si>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</si>
  <si>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</si>
  <si>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</si>
  <si>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</si>
  <si>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</si>
  <si>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</si>
  <si>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</si>
  <si>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</si>
  <si>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</si>
  <si>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</si>
  <si>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</si>
  <si>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</si>
  <si>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</si>
  <si>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</si>
  <si>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</si>
  <si>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</si>
  <si>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</si>
  <si>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</si>
  <si>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</si>
  <si>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</si>
  <si>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</si>
  <si>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</si>
  <si>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</si>
  <si>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</si>
  <si>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</si>
  <si>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</si>
  <si>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</si>
  <si>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</si>
  <si>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</si>
  <si>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</si>
  <si>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</si>
  <si>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</si>
  <si>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</si>
  <si>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</si>
  <si>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</si>
  <si>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</si>
  <si>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</si>
  <si>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</si>
  <si>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</si>
  <si>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</si>
  <si>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</si>
  <si>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</si>
  <si>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</si>
  <si>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</si>
  <si>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</si>
  <si>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</si>
  <si>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</si>
  <si>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</si>
  <si>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</si>
  <si>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</si>
  <si>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</si>
  <si>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</si>
  <si>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</si>
  <si>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</si>
  <si>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</si>
  <si>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</si>
  <si>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</si>
  <si>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</si>
  <si>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</si>
  <si>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</si>
  <si>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</si>
  <si>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</si>
  <si>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</si>
  <si>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</si>
  <si>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</si>
  <si>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</si>
  <si>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</si>
  <si>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</si>
  <si>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</si>
  <si>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</si>
  <si>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</si>
  <si>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</si>
  <si>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</si>
  <si>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</si>
  <si>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</si>
  <si>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</si>
  <si>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</si>
  <si>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</si>
  <si>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</si>
  <si>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</si>
  <si>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</si>
  <si>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</si>
  <si>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</si>
  <si>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</si>
  <si>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</si>
  <si>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</si>
  <si>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</si>
  <si>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</si>
  <si>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</si>
  <si>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</si>
  <si>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</si>
  <si>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</si>
  <si>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</si>
  <si>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</si>
  <si>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</si>
  <si>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</si>
  <si>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</si>
  <si>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</si>
  <si>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</si>
  <si>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</si>
  <si>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</si>
  <si>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</si>
  <si>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</si>
  <si>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</si>
  <si>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</si>
  <si>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</si>
  <si>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</si>
  <si>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</si>
  <si>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</si>
  <si>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</si>
  <si>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</si>
  <si>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Harvest Books</t>
  </si>
  <si>
    <t>Puffin Books (US/CAN)</t>
  </si>
  <si>
    <t>Penguin Books</t>
  </si>
  <si>
    <t>Princeton University Press</t>
  </si>
  <si>
    <t>Scribner</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</si>
  <si>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</si>
  <si>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</si>
  <si>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</si>
  <si>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</si>
  <si>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</si>
  <si>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</si>
  <si>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</si>
  <si>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</si>
  <si>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</si>
  <si>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</si>
  <si>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</si>
  <si>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Alfred A. Knopf</t>
  </si>
  <si>
    <t>Riverhead Books</t>
  </si>
  <si>
    <t>Hachette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</si>
  <si>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</si>
  <si>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</si>
  <si>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</si>
  <si>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</si>
  <si>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</si>
  <si>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</si>
  <si>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</si>
  <si>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</si>
  <si>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</si>
  <si>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</si>
  <si>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</si>
  <si>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</si>
  <si>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</si>
  <si>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</si>
  <si>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</si>
  <si>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</si>
  <si>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</si>
  <si>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</si>
  <si>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</si>
  <si>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Crown Business</t>
  </si>
  <si>
    <t>University of Minnesota Press</t>
  </si>
  <si>
    <t>Open Court</t>
  </si>
  <si>
    <t>William Morrow</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</si>
  <si>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</si>
  <si>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</si>
  <si>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</si>
  <si>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</si>
  <si>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</si>
  <si>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</si>
  <si>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</si>
  <si>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</si>
  <si>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</si>
  <si>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</si>
  <si>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</si>
  <si>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</si>
  <si>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</si>
  <si>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</si>
  <si>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</si>
  <si>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</si>
  <si>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</si>
  <si>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</si>
  <si>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</si>
  <si>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</si>
  <si>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</si>
  <si>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</si>
  <si>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</si>
  <si>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</si>
  <si>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</si>
  <si>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</si>
  <si>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</si>
  <si>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</si>
  <si>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</si>
  <si>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</si>
  <si>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</si>
  <si>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</si>
  <si>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</si>
  <si>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</si>
  <si>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</si>
  <si>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</si>
  <si>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</si>
  <si>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</si>
  <si>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</si>
  <si>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</si>
  <si>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</si>
  <si>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</si>
  <si>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</si>
  <si>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</si>
  <si>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</si>
  <si>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</si>
  <si>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</si>
  <si>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</si>
  <si>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</si>
  <si>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</si>
  <si>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</si>
  <si>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</si>
  <si>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</si>
  <si>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</si>
  <si>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</si>
  <si>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</si>
  <si>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</si>
  <si>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</si>
  <si>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</si>
  <si>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</si>
  <si>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</si>
  <si>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</si>
  <si>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</si>
  <si>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</si>
  <si>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</si>
  <si>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</si>
  <si>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</si>
  <si>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</si>
  <si>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</si>
  <si>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</si>
  <si>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</si>
  <si>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</si>
  <si>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</si>
  <si>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</si>
  <si>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</si>
  <si>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</si>
  <si>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</si>
  <si>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</si>
  <si>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</si>
  <si>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</si>
  <si>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</si>
  <si>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</si>
  <si>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</si>
  <si>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</si>
  <si>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</si>
  <si>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</si>
  <si>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</si>
  <si>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</si>
  <si>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</si>
  <si>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</si>
  <si>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</si>
  <si>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</si>
  <si>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</si>
  <si>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</si>
  <si>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</si>
  <si>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</si>
  <si>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</si>
  <si>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</si>
  <si>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</si>
  <si>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</si>
  <si>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</si>
  <si>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</si>
  <si>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</si>
  <si>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</si>
  <si>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</si>
  <si>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</si>
  <si>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</si>
  <si>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</si>
  <si>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</si>
  <si>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</si>
  <si>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</si>
  <si>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</si>
  <si>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</si>
  <si>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</si>
  <si>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</si>
  <si>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</si>
  <si>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</si>
  <si>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</si>
  <si>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</si>
  <si>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</si>
  <si>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</si>
  <si>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</si>
  <si>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</si>
  <si>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</si>
  <si>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</si>
  <si>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</si>
  <si>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</si>
  <si>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</si>
  <si>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</si>
  <si>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</si>
  <si>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</si>
  <si>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</si>
  <si>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</si>
  <si>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</si>
  <si>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</si>
  <si>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</si>
  <si>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</si>
  <si>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</si>
  <si>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</si>
  <si>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</si>
  <si>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</si>
  <si>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</si>
  <si>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</si>
  <si>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</si>
  <si>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</si>
  <si>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</si>
  <si>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</si>
  <si>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</si>
  <si>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</si>
  <si>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</si>
  <si>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</si>
  <si>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</si>
  <si>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</si>
  <si>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</si>
  <si>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</si>
  <si>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</si>
  <si>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</si>
  <si>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</si>
  <si>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</si>
  <si>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</si>
  <si>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</si>
  <si>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</si>
  <si>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</si>
  <si>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</si>
  <si>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</si>
  <si>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</si>
  <si>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</si>
  <si>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</si>
  <si>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</si>
  <si>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</si>
  <si>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</si>
  <si>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</si>
  <si>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</si>
  <si>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</si>
  <si>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</si>
  <si>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</si>
  <si>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</si>
  <si>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</si>
  <si>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</si>
  <si>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</si>
  <si>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</si>
  <si>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</si>
  <si>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</si>
  <si>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</si>
  <si>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</si>
  <si>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</si>
  <si>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</si>
  <si>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</si>
  <si>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</si>
  <si>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</si>
  <si>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</si>
  <si>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</si>
  <si>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</si>
  <si>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</si>
  <si>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</si>
  <si>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</si>
  <si>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</si>
  <si>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</si>
  <si>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</si>
  <si>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</si>
  <si>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</si>
  <si>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</si>
  <si>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</si>
  <si>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</si>
  <si>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</si>
  <si>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</si>
  <si>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</si>
  <si>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</si>
  <si>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</si>
  <si>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</si>
  <si>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</si>
  <si>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</si>
  <si>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</si>
  <si>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</si>
  <si>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</si>
  <si>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</si>
  <si>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</si>
  <si>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</si>
  <si>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</si>
  <si>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</si>
  <si>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</si>
  <si>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</si>
  <si>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</si>
  <si>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</si>
  <si>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</si>
  <si>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</si>
  <si>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</si>
  <si>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</si>
  <si>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</si>
  <si>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</si>
  <si>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</si>
  <si>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</si>
  <si>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</si>
  <si>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</si>
  <si>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</si>
  <si>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</si>
  <si>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</si>
  <si>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</si>
  <si>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Mass Market Paperback</t>
  </si>
  <si>
    <t>Hardcover</t>
  </si>
  <si>
    <t>Kindle Edition</t>
  </si>
  <si>
    <t>ebook</t>
  </si>
  <si>
    <t>paperback</t>
  </si>
  <si>
    <t>paper</t>
  </si>
  <si>
    <t>Trade Paperback</t>
  </si>
  <si>
    <t>Leather Bound</t>
  </si>
  <si>
    <t>Unknown Binding</t>
  </si>
  <si>
    <t>Audio CD</t>
  </si>
  <si>
    <t>2020/05/20</t>
  </si>
  <si>
    <t>2020/05/19</t>
  </si>
  <si>
    <t>2020/05/18</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</si>
  <si>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</si>
  <si>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</si>
  <si>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</si>
  <si>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</si>
  <si>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</si>
  <si>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</si>
  <si>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</si>
  <si>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</si>
  <si>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</si>
  <si>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</si>
  <si>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</si>
  <si>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</si>
  <si>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</si>
  <si>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</si>
  <si>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</si>
  <si>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</si>
  <si>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</si>
  <si>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</si>
  <si>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</si>
  <si>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</si>
  <si>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</si>
  <si>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</si>
  <si>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</si>
  <si>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</si>
  <si>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</si>
  <si>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</si>
  <si>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</si>
  <si>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</si>
  <si>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</si>
  <si>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</si>
  <si>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</si>
  <si>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</si>
  <si>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2020/04/17</t>
  </si>
  <si>
    <t>2020/05/10</t>
  </si>
  <si>
    <t>2020/04/12</t>
  </si>
  <si>
    <t>2019/12/25</t>
  </si>
  <si>
    <t>2020/05/17</t>
  </si>
  <si>
    <t>2020/05/15</t>
  </si>
  <si>
    <t>2020/04/03</t>
  </si>
  <si>
    <t>2019/12/22</t>
  </si>
  <si>
    <t>2020/04/28</t>
  </si>
  <si>
    <t>2020/04/26</t>
  </si>
  <si>
    <t>2020/04/24</t>
  </si>
  <si>
    <t>2020/04/21</t>
  </si>
  <si>
    <t>2020/04/19</t>
  </si>
  <si>
    <t>2020/04/15</t>
  </si>
  <si>
    <t>2020/02/19</t>
  </si>
  <si>
    <t>2020/02/28</t>
  </si>
  <si>
    <t>2019/08/25</t>
  </si>
  <si>
    <t>2020/04/11</t>
  </si>
  <si>
    <t>2020/04/10</t>
  </si>
  <si>
    <t>2020/04/05</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</si>
  <si>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</si>
  <si>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</si>
  <si>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</si>
  <si>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</si>
  <si>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</si>
  <si>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</si>
  <si>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</si>
  <si>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</si>
  <si>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</si>
  <si>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</si>
  <si>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</si>
  <si>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</si>
  <si>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</si>
  <si>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</si>
  <si>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</si>
  <si>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</si>
  <si>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</si>
  <si>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</si>
  <si>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</si>
  <si>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</si>
  <si>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</si>
  <si>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</si>
  <si>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</si>
  <si>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</si>
  <si>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</si>
  <si>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</si>
  <si>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</si>
  <si>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</si>
  <si>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</si>
  <si>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</si>
  <si>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</si>
  <si>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</si>
  <si>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</si>
  <si>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</si>
  <si>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</si>
  <si>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</si>
  <si>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</si>
  <si>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</si>
  <si>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</si>
  <si>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</si>
  <si>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</si>
  <si>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</si>
  <si>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</si>
  <si>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</si>
  <si>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</si>
  <si>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</si>
  <si>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</si>
  <si>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</si>
  <si>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</si>
  <si>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</si>
  <si>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</si>
  <si>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</si>
  <si>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(#265)</t>
  </si>
  <si>
    <t>to-read (#264)</t>
  </si>
  <si>
    <t>currently-reading (#4)</t>
  </si>
  <si>
    <t>currently-reading (#3)</t>
  </si>
  <si>
    <t>to-read (#263)</t>
  </si>
  <si>
    <t>to-read (#262)</t>
  </si>
  <si>
    <t>to-read (#261)</t>
  </si>
  <si>
    <t>to-read (#260)</t>
  </si>
  <si>
    <t>to-read (#259)</t>
  </si>
  <si>
    <t>to-read (#258)</t>
  </si>
  <si>
    <t>favorites (#5)</t>
  </si>
  <si>
    <t>to-read (#257)</t>
  </si>
  <si>
    <t>to-read (#256)</t>
  </si>
  <si>
    <t>to-read (#255)</t>
  </si>
  <si>
    <t>to-read (#254)</t>
  </si>
  <si>
    <t>to-read (#253)</t>
  </si>
  <si>
    <t>to-read (#252)</t>
  </si>
  <si>
    <t>to-read (#251)</t>
  </si>
  <si>
    <t>to-read (#250)</t>
  </si>
  <si>
    <t>to-read (#249)</t>
  </si>
  <si>
    <t>to-read (#248)</t>
  </si>
  <si>
    <t>to-read (#247)</t>
  </si>
  <si>
    <t>to-read (#246)</t>
  </si>
  <si>
    <t>to-read (#245)</t>
  </si>
  <si>
    <t>to-read (#243)</t>
  </si>
  <si>
    <t>to-read (#244)</t>
  </si>
  <si>
    <t>to-read (#242)</t>
  </si>
  <si>
    <t>to-read (#241)</t>
  </si>
  <si>
    <t>to-read (#240)</t>
  </si>
  <si>
    <t>to-read (#239)</t>
  </si>
  <si>
    <t>to-read (#238)</t>
  </si>
  <si>
    <t>favorites (#4)</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</si>
  <si>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</si>
  <si>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</si>
  <si>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</si>
  <si>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</si>
  <si>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</si>
  <si>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</si>
  <si>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</si>
  <si>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</si>
  <si>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</si>
  <si>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</si>
  <si>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</si>
  <si>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</si>
  <si>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</si>
  <si>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</si>
  <si>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</si>
  <si>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</si>
  <si>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</si>
  <si>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</si>
  <si>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</si>
  <si>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</si>
  <si>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</si>
  <si>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</si>
  <si>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</si>
  <si>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</si>
  <si>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</si>
  <si>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</si>
  <si>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</si>
  <si>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</si>
  <si>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</si>
  <si>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</si>
  <si>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</si>
  <si>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</si>
  <si>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</si>
  <si>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</si>
  <si>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</si>
  <si>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</si>
  <si>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</si>
  <si>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</si>
  <si>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</si>
  <si>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</si>
  <si>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</si>
  <si>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</si>
  <si>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</si>
  <si>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</si>
  <si>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</si>
  <si>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</si>
  <si>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</si>
  <si>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</si>
  <si>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</si>
  <si>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</si>
  <si>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</si>
  <si>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</si>
  <si>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</si>
  <si>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</si>
  <si>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</si>
  <si>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</si>
  <si>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</si>
  <si>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</si>
  <si>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</si>
  <si>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</si>
  <si>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</si>
  <si>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</si>
  <si>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</si>
  <si>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</si>
  <si>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</si>
  <si>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</si>
  <si>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</si>
  <si>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</si>
  <si>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</si>
  <si>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</si>
  <si>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</si>
  <si>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</si>
  <si>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</si>
  <si>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</si>
  <si>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</si>
  <si>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</si>
  <si>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</si>
  <si>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</si>
  <si>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</si>
  <si>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</si>
  <si>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</si>
  <si>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</si>
  <si>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</si>
  <si>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</si>
  <si>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</si>
  <si>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</si>
  <si>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</si>
  <si>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</si>
  <si>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</si>
  <si>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</si>
  <si>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</si>
  <si>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</si>
  <si>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</si>
  <si>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</si>
  <si>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</si>
  <si>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</si>
  <si>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</si>
  <si>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</si>
  <si>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</si>
  <si>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</si>
  <si>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</si>
  <si>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</si>
  <si>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</si>
  <si>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</si>
  <si>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</si>
  <si>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</si>
  <si>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</si>
  <si>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</si>
  <si>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</si>
  <si>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</si>
  <si>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</si>
  <si>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</si>
  <si>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</si>
  <si>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</si>
  <si>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</si>
  <si>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</si>
  <si>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</si>
  <si>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</si>
  <si>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</si>
  <si>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</si>
  <si>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</si>
  <si>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</si>
  <si>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</si>
  <si>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</si>
  <si>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</si>
  <si>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</si>
  <si>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</si>
  <si>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</si>
  <si>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</si>
  <si>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</si>
  <si>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</si>
  <si>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</si>
  <si>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</si>
  <si>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</si>
  <si>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</si>
  <si>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</si>
  <si>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</si>
  <si>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</si>
  <si>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</si>
  <si>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</si>
  <si>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</si>
  <si>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</si>
  <si>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</si>
  <si>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</si>
  <si>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</si>
  <si>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</si>
  <si>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</si>
  <si>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</si>
  <si>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</si>
  <si>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</si>
  <si>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</si>
  <si>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</si>
  <si>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</si>
  <si>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</si>
  <si>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</si>
  <si>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</si>
  <si>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</si>
  <si>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</si>
  <si>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</si>
  <si>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</si>
  <si>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</si>
  <si>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</si>
  <si>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</si>
  <si>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</si>
  <si>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</si>
  <si>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</si>
  <si>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</si>
  <si>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</si>
  <si>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</si>
  <si>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</si>
  <si>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</si>
  <si>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</si>
  <si>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</si>
  <si>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</si>
  <si>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</si>
  <si>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</si>
  <si>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</si>
  <si>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</si>
  <si>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</si>
  <si>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</si>
  <si>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</si>
  <si>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</si>
  <si>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</si>
  <si>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</si>
  <si>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</si>
  <si>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</si>
  <si>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</si>
  <si>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</si>
  <si>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</si>
  <si>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</si>
  <si>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</si>
  <si>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</si>
  <si>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</si>
  <si>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</si>
  <si>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</si>
  <si>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</si>
  <si>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</si>
  <si>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</si>
  <si>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</si>
  <si>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</si>
  <si>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</si>
  <si>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</si>
  <si>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</si>
  <si>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</si>
  <si>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</si>
  <si>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</si>
  <si>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</si>
  <si>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</si>
  <si>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</si>
  <si>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</si>
  <si>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</si>
  <si>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</si>
  <si>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</si>
  <si>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</si>
  <si>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</si>
  <si>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</si>
  <si>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</si>
  <si>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</si>
  <si>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</si>
  <si>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</si>
  <si>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</si>
  <si>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</si>
  <si>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</si>
  <si>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</si>
  <si>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</si>
  <si>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</si>
  <si>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</si>
  <si>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</si>
  <si>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</si>
  <si>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</si>
  <si>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</si>
  <si>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</si>
  <si>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</si>
  <si>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</si>
  <si>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</si>
  <si>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</si>
  <si>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</si>
  <si>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</si>
  <si>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</si>
  <si>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</si>
  <si>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</si>
  <si>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</si>
  <si>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</si>
  <si>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</si>
  <si>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</si>
  <si>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Bluhm's book &lt;i&gt;Consistency and Change in the Human Personality&lt;/i&gt; (I couldn't find this at all on Google even trying multiple spellings of "Bluhm", please contact me if you are able to),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</si>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</sst>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97"/>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18373</v>
      </c>
      <c r="C2" t="s">
        <v>31</v>
      </c>
      <c r="D2" t="s">
        <v>527</v>
      </c>
      <c r="E2" t="s">
        <v>902</v>
      </c>
      <c r="G2">
        <f>"0156030306"</f>
        <v>0</v>
      </c>
      <c r="H2">
        <f>"9780156030304"</f>
        <v>0</v>
      </c>
      <c r="I2">
        <v>4</v>
      </c>
      <c r="J2">
        <v>4.13</v>
      </c>
      <c r="K2" t="s">
        <v>1426</v>
      </c>
      <c r="L2" t="s">
        <v>1705</v>
      </c>
      <c r="M2">
        <v>311</v>
      </c>
      <c r="N2">
        <v>2005</v>
      </c>
      <c r="O2">
        <v>1966</v>
      </c>
      <c r="P2" t="s">
        <v>1716</v>
      </c>
      <c r="Q2" t="s">
        <v>1751</v>
      </c>
      <c r="T2" t="s">
        <v>2097</v>
      </c>
      <c r="U2" t="s">
        <v>2098</v>
      </c>
      <c r="X2">
        <v>1</v>
      </c>
      <c r="AA2">
        <v>0</v>
      </c>
    </row>
    <row r="3" spans="1:32">
      <c r="A3" s="1">
        <v>1</v>
      </c>
      <c r="B3">
        <v>231804</v>
      </c>
      <c r="C3" t="s">
        <v>32</v>
      </c>
      <c r="D3" t="s">
        <v>528</v>
      </c>
      <c r="E3" t="s">
        <v>903</v>
      </c>
      <c r="G3">
        <f>""</f>
        <v>0</v>
      </c>
      <c r="H3">
        <f>""</f>
        <v>0</v>
      </c>
      <c r="I3">
        <v>0</v>
      </c>
      <c r="J3">
        <v>4.09</v>
      </c>
      <c r="K3" t="s">
        <v>1427</v>
      </c>
      <c r="L3" t="s">
        <v>1706</v>
      </c>
      <c r="M3">
        <v>192</v>
      </c>
      <c r="N3">
        <v>1997</v>
      </c>
      <c r="O3">
        <v>1967</v>
      </c>
      <c r="Q3" t="s">
        <v>1716</v>
      </c>
      <c r="T3" t="s">
        <v>2097</v>
      </c>
      <c r="X3">
        <v>1</v>
      </c>
      <c r="AA3">
        <v>0</v>
      </c>
    </row>
    <row r="4" spans="1:32">
      <c r="A4" s="1">
        <v>2</v>
      </c>
      <c r="B4">
        <v>14895</v>
      </c>
      <c r="C4" t="s">
        <v>33</v>
      </c>
      <c r="D4" t="s">
        <v>529</v>
      </c>
      <c r="E4" t="s">
        <v>904</v>
      </c>
      <c r="G4">
        <f>"0140266747"</f>
        <v>0</v>
      </c>
      <c r="H4">
        <f>"9780140266740"</f>
        <v>0</v>
      </c>
      <c r="I4">
        <v>0</v>
      </c>
      <c r="J4">
        <v>4.05</v>
      </c>
      <c r="K4" t="s">
        <v>1428</v>
      </c>
      <c r="L4" t="s">
        <v>1705</v>
      </c>
      <c r="M4">
        <v>288</v>
      </c>
      <c r="N4">
        <v>1997</v>
      </c>
      <c r="O4">
        <v>1969</v>
      </c>
      <c r="Q4" t="s">
        <v>1716</v>
      </c>
      <c r="R4" t="s">
        <v>1820</v>
      </c>
      <c r="S4" t="s">
        <v>1823</v>
      </c>
      <c r="T4" t="s">
        <v>1820</v>
      </c>
      <c r="X4">
        <v>0</v>
      </c>
      <c r="AA4">
        <v>0</v>
      </c>
    </row>
    <row r="5" spans="1:32">
      <c r="A5" s="1">
        <v>3</v>
      </c>
      <c r="B5">
        <v>150437</v>
      </c>
      <c r="C5" t="s">
        <v>34</v>
      </c>
      <c r="D5" t="s">
        <v>530</v>
      </c>
      <c r="E5" t="s">
        <v>905</v>
      </c>
      <c r="G5">
        <f>"0691121354"</f>
        <v>0</v>
      </c>
      <c r="H5">
        <f>"9780691121352"</f>
        <v>0</v>
      </c>
      <c r="I5">
        <v>0</v>
      </c>
      <c r="J5">
        <v>3.72</v>
      </c>
      <c r="K5" t="s">
        <v>1429</v>
      </c>
      <c r="L5" t="s">
        <v>1707</v>
      </c>
      <c r="M5">
        <v>420</v>
      </c>
      <c r="N5">
        <v>2007</v>
      </c>
      <c r="O5">
        <v>2007</v>
      </c>
      <c r="Q5" t="s">
        <v>1717</v>
      </c>
      <c r="R5" t="s">
        <v>1820</v>
      </c>
      <c r="S5" t="s">
        <v>1824</v>
      </c>
      <c r="T5" t="s">
        <v>1820</v>
      </c>
      <c r="X5">
        <v>0</v>
      </c>
      <c r="AA5">
        <v>0</v>
      </c>
    </row>
    <row r="6" spans="1:32">
      <c r="A6" s="1">
        <v>4</v>
      </c>
      <c r="B6">
        <v>75060</v>
      </c>
      <c r="C6" t="s">
        <v>35</v>
      </c>
      <c r="D6" t="s">
        <v>531</v>
      </c>
      <c r="E6" t="s">
        <v>906</v>
      </c>
      <c r="G6">
        <f>"0743287215"</f>
        <v>0</v>
      </c>
      <c r="H6">
        <f>"9780743287210"</f>
        <v>0</v>
      </c>
      <c r="I6">
        <v>0</v>
      </c>
      <c r="J6">
        <v>3.66</v>
      </c>
      <c r="K6" t="s">
        <v>1430</v>
      </c>
      <c r="L6" t="s">
        <v>1705</v>
      </c>
      <c r="M6">
        <v>260</v>
      </c>
      <c r="N6">
        <v>2005</v>
      </c>
      <c r="O6">
        <v>2003</v>
      </c>
      <c r="Q6" t="s">
        <v>1752</v>
      </c>
      <c r="R6" t="s">
        <v>1821</v>
      </c>
      <c r="S6" t="s">
        <v>1825</v>
      </c>
      <c r="T6" t="s">
        <v>1821</v>
      </c>
      <c r="X6">
        <v>1</v>
      </c>
      <c r="AA6">
        <v>0</v>
      </c>
    </row>
    <row r="7" spans="1:32">
      <c r="A7" s="1">
        <v>5</v>
      </c>
      <c r="B7">
        <v>60044</v>
      </c>
      <c r="C7" t="s">
        <v>36</v>
      </c>
      <c r="D7" t="s">
        <v>532</v>
      </c>
      <c r="E7" t="s">
        <v>907</v>
      </c>
      <c r="G7">
        <f>"0671792253"</f>
        <v>0</v>
      </c>
      <c r="H7">
        <f>"9780671792251"</f>
        <v>0</v>
      </c>
      <c r="I7">
        <v>1</v>
      </c>
      <c r="J7">
        <v>3.94</v>
      </c>
      <c r="K7" t="s">
        <v>1431</v>
      </c>
      <c r="L7" t="s">
        <v>1705</v>
      </c>
      <c r="M7">
        <v>208</v>
      </c>
      <c r="N7">
        <v>1992</v>
      </c>
      <c r="O7">
        <v>1983</v>
      </c>
      <c r="P7" t="s">
        <v>1717</v>
      </c>
      <c r="Q7" t="s">
        <v>1753</v>
      </c>
      <c r="T7" t="s">
        <v>2097</v>
      </c>
      <c r="U7" t="s">
        <v>2099</v>
      </c>
      <c r="X7">
        <v>1</v>
      </c>
      <c r="AA7">
        <v>0</v>
      </c>
    </row>
    <row r="8" spans="1:32">
      <c r="A8" s="1">
        <v>6</v>
      </c>
      <c r="B8">
        <v>25131230</v>
      </c>
      <c r="C8" t="s">
        <v>37</v>
      </c>
      <c r="D8" t="s">
        <v>533</v>
      </c>
      <c r="E8" t="s">
        <v>908</v>
      </c>
      <c r="G8">
        <f>"1939311152"</f>
        <v>0</v>
      </c>
      <c r="H8">
        <f>"9781939311153"</f>
        <v>0</v>
      </c>
      <c r="I8">
        <v>0</v>
      </c>
      <c r="J8">
        <v>4.37</v>
      </c>
      <c r="K8" t="s">
        <v>1432</v>
      </c>
      <c r="L8" t="s">
        <v>1708</v>
      </c>
      <c r="M8">
        <v>1813</v>
      </c>
      <c r="N8">
        <v>2015</v>
      </c>
      <c r="O8">
        <v>2015</v>
      </c>
      <c r="Q8" t="s">
        <v>1718</v>
      </c>
      <c r="R8" t="s">
        <v>1821</v>
      </c>
      <c r="S8" t="s">
        <v>1826</v>
      </c>
      <c r="T8" t="s">
        <v>1821</v>
      </c>
      <c r="X8">
        <v>1</v>
      </c>
      <c r="AA8">
        <v>0</v>
      </c>
    </row>
    <row r="9" spans="1:32">
      <c r="A9" s="1">
        <v>7</v>
      </c>
      <c r="B9">
        <v>40034846</v>
      </c>
      <c r="C9" t="s">
        <v>38</v>
      </c>
      <c r="D9" t="s">
        <v>534</v>
      </c>
      <c r="E9" t="s">
        <v>909</v>
      </c>
      <c r="F9" t="s">
        <v>1278</v>
      </c>
      <c r="G9">
        <f>""</f>
        <v>0</v>
      </c>
      <c r="H9">
        <f>""</f>
        <v>0</v>
      </c>
      <c r="I9">
        <v>4</v>
      </c>
      <c r="J9">
        <v>4.13</v>
      </c>
      <c r="L9" t="s">
        <v>1709</v>
      </c>
      <c r="M9">
        <v>110</v>
      </c>
      <c r="N9">
        <v>2017</v>
      </c>
      <c r="O9">
        <v>1989</v>
      </c>
      <c r="P9" t="s">
        <v>1718</v>
      </c>
      <c r="Q9" t="s">
        <v>1720</v>
      </c>
      <c r="T9" t="s">
        <v>2097</v>
      </c>
      <c r="U9" t="s">
        <v>2100</v>
      </c>
      <c r="X9">
        <v>1</v>
      </c>
      <c r="AA9">
        <v>0</v>
      </c>
    </row>
    <row r="10" spans="1:32">
      <c r="A10" s="1">
        <v>8</v>
      </c>
      <c r="B10">
        <v>259028</v>
      </c>
      <c r="C10" t="s">
        <v>39</v>
      </c>
      <c r="D10" t="s">
        <v>535</v>
      </c>
      <c r="E10" t="s">
        <v>910</v>
      </c>
      <c r="G10">
        <f>"0375725601"</f>
        <v>0</v>
      </c>
      <c r="H10">
        <f>"9780375725609"</f>
        <v>0</v>
      </c>
      <c r="I10">
        <v>2</v>
      </c>
      <c r="J10">
        <v>3.99</v>
      </c>
      <c r="K10" t="s">
        <v>1433</v>
      </c>
      <c r="L10" t="s">
        <v>1705</v>
      </c>
      <c r="M10">
        <v>447</v>
      </c>
      <c r="N10">
        <v>2004</v>
      </c>
      <c r="O10">
        <v>2003</v>
      </c>
      <c r="P10" t="s">
        <v>1719</v>
      </c>
      <c r="Q10" t="s">
        <v>1754</v>
      </c>
      <c r="T10" t="s">
        <v>2097</v>
      </c>
      <c r="U10" t="s">
        <v>2101</v>
      </c>
      <c r="X10">
        <v>1</v>
      </c>
      <c r="AA10">
        <v>0</v>
      </c>
    </row>
    <row r="11" spans="1:32">
      <c r="A11" s="1">
        <v>9</v>
      </c>
      <c r="B11">
        <v>857770</v>
      </c>
      <c r="C11" t="s">
        <v>40</v>
      </c>
      <c r="D11" t="s">
        <v>536</v>
      </c>
      <c r="E11" t="s">
        <v>911</v>
      </c>
      <c r="G11">
        <f>"2570435260"</f>
        <v>0</v>
      </c>
      <c r="H11">
        <f>"9782570435260"</f>
        <v>0</v>
      </c>
      <c r="I11">
        <v>3</v>
      </c>
      <c r="J11">
        <v>3.51</v>
      </c>
      <c r="K11" t="s">
        <v>1434</v>
      </c>
      <c r="L11" t="s">
        <v>1707</v>
      </c>
      <c r="N11">
        <v>1995</v>
      </c>
      <c r="O11">
        <v>1994</v>
      </c>
      <c r="P11" t="s">
        <v>1720</v>
      </c>
      <c r="Q11" t="s">
        <v>1719</v>
      </c>
      <c r="T11" t="s">
        <v>2097</v>
      </c>
      <c r="U11" t="s">
        <v>2102</v>
      </c>
      <c r="X11">
        <v>1</v>
      </c>
      <c r="AA11">
        <v>0</v>
      </c>
    </row>
    <row r="12" spans="1:32">
      <c r="A12" s="1">
        <v>10</v>
      </c>
      <c r="B12">
        <v>34368867</v>
      </c>
      <c r="C12" t="s">
        <v>41</v>
      </c>
      <c r="D12" t="s">
        <v>537</v>
      </c>
      <c r="E12" t="s">
        <v>912</v>
      </c>
      <c r="G12">
        <f>""</f>
        <v>0</v>
      </c>
      <c r="H12">
        <f>""</f>
        <v>0</v>
      </c>
      <c r="I12">
        <v>0</v>
      </c>
      <c r="J12">
        <v>4.11</v>
      </c>
      <c r="K12" t="s">
        <v>1435</v>
      </c>
      <c r="L12" t="s">
        <v>1708</v>
      </c>
      <c r="M12">
        <v>247</v>
      </c>
      <c r="N12">
        <v>2017</v>
      </c>
      <c r="Q12" t="s">
        <v>1755</v>
      </c>
      <c r="R12" t="s">
        <v>1820</v>
      </c>
      <c r="S12" t="s">
        <v>1827</v>
      </c>
      <c r="T12" t="s">
        <v>1820</v>
      </c>
      <c r="X12">
        <v>0</v>
      </c>
      <c r="AA12">
        <v>0</v>
      </c>
    </row>
    <row r="13" spans="1:32">
      <c r="A13" s="1">
        <v>11</v>
      </c>
      <c r="B13">
        <v>802629</v>
      </c>
      <c r="C13" t="s">
        <v>42</v>
      </c>
      <c r="D13" t="s">
        <v>538</v>
      </c>
      <c r="E13" t="s">
        <v>913</v>
      </c>
      <c r="G13">
        <f>"0471270520"</f>
        <v>0</v>
      </c>
      <c r="H13">
        <f>"9780471270522"</f>
        <v>0</v>
      </c>
      <c r="I13">
        <v>4</v>
      </c>
      <c r="J13">
        <v>3.5</v>
      </c>
      <c r="K13" t="s">
        <v>1436</v>
      </c>
      <c r="L13" t="s">
        <v>1707</v>
      </c>
      <c r="M13">
        <v>536</v>
      </c>
      <c r="N13">
        <v>2003</v>
      </c>
      <c r="O13">
        <v>2005</v>
      </c>
      <c r="P13" t="s">
        <v>1721</v>
      </c>
      <c r="Q13" t="s">
        <v>1756</v>
      </c>
      <c r="T13" t="s">
        <v>2097</v>
      </c>
      <c r="U13" t="s">
        <v>2103</v>
      </c>
      <c r="X13">
        <v>1</v>
      </c>
      <c r="AA13">
        <v>0</v>
      </c>
    </row>
    <row r="14" spans="1:32">
      <c r="A14" s="1">
        <v>12</v>
      </c>
      <c r="B14">
        <v>210189</v>
      </c>
      <c r="C14" t="s">
        <v>43</v>
      </c>
      <c r="D14" t="s">
        <v>539</v>
      </c>
      <c r="E14" t="s">
        <v>914</v>
      </c>
      <c r="F14" t="s">
        <v>1279</v>
      </c>
      <c r="G14">
        <f>"0226170314"</f>
        <v>0</v>
      </c>
      <c r="H14">
        <f>"9780226170312"</f>
        <v>0</v>
      </c>
      <c r="I14">
        <v>0</v>
      </c>
      <c r="J14">
        <v>3.79</v>
      </c>
      <c r="K14" t="s">
        <v>1437</v>
      </c>
      <c r="L14" t="s">
        <v>1705</v>
      </c>
      <c r="M14">
        <v>200</v>
      </c>
      <c r="N14">
        <v>1994</v>
      </c>
      <c r="O14">
        <v>1992</v>
      </c>
      <c r="Q14" t="s">
        <v>1720</v>
      </c>
      <c r="R14" t="s">
        <v>1820</v>
      </c>
      <c r="S14" t="s">
        <v>1828</v>
      </c>
      <c r="T14" t="s">
        <v>1820</v>
      </c>
      <c r="X14">
        <v>0</v>
      </c>
      <c r="AA14">
        <v>0</v>
      </c>
    </row>
    <row r="15" spans="1:32">
      <c r="A15" s="1">
        <v>13</v>
      </c>
      <c r="B15">
        <v>23847935</v>
      </c>
      <c r="C15" t="s">
        <v>44</v>
      </c>
      <c r="D15" t="s">
        <v>539</v>
      </c>
      <c r="E15" t="s">
        <v>914</v>
      </c>
      <c r="G15">
        <f>"0374161801"</f>
        <v>0</v>
      </c>
      <c r="H15">
        <f>"9780374161804"</f>
        <v>0</v>
      </c>
      <c r="I15">
        <v>0</v>
      </c>
      <c r="J15">
        <v>3.72</v>
      </c>
      <c r="K15" t="s">
        <v>1438</v>
      </c>
      <c r="L15" t="s">
        <v>1707</v>
      </c>
      <c r="M15">
        <v>304</v>
      </c>
      <c r="N15">
        <v>2016</v>
      </c>
      <c r="O15">
        <v>2015</v>
      </c>
      <c r="Q15" t="s">
        <v>1720</v>
      </c>
      <c r="R15" t="s">
        <v>1820</v>
      </c>
      <c r="S15" t="s">
        <v>1829</v>
      </c>
      <c r="T15" t="s">
        <v>1820</v>
      </c>
      <c r="X15">
        <v>0</v>
      </c>
      <c r="AA15">
        <v>0</v>
      </c>
    </row>
    <row r="16" spans="1:32">
      <c r="A16" s="1">
        <v>14</v>
      </c>
      <c r="B16">
        <v>210188</v>
      </c>
      <c r="C16" t="s">
        <v>45</v>
      </c>
      <c r="D16" t="s">
        <v>539</v>
      </c>
      <c r="E16" t="s">
        <v>914</v>
      </c>
      <c r="F16" t="s">
        <v>1280</v>
      </c>
      <c r="G16">
        <f>"0374527253"</f>
        <v>0</v>
      </c>
      <c r="H16">
        <f>"9780374527259"</f>
        <v>0</v>
      </c>
      <c r="I16">
        <v>0</v>
      </c>
      <c r="J16">
        <v>4.11</v>
      </c>
      <c r="K16" t="s">
        <v>1438</v>
      </c>
      <c r="L16" t="s">
        <v>1705</v>
      </c>
      <c r="M16">
        <v>400</v>
      </c>
      <c r="N16">
        <v>2000</v>
      </c>
      <c r="O16">
        <v>1999</v>
      </c>
      <c r="Q16" t="s">
        <v>1720</v>
      </c>
      <c r="R16" t="s">
        <v>1820</v>
      </c>
      <c r="S16" t="s">
        <v>1830</v>
      </c>
      <c r="T16" t="s">
        <v>1820</v>
      </c>
      <c r="X16">
        <v>0</v>
      </c>
      <c r="AA16">
        <v>0</v>
      </c>
    </row>
    <row r="17" spans="1:27">
      <c r="A17" s="1">
        <v>15</v>
      </c>
      <c r="B17">
        <v>2942</v>
      </c>
      <c r="C17" t="s">
        <v>46</v>
      </c>
      <c r="D17" t="s">
        <v>540</v>
      </c>
      <c r="E17" t="s">
        <v>915</v>
      </c>
      <c r="F17" t="s">
        <v>1281</v>
      </c>
      <c r="G17">
        <f>"0486404889"</f>
        <v>0</v>
      </c>
      <c r="H17">
        <f>"9780486404882"</f>
        <v>0</v>
      </c>
      <c r="I17">
        <v>0</v>
      </c>
      <c r="J17">
        <v>3.71</v>
      </c>
      <c r="K17" t="s">
        <v>1439</v>
      </c>
      <c r="L17" t="s">
        <v>1705</v>
      </c>
      <c r="M17">
        <v>733</v>
      </c>
      <c r="N17">
        <v>1999</v>
      </c>
      <c r="O17">
        <v>1724</v>
      </c>
      <c r="Q17" t="s">
        <v>1720</v>
      </c>
      <c r="R17" t="s">
        <v>1820</v>
      </c>
      <c r="S17" t="s">
        <v>1831</v>
      </c>
      <c r="T17" t="s">
        <v>1820</v>
      </c>
      <c r="X17">
        <v>0</v>
      </c>
      <c r="AA17">
        <v>0</v>
      </c>
    </row>
    <row r="18" spans="1:27">
      <c r="A18" s="1">
        <v>16</v>
      </c>
      <c r="B18">
        <v>15731248</v>
      </c>
      <c r="C18" t="s">
        <v>47</v>
      </c>
      <c r="D18" t="s">
        <v>541</v>
      </c>
      <c r="E18" t="s">
        <v>916</v>
      </c>
      <c r="G18">
        <f>""</f>
        <v>0</v>
      </c>
      <c r="H18">
        <f>""</f>
        <v>0</v>
      </c>
      <c r="I18">
        <v>3</v>
      </c>
      <c r="J18">
        <v>4.23</v>
      </c>
      <c r="K18" t="s">
        <v>541</v>
      </c>
      <c r="L18" t="s">
        <v>1709</v>
      </c>
      <c r="M18">
        <v>115</v>
      </c>
      <c r="N18">
        <v>2015</v>
      </c>
      <c r="O18">
        <v>2012</v>
      </c>
      <c r="P18" t="s">
        <v>1722</v>
      </c>
      <c r="Q18" t="s">
        <v>1757</v>
      </c>
      <c r="T18" t="s">
        <v>2097</v>
      </c>
      <c r="U18" t="s">
        <v>2104</v>
      </c>
      <c r="X18">
        <v>1</v>
      </c>
      <c r="AA18">
        <v>0</v>
      </c>
    </row>
    <row r="19" spans="1:27">
      <c r="A19" s="1">
        <v>17</v>
      </c>
      <c r="B19">
        <v>62845</v>
      </c>
      <c r="C19" t="s">
        <v>48</v>
      </c>
      <c r="D19" t="s">
        <v>542</v>
      </c>
      <c r="E19" t="s">
        <v>917</v>
      </c>
      <c r="G19">
        <f>"159986942X"</f>
        <v>0</v>
      </c>
      <c r="H19">
        <f>"9781599869421"</f>
        <v>0</v>
      </c>
      <c r="I19">
        <v>4</v>
      </c>
      <c r="J19">
        <v>3.69</v>
      </c>
      <c r="K19" t="s">
        <v>1440</v>
      </c>
      <c r="L19" t="s">
        <v>1705</v>
      </c>
      <c r="M19">
        <v>48</v>
      </c>
      <c r="N19">
        <v>2006</v>
      </c>
      <c r="O19">
        <v>1899</v>
      </c>
      <c r="P19" t="s">
        <v>1722</v>
      </c>
      <c r="Q19" t="s">
        <v>1752</v>
      </c>
      <c r="T19" t="s">
        <v>2097</v>
      </c>
      <c r="U19" t="s">
        <v>2105</v>
      </c>
      <c r="X19">
        <v>1</v>
      </c>
      <c r="AA19">
        <v>0</v>
      </c>
    </row>
    <row r="20" spans="1:27">
      <c r="A20" s="1">
        <v>18</v>
      </c>
      <c r="B20">
        <v>8856965</v>
      </c>
      <c r="C20" t="s">
        <v>49</v>
      </c>
      <c r="D20" t="s">
        <v>543</v>
      </c>
      <c r="E20" t="s">
        <v>918</v>
      </c>
      <c r="G20">
        <f>"0805074600"</f>
        <v>0</v>
      </c>
      <c r="H20">
        <f>"9780805074604"</f>
        <v>0</v>
      </c>
      <c r="I20">
        <v>0</v>
      </c>
      <c r="J20">
        <v>4.04</v>
      </c>
      <c r="K20" t="s">
        <v>1441</v>
      </c>
      <c r="L20" t="s">
        <v>1707</v>
      </c>
      <c r="M20">
        <v>575</v>
      </c>
      <c r="N20">
        <v>2011</v>
      </c>
      <c r="O20">
        <v>2010</v>
      </c>
      <c r="Q20" t="s">
        <v>1719</v>
      </c>
      <c r="R20" t="s">
        <v>1820</v>
      </c>
      <c r="S20" t="s">
        <v>1832</v>
      </c>
      <c r="T20" t="s">
        <v>1820</v>
      </c>
      <c r="X20">
        <v>0</v>
      </c>
      <c r="AA20">
        <v>0</v>
      </c>
    </row>
    <row r="21" spans="1:27">
      <c r="A21" s="1">
        <v>19</v>
      </c>
      <c r="B21">
        <v>51373589</v>
      </c>
      <c r="C21" t="s">
        <v>50</v>
      </c>
      <c r="D21" t="s">
        <v>544</v>
      </c>
      <c r="E21" t="s">
        <v>919</v>
      </c>
      <c r="G21">
        <f>""</f>
        <v>0</v>
      </c>
      <c r="H21">
        <f>""</f>
        <v>0</v>
      </c>
      <c r="I21">
        <v>5</v>
      </c>
      <c r="J21">
        <v>4.59</v>
      </c>
      <c r="K21" t="s">
        <v>1442</v>
      </c>
      <c r="L21" t="s">
        <v>1707</v>
      </c>
      <c r="M21">
        <v>1273</v>
      </c>
      <c r="N21">
        <v>2007</v>
      </c>
      <c r="P21" t="s">
        <v>1723</v>
      </c>
      <c r="Q21" t="s">
        <v>1758</v>
      </c>
      <c r="R21" t="s">
        <v>1822</v>
      </c>
      <c r="S21" t="s">
        <v>1833</v>
      </c>
      <c r="T21" t="s">
        <v>2097</v>
      </c>
      <c r="U21" t="s">
        <v>2106</v>
      </c>
      <c r="X21">
        <v>1</v>
      </c>
      <c r="AA21">
        <v>0</v>
      </c>
    </row>
    <row r="22" spans="1:27">
      <c r="A22" s="1">
        <v>20</v>
      </c>
      <c r="B22">
        <v>20941</v>
      </c>
      <c r="C22" t="s">
        <v>51</v>
      </c>
      <c r="D22" t="s">
        <v>545</v>
      </c>
      <c r="E22" t="s">
        <v>920</v>
      </c>
      <c r="G22">
        <f>"1573225142"</f>
        <v>0</v>
      </c>
      <c r="H22">
        <f>"9781573225144"</f>
        <v>0</v>
      </c>
      <c r="I22">
        <v>0</v>
      </c>
      <c r="J22">
        <v>3.86</v>
      </c>
      <c r="K22" t="s">
        <v>1443</v>
      </c>
      <c r="L22" t="s">
        <v>1705</v>
      </c>
      <c r="M22">
        <v>546</v>
      </c>
      <c r="N22">
        <v>1995</v>
      </c>
      <c r="O22">
        <v>1994</v>
      </c>
      <c r="Q22" t="s">
        <v>1723</v>
      </c>
      <c r="R22" t="s">
        <v>1820</v>
      </c>
      <c r="S22" t="s">
        <v>1834</v>
      </c>
      <c r="T22" t="s">
        <v>1820</v>
      </c>
      <c r="X22">
        <v>0</v>
      </c>
      <c r="AA22">
        <v>0</v>
      </c>
    </row>
    <row r="23" spans="1:27">
      <c r="A23" s="1">
        <v>21</v>
      </c>
      <c r="B23">
        <v>36739320</v>
      </c>
      <c r="C23" t="s">
        <v>52</v>
      </c>
      <c r="D23" t="s">
        <v>546</v>
      </c>
      <c r="E23" t="s">
        <v>921</v>
      </c>
      <c r="G23">
        <f>"0735210934"</f>
        <v>0</v>
      </c>
      <c r="H23">
        <f>"9780735210936"</f>
        <v>0</v>
      </c>
      <c r="I23">
        <v>0</v>
      </c>
      <c r="J23">
        <v>4.07</v>
      </c>
      <c r="K23" t="s">
        <v>1443</v>
      </c>
      <c r="L23" t="s">
        <v>1707</v>
      </c>
      <c r="M23">
        <v>327</v>
      </c>
      <c r="N23">
        <v>2019</v>
      </c>
      <c r="O23">
        <v>2019</v>
      </c>
      <c r="Q23" t="s">
        <v>1723</v>
      </c>
      <c r="R23" t="s">
        <v>1820</v>
      </c>
      <c r="S23" t="s">
        <v>1835</v>
      </c>
      <c r="T23" t="s">
        <v>1820</v>
      </c>
      <c r="X23">
        <v>0</v>
      </c>
      <c r="AA23">
        <v>0</v>
      </c>
    </row>
    <row r="24" spans="1:27">
      <c r="A24" s="1">
        <v>22</v>
      </c>
      <c r="B24">
        <v>51338665</v>
      </c>
      <c r="C24" t="s">
        <v>53</v>
      </c>
      <c r="D24" t="s">
        <v>547</v>
      </c>
      <c r="E24" t="s">
        <v>922</v>
      </c>
      <c r="G24">
        <f>"031653353X"</f>
        <v>0</v>
      </c>
      <c r="H24">
        <f>"9780316533539"</f>
        <v>0</v>
      </c>
      <c r="I24">
        <v>0</v>
      </c>
      <c r="J24">
        <v>4.28</v>
      </c>
      <c r="K24" t="s">
        <v>1444</v>
      </c>
      <c r="L24" t="s">
        <v>1707</v>
      </c>
      <c r="M24">
        <v>304</v>
      </c>
      <c r="N24">
        <v>2020</v>
      </c>
      <c r="Q24" t="s">
        <v>1723</v>
      </c>
      <c r="R24" t="s">
        <v>1820</v>
      </c>
      <c r="S24" t="s">
        <v>1836</v>
      </c>
      <c r="T24" t="s">
        <v>1820</v>
      </c>
      <c r="X24">
        <v>0</v>
      </c>
      <c r="AA24">
        <v>0</v>
      </c>
    </row>
    <row r="25" spans="1:27">
      <c r="A25" s="1">
        <v>23</v>
      </c>
      <c r="B25">
        <v>52315827</v>
      </c>
      <c r="C25" t="s">
        <v>54</v>
      </c>
      <c r="D25" t="s">
        <v>548</v>
      </c>
      <c r="E25" t="s">
        <v>923</v>
      </c>
      <c r="F25" t="s">
        <v>1282</v>
      </c>
      <c r="G25">
        <f>"1608686604"</f>
        <v>0</v>
      </c>
      <c r="H25">
        <f>"9781608686605"</f>
        <v>0</v>
      </c>
      <c r="I25">
        <v>0</v>
      </c>
      <c r="J25">
        <v>5</v>
      </c>
      <c r="L25" t="s">
        <v>1710</v>
      </c>
      <c r="N25">
        <v>2020</v>
      </c>
      <c r="Q25" t="s">
        <v>1759</v>
      </c>
      <c r="R25" t="s">
        <v>1820</v>
      </c>
      <c r="S25" t="s">
        <v>1837</v>
      </c>
      <c r="T25" t="s">
        <v>1820</v>
      </c>
      <c r="X25">
        <v>0</v>
      </c>
      <c r="AA25">
        <v>0</v>
      </c>
    </row>
    <row r="26" spans="1:27">
      <c r="A26" s="1">
        <v>24</v>
      </c>
      <c r="B26">
        <v>38276</v>
      </c>
      <c r="C26" t="s">
        <v>55</v>
      </c>
      <c r="D26" t="s">
        <v>549</v>
      </c>
      <c r="E26" t="s">
        <v>924</v>
      </c>
      <c r="G26">
        <f>"0140097015"</f>
        <v>0</v>
      </c>
      <c r="H26">
        <f>"9780140097016"</f>
        <v>0</v>
      </c>
      <c r="I26">
        <v>0</v>
      </c>
      <c r="J26">
        <v>4.07</v>
      </c>
      <c r="K26" t="s">
        <v>1428</v>
      </c>
      <c r="L26" t="s">
        <v>1711</v>
      </c>
      <c r="M26">
        <v>304</v>
      </c>
      <c r="N26">
        <v>1988</v>
      </c>
      <c r="O26">
        <v>1987</v>
      </c>
      <c r="Q26" t="s">
        <v>1760</v>
      </c>
      <c r="R26" t="s">
        <v>1820</v>
      </c>
      <c r="S26" t="s">
        <v>1838</v>
      </c>
      <c r="T26" t="s">
        <v>1820</v>
      </c>
      <c r="X26">
        <v>0</v>
      </c>
      <c r="AA26">
        <v>0</v>
      </c>
    </row>
    <row r="27" spans="1:27">
      <c r="A27" s="1">
        <v>25</v>
      </c>
      <c r="B27">
        <v>23692271</v>
      </c>
      <c r="C27" t="s">
        <v>56</v>
      </c>
      <c r="D27" t="s">
        <v>550</v>
      </c>
      <c r="E27" t="s">
        <v>925</v>
      </c>
      <c r="G27">
        <f>""</f>
        <v>0</v>
      </c>
      <c r="H27">
        <f>""</f>
        <v>0</v>
      </c>
      <c r="I27">
        <v>0</v>
      </c>
      <c r="J27">
        <v>4.43</v>
      </c>
      <c r="K27" t="s">
        <v>1445</v>
      </c>
      <c r="L27" t="s">
        <v>1705</v>
      </c>
      <c r="M27">
        <v>498</v>
      </c>
      <c r="N27">
        <v>2014</v>
      </c>
      <c r="O27">
        <v>2011</v>
      </c>
      <c r="Q27" t="s">
        <v>1761</v>
      </c>
      <c r="R27" t="s">
        <v>1820</v>
      </c>
      <c r="S27" t="s">
        <v>1839</v>
      </c>
      <c r="T27" t="s">
        <v>1820</v>
      </c>
      <c r="X27">
        <v>0</v>
      </c>
      <c r="AA27">
        <v>0</v>
      </c>
    </row>
    <row r="28" spans="1:27">
      <c r="A28" s="1">
        <v>26</v>
      </c>
      <c r="B28">
        <v>122008</v>
      </c>
      <c r="C28" t="s">
        <v>57</v>
      </c>
      <c r="D28" t="s">
        <v>551</v>
      </c>
      <c r="E28" t="s">
        <v>926</v>
      </c>
      <c r="F28" t="s">
        <v>1283</v>
      </c>
      <c r="G28">
        <f>"0898866545"</f>
        <v>0</v>
      </c>
      <c r="H28">
        <f>"9780898866544"</f>
        <v>0</v>
      </c>
      <c r="I28">
        <v>0</v>
      </c>
      <c r="J28">
        <v>4.28</v>
      </c>
      <c r="K28" t="s">
        <v>1446</v>
      </c>
      <c r="L28" t="s">
        <v>1705</v>
      </c>
      <c r="M28">
        <v>240</v>
      </c>
      <c r="N28">
        <v>1999</v>
      </c>
      <c r="O28">
        <v>1999</v>
      </c>
      <c r="Q28" t="s">
        <v>1762</v>
      </c>
      <c r="R28" t="s">
        <v>1820</v>
      </c>
      <c r="S28" t="s">
        <v>1840</v>
      </c>
      <c r="T28" t="s">
        <v>1820</v>
      </c>
      <c r="X28">
        <v>0</v>
      </c>
      <c r="AA28">
        <v>0</v>
      </c>
    </row>
    <row r="29" spans="1:27">
      <c r="A29" s="1">
        <v>27</v>
      </c>
      <c r="B29">
        <v>23358414</v>
      </c>
      <c r="C29" t="s">
        <v>58</v>
      </c>
      <c r="D29" t="s">
        <v>552</v>
      </c>
      <c r="E29" t="s">
        <v>927</v>
      </c>
      <c r="F29" t="s">
        <v>1284</v>
      </c>
      <c r="G29">
        <f>""</f>
        <v>0</v>
      </c>
      <c r="H29">
        <f>""</f>
        <v>0</v>
      </c>
      <c r="I29">
        <v>0</v>
      </c>
      <c r="J29">
        <v>4.35</v>
      </c>
      <c r="K29" t="s">
        <v>1447</v>
      </c>
      <c r="L29" t="s">
        <v>1708</v>
      </c>
      <c r="M29">
        <v>446</v>
      </c>
      <c r="N29">
        <v>2014</v>
      </c>
      <c r="O29">
        <v>2014</v>
      </c>
      <c r="Q29" t="s">
        <v>1762</v>
      </c>
      <c r="R29" t="s">
        <v>1820</v>
      </c>
      <c r="S29" t="s">
        <v>1841</v>
      </c>
      <c r="T29" t="s">
        <v>1820</v>
      </c>
      <c r="X29">
        <v>0</v>
      </c>
      <c r="AA29">
        <v>0</v>
      </c>
    </row>
    <row r="30" spans="1:27">
      <c r="A30" s="1">
        <v>28</v>
      </c>
      <c r="B30">
        <v>750664</v>
      </c>
      <c r="C30" t="s">
        <v>59</v>
      </c>
      <c r="D30" t="s">
        <v>553</v>
      </c>
      <c r="E30" t="s">
        <v>928</v>
      </c>
      <c r="G30">
        <f>"0140174230"</f>
        <v>0</v>
      </c>
      <c r="H30">
        <f>"9780140174236"</f>
        <v>0</v>
      </c>
      <c r="I30">
        <v>0</v>
      </c>
      <c r="J30">
        <v>3.86</v>
      </c>
      <c r="K30" t="s">
        <v>1448</v>
      </c>
      <c r="L30" t="s">
        <v>1705</v>
      </c>
      <c r="M30">
        <v>384</v>
      </c>
      <c r="N30">
        <v>1995</v>
      </c>
      <c r="O30">
        <v>1992</v>
      </c>
      <c r="Q30" t="s">
        <v>1763</v>
      </c>
      <c r="R30" t="s">
        <v>1820</v>
      </c>
      <c r="S30" t="s">
        <v>1842</v>
      </c>
      <c r="T30" t="s">
        <v>1820</v>
      </c>
      <c r="X30">
        <v>0</v>
      </c>
      <c r="AA30">
        <v>0</v>
      </c>
    </row>
    <row r="31" spans="1:27">
      <c r="A31" s="1">
        <v>29</v>
      </c>
      <c r="B31">
        <v>149789</v>
      </c>
      <c r="C31" t="s">
        <v>60</v>
      </c>
      <c r="D31" t="s">
        <v>554</v>
      </c>
      <c r="E31" t="s">
        <v>929</v>
      </c>
      <c r="F31" t="s">
        <v>1285</v>
      </c>
      <c r="G31">
        <f>"0140437525"</f>
        <v>0</v>
      </c>
      <c r="H31">
        <f>"9780140437522"</f>
        <v>0</v>
      </c>
      <c r="I31">
        <v>0</v>
      </c>
      <c r="J31">
        <v>4.16</v>
      </c>
      <c r="K31" t="s">
        <v>1428</v>
      </c>
      <c r="L31" t="s">
        <v>1705</v>
      </c>
      <c r="M31">
        <v>890</v>
      </c>
      <c r="N31">
        <v>2002</v>
      </c>
      <c r="O31">
        <v>1867</v>
      </c>
      <c r="Q31" t="s">
        <v>1751</v>
      </c>
      <c r="R31" t="s">
        <v>1820</v>
      </c>
      <c r="S31" t="s">
        <v>1843</v>
      </c>
      <c r="T31" t="s">
        <v>1820</v>
      </c>
      <c r="X31">
        <v>0</v>
      </c>
      <c r="AA31">
        <v>0</v>
      </c>
    </row>
    <row r="32" spans="1:27">
      <c r="A32" s="1">
        <v>30</v>
      </c>
      <c r="B32">
        <v>144463</v>
      </c>
      <c r="C32" t="s">
        <v>61</v>
      </c>
      <c r="D32" t="s">
        <v>554</v>
      </c>
      <c r="E32" t="s">
        <v>929</v>
      </c>
      <c r="F32" t="s">
        <v>1286</v>
      </c>
      <c r="G32">
        <f>"0140433252"</f>
        <v>0</v>
      </c>
      <c r="H32">
        <f>"9780140433258"</f>
        <v>0</v>
      </c>
      <c r="I32">
        <v>0</v>
      </c>
      <c r="J32">
        <v>4.04</v>
      </c>
      <c r="K32" t="s">
        <v>1449</v>
      </c>
      <c r="L32" t="s">
        <v>1705</v>
      </c>
      <c r="M32">
        <v>695</v>
      </c>
      <c r="N32">
        <v>1991</v>
      </c>
      <c r="O32">
        <v>1864</v>
      </c>
      <c r="Q32" t="s">
        <v>1751</v>
      </c>
      <c r="R32" t="s">
        <v>1820</v>
      </c>
      <c r="S32" t="s">
        <v>1844</v>
      </c>
      <c r="T32" t="s">
        <v>1820</v>
      </c>
      <c r="X32">
        <v>0</v>
      </c>
      <c r="AA32">
        <v>0</v>
      </c>
    </row>
    <row r="33" spans="1:27">
      <c r="A33" s="1">
        <v>31</v>
      </c>
      <c r="B33">
        <v>267102</v>
      </c>
      <c r="C33" t="s">
        <v>62</v>
      </c>
      <c r="D33" t="s">
        <v>554</v>
      </c>
      <c r="E33" t="s">
        <v>929</v>
      </c>
      <c r="G33">
        <f>"1406954098"</f>
        <v>0</v>
      </c>
      <c r="H33">
        <f>"9781406954098"</f>
        <v>0</v>
      </c>
      <c r="I33">
        <v>0</v>
      </c>
      <c r="J33">
        <v>4.03</v>
      </c>
      <c r="K33" t="s">
        <v>1450</v>
      </c>
      <c r="L33" t="s">
        <v>1705</v>
      </c>
      <c r="M33">
        <v>573</v>
      </c>
      <c r="N33">
        <v>2006</v>
      </c>
      <c r="O33">
        <v>1860</v>
      </c>
      <c r="Q33" t="s">
        <v>1751</v>
      </c>
      <c r="R33" t="s">
        <v>1820</v>
      </c>
      <c r="S33" t="s">
        <v>1845</v>
      </c>
      <c r="T33" t="s">
        <v>1820</v>
      </c>
      <c r="X33">
        <v>0</v>
      </c>
      <c r="AA33">
        <v>0</v>
      </c>
    </row>
    <row r="34" spans="1:27">
      <c r="A34" s="1">
        <v>32</v>
      </c>
      <c r="B34">
        <v>414295</v>
      </c>
      <c r="C34" t="s">
        <v>63</v>
      </c>
      <c r="D34" t="s">
        <v>554</v>
      </c>
      <c r="E34" t="s">
        <v>929</v>
      </c>
      <c r="F34" t="s">
        <v>1287</v>
      </c>
      <c r="G34">
        <f>"0140433260"</f>
        <v>0</v>
      </c>
      <c r="H34">
        <f>"9780140433265"</f>
        <v>0</v>
      </c>
      <c r="I34">
        <v>0</v>
      </c>
      <c r="J34">
        <v>4.1</v>
      </c>
      <c r="K34" t="s">
        <v>1428</v>
      </c>
      <c r="L34" t="s">
        <v>1705</v>
      </c>
      <c r="M34">
        <v>557</v>
      </c>
      <c r="N34">
        <v>1991</v>
      </c>
      <c r="O34">
        <v>1858</v>
      </c>
      <c r="Q34" t="s">
        <v>1751</v>
      </c>
      <c r="R34" t="s">
        <v>1820</v>
      </c>
      <c r="S34" t="s">
        <v>1846</v>
      </c>
      <c r="T34" t="s">
        <v>1820</v>
      </c>
      <c r="X34">
        <v>0</v>
      </c>
      <c r="AA34">
        <v>0</v>
      </c>
    </row>
    <row r="35" spans="1:27">
      <c r="A35" s="1">
        <v>33</v>
      </c>
      <c r="B35">
        <v>267123</v>
      </c>
      <c r="C35" t="s">
        <v>64</v>
      </c>
      <c r="D35" t="s">
        <v>554</v>
      </c>
      <c r="E35" t="s">
        <v>929</v>
      </c>
      <c r="F35" t="s">
        <v>1288</v>
      </c>
      <c r="G35">
        <f>"0192834088"</f>
        <v>0</v>
      </c>
      <c r="H35">
        <f>"9780192834089"</f>
        <v>0</v>
      </c>
      <c r="I35">
        <v>0</v>
      </c>
      <c r="J35">
        <v>3.73</v>
      </c>
      <c r="K35" t="s">
        <v>1451</v>
      </c>
      <c r="L35" t="s">
        <v>1705</v>
      </c>
      <c r="M35">
        <v>336</v>
      </c>
      <c r="N35">
        <v>1998</v>
      </c>
      <c r="O35">
        <v>1855</v>
      </c>
      <c r="Q35" t="s">
        <v>1751</v>
      </c>
      <c r="R35" t="s">
        <v>1820</v>
      </c>
      <c r="S35" t="s">
        <v>1847</v>
      </c>
      <c r="T35" t="s">
        <v>1820</v>
      </c>
      <c r="X35">
        <v>0</v>
      </c>
      <c r="AA35">
        <v>0</v>
      </c>
    </row>
    <row r="36" spans="1:27">
      <c r="A36" s="1">
        <v>34</v>
      </c>
      <c r="B36">
        <v>125321</v>
      </c>
      <c r="C36" t="s">
        <v>65</v>
      </c>
      <c r="D36" t="s">
        <v>554</v>
      </c>
      <c r="E36" t="s">
        <v>929</v>
      </c>
      <c r="G36">
        <f>"1406923044"</f>
        <v>0</v>
      </c>
      <c r="H36">
        <f>"9781406923049"</f>
        <v>0</v>
      </c>
      <c r="I36">
        <v>0</v>
      </c>
      <c r="J36">
        <v>4.01</v>
      </c>
      <c r="K36" t="s">
        <v>1451</v>
      </c>
      <c r="L36" t="s">
        <v>1705</v>
      </c>
      <c r="M36">
        <v>418</v>
      </c>
      <c r="N36">
        <v>2006</v>
      </c>
      <c r="O36">
        <v>1857</v>
      </c>
      <c r="Q36" t="s">
        <v>1751</v>
      </c>
      <c r="R36" t="s">
        <v>1820</v>
      </c>
      <c r="S36" t="s">
        <v>1848</v>
      </c>
      <c r="T36" t="s">
        <v>1820</v>
      </c>
      <c r="X36">
        <v>0</v>
      </c>
      <c r="AA36">
        <v>0</v>
      </c>
    </row>
    <row r="37" spans="1:27">
      <c r="A37" s="1">
        <v>35</v>
      </c>
      <c r="B37">
        <v>12898</v>
      </c>
      <c r="C37" t="s">
        <v>66</v>
      </c>
      <c r="D37" t="s">
        <v>555</v>
      </c>
      <c r="E37" t="s">
        <v>930</v>
      </c>
      <c r="G37">
        <f>"0435233076"</f>
        <v>0</v>
      </c>
      <c r="H37">
        <f>"9780435233075"</f>
        <v>0</v>
      </c>
      <c r="I37">
        <v>0</v>
      </c>
      <c r="J37">
        <v>3.52</v>
      </c>
      <c r="K37" t="s">
        <v>1452</v>
      </c>
      <c r="L37" t="s">
        <v>1707</v>
      </c>
      <c r="M37">
        <v>117</v>
      </c>
      <c r="N37">
        <v>1994</v>
      </c>
      <c r="O37">
        <v>1949</v>
      </c>
      <c r="Q37" t="s">
        <v>1751</v>
      </c>
      <c r="T37" t="s">
        <v>2097</v>
      </c>
      <c r="X37">
        <v>1</v>
      </c>
      <c r="AA37">
        <v>0</v>
      </c>
    </row>
    <row r="38" spans="1:27">
      <c r="A38" s="1">
        <v>36</v>
      </c>
      <c r="B38">
        <v>8921</v>
      </c>
      <c r="C38" t="s">
        <v>67</v>
      </c>
      <c r="D38" t="s">
        <v>556</v>
      </c>
      <c r="E38" t="s">
        <v>931</v>
      </c>
      <c r="F38" t="s">
        <v>1289</v>
      </c>
      <c r="G38">
        <f>"0451528018"</f>
        <v>0</v>
      </c>
      <c r="H38">
        <f>"9780451528018"</f>
        <v>0</v>
      </c>
      <c r="I38">
        <v>0</v>
      </c>
      <c r="J38">
        <v>4.12</v>
      </c>
      <c r="K38" t="s">
        <v>1453</v>
      </c>
      <c r="L38" t="s">
        <v>1706</v>
      </c>
      <c r="M38">
        <v>256</v>
      </c>
      <c r="N38">
        <v>2001</v>
      </c>
      <c r="O38">
        <v>1901</v>
      </c>
      <c r="Q38" t="s">
        <v>1751</v>
      </c>
      <c r="T38" t="s">
        <v>2097</v>
      </c>
      <c r="X38">
        <v>1</v>
      </c>
      <c r="AA38">
        <v>0</v>
      </c>
    </row>
    <row r="39" spans="1:27">
      <c r="A39" s="1">
        <v>37</v>
      </c>
      <c r="B39">
        <v>102868</v>
      </c>
      <c r="C39" t="s">
        <v>68</v>
      </c>
      <c r="D39" t="s">
        <v>556</v>
      </c>
      <c r="E39" t="s">
        <v>931</v>
      </c>
      <c r="G39">
        <f>"1420925539"</f>
        <v>0</v>
      </c>
      <c r="H39">
        <f>"9781420925531"</f>
        <v>0</v>
      </c>
      <c r="I39">
        <v>0</v>
      </c>
      <c r="J39">
        <v>4.16</v>
      </c>
      <c r="K39" t="s">
        <v>1454</v>
      </c>
      <c r="L39" t="s">
        <v>1705</v>
      </c>
      <c r="M39">
        <v>123</v>
      </c>
      <c r="N39">
        <v>2005</v>
      </c>
      <c r="O39">
        <v>1887</v>
      </c>
      <c r="Q39" t="s">
        <v>1751</v>
      </c>
      <c r="T39" t="s">
        <v>2097</v>
      </c>
      <c r="X39">
        <v>1</v>
      </c>
      <c r="AA39">
        <v>0</v>
      </c>
    </row>
    <row r="40" spans="1:27">
      <c r="A40" s="1">
        <v>38</v>
      </c>
      <c r="B40">
        <v>12957</v>
      </c>
      <c r="C40" t="s">
        <v>69</v>
      </c>
      <c r="D40" t="s">
        <v>557</v>
      </c>
      <c r="E40" t="s">
        <v>932</v>
      </c>
      <c r="F40" t="s">
        <v>1290</v>
      </c>
      <c r="G40">
        <f>"0743482751"</f>
        <v>0</v>
      </c>
      <c r="H40">
        <f>"9780743482752"</f>
        <v>0</v>
      </c>
      <c r="I40">
        <v>0</v>
      </c>
      <c r="J40">
        <v>4.07</v>
      </c>
      <c r="K40" t="s">
        <v>1455</v>
      </c>
      <c r="L40" t="s">
        <v>1705</v>
      </c>
      <c r="M40">
        <v>246</v>
      </c>
      <c r="N40">
        <v>2004</v>
      </c>
      <c r="O40">
        <v>1598</v>
      </c>
      <c r="Q40" t="s">
        <v>1751</v>
      </c>
      <c r="T40" t="s">
        <v>2097</v>
      </c>
      <c r="X40">
        <v>1</v>
      </c>
      <c r="AA40">
        <v>0</v>
      </c>
    </row>
    <row r="41" spans="1:27">
      <c r="A41" s="1">
        <v>39</v>
      </c>
      <c r="B41">
        <v>320</v>
      </c>
      <c r="C41" t="s">
        <v>70</v>
      </c>
      <c r="D41" t="s">
        <v>558</v>
      </c>
      <c r="E41" t="s">
        <v>933</v>
      </c>
      <c r="F41" t="s">
        <v>1291</v>
      </c>
      <c r="G41">
        <f>""</f>
        <v>0</v>
      </c>
      <c r="H41">
        <f>""</f>
        <v>0</v>
      </c>
      <c r="I41">
        <v>0</v>
      </c>
      <c r="J41">
        <v>4.07</v>
      </c>
      <c r="K41" t="s">
        <v>1456</v>
      </c>
      <c r="L41" t="s">
        <v>1707</v>
      </c>
      <c r="M41">
        <v>417</v>
      </c>
      <c r="N41">
        <v>2003</v>
      </c>
      <c r="O41">
        <v>1967</v>
      </c>
      <c r="Q41" t="s">
        <v>1751</v>
      </c>
      <c r="R41" t="s">
        <v>1820</v>
      </c>
      <c r="S41" t="s">
        <v>1849</v>
      </c>
      <c r="T41" t="s">
        <v>1820</v>
      </c>
      <c r="X41">
        <v>0</v>
      </c>
      <c r="AA41">
        <v>0</v>
      </c>
    </row>
    <row r="42" spans="1:27">
      <c r="A42" s="1">
        <v>40</v>
      </c>
      <c r="B42">
        <v>17250</v>
      </c>
      <c r="C42" t="s">
        <v>71</v>
      </c>
      <c r="D42" t="s">
        <v>555</v>
      </c>
      <c r="E42" t="s">
        <v>930</v>
      </c>
      <c r="F42" t="s">
        <v>1292</v>
      </c>
      <c r="G42">
        <f>"0142437336"</f>
        <v>0</v>
      </c>
      <c r="H42">
        <f>"9780142437339"</f>
        <v>0</v>
      </c>
      <c r="I42">
        <v>0</v>
      </c>
      <c r="J42">
        <v>3.58</v>
      </c>
      <c r="K42" t="s">
        <v>1428</v>
      </c>
      <c r="L42" t="s">
        <v>1705</v>
      </c>
      <c r="M42">
        <v>143</v>
      </c>
      <c r="N42">
        <v>2003</v>
      </c>
      <c r="O42">
        <v>1953</v>
      </c>
      <c r="Q42" t="s">
        <v>1751</v>
      </c>
      <c r="T42" t="s">
        <v>2097</v>
      </c>
      <c r="X42">
        <v>1</v>
      </c>
      <c r="AA42">
        <v>0</v>
      </c>
    </row>
    <row r="43" spans="1:27">
      <c r="A43" s="1">
        <v>41</v>
      </c>
      <c r="B43">
        <v>485894</v>
      </c>
      <c r="C43" t="s">
        <v>72</v>
      </c>
      <c r="D43" t="s">
        <v>559</v>
      </c>
      <c r="E43" t="s">
        <v>934</v>
      </c>
      <c r="F43" t="s">
        <v>1293</v>
      </c>
      <c r="G43">
        <f>""</f>
        <v>0</v>
      </c>
      <c r="H43">
        <f>""</f>
        <v>0</v>
      </c>
      <c r="I43">
        <v>0</v>
      </c>
      <c r="J43">
        <v>3.82</v>
      </c>
      <c r="K43" t="s">
        <v>1457</v>
      </c>
      <c r="L43" t="s">
        <v>1705</v>
      </c>
      <c r="M43">
        <v>201</v>
      </c>
      <c r="N43">
        <v>1972</v>
      </c>
      <c r="O43">
        <v>1915</v>
      </c>
      <c r="Q43" t="s">
        <v>1751</v>
      </c>
      <c r="R43" t="s">
        <v>1820</v>
      </c>
      <c r="S43" t="s">
        <v>1850</v>
      </c>
      <c r="T43" t="s">
        <v>1820</v>
      </c>
      <c r="X43">
        <v>0</v>
      </c>
      <c r="AA43">
        <v>0</v>
      </c>
    </row>
    <row r="44" spans="1:27">
      <c r="A44" s="1">
        <v>42</v>
      </c>
      <c r="B44">
        <v>8852</v>
      </c>
      <c r="C44" t="s">
        <v>73</v>
      </c>
      <c r="D44" t="s">
        <v>557</v>
      </c>
      <c r="E44" t="s">
        <v>932</v>
      </c>
      <c r="G44">
        <f>"0743477103"</f>
        <v>0</v>
      </c>
      <c r="H44">
        <f>"9780743477109"</f>
        <v>0</v>
      </c>
      <c r="I44">
        <v>0</v>
      </c>
      <c r="J44">
        <v>3.9</v>
      </c>
      <c r="K44" t="s">
        <v>1455</v>
      </c>
      <c r="L44" t="s">
        <v>1705</v>
      </c>
      <c r="M44">
        <v>249</v>
      </c>
      <c r="N44">
        <v>2013</v>
      </c>
      <c r="O44">
        <v>1606</v>
      </c>
      <c r="Q44" t="s">
        <v>1751</v>
      </c>
      <c r="T44" t="s">
        <v>2097</v>
      </c>
      <c r="X44">
        <v>1</v>
      </c>
      <c r="AA44">
        <v>0</v>
      </c>
    </row>
    <row r="45" spans="1:27">
      <c r="A45" s="1">
        <v>43</v>
      </c>
      <c r="B45">
        <v>18135</v>
      </c>
      <c r="C45" t="s">
        <v>74</v>
      </c>
      <c r="D45" t="s">
        <v>557</v>
      </c>
      <c r="E45" t="s">
        <v>932</v>
      </c>
      <c r="F45" t="s">
        <v>1294</v>
      </c>
      <c r="G45">
        <f>"0743477111"</f>
        <v>0</v>
      </c>
      <c r="H45">
        <f>"9780743477116"</f>
        <v>0</v>
      </c>
      <c r="I45">
        <v>0</v>
      </c>
      <c r="J45">
        <v>3.75</v>
      </c>
      <c r="K45" t="s">
        <v>1458</v>
      </c>
      <c r="L45" t="s">
        <v>1705</v>
      </c>
      <c r="M45">
        <v>368</v>
      </c>
      <c r="N45">
        <v>2004</v>
      </c>
      <c r="O45">
        <v>1595</v>
      </c>
      <c r="Q45" t="s">
        <v>1751</v>
      </c>
      <c r="T45" t="s">
        <v>2097</v>
      </c>
      <c r="X45">
        <v>1</v>
      </c>
      <c r="AA45">
        <v>0</v>
      </c>
    </row>
    <row r="46" spans="1:27">
      <c r="A46" s="1">
        <v>44</v>
      </c>
      <c r="B46">
        <v>10884</v>
      </c>
      <c r="C46" t="s">
        <v>75</v>
      </c>
      <c r="D46" t="s">
        <v>560</v>
      </c>
      <c r="E46" t="s">
        <v>935</v>
      </c>
      <c r="G46">
        <f>"0743264738"</f>
        <v>0</v>
      </c>
      <c r="H46">
        <f>"9780743264730"</f>
        <v>0</v>
      </c>
      <c r="I46">
        <v>0</v>
      </c>
      <c r="J46">
        <v>4.12</v>
      </c>
      <c r="K46" t="s">
        <v>1455</v>
      </c>
      <c r="L46" t="s">
        <v>1707</v>
      </c>
      <c r="M46">
        <v>675</v>
      </c>
      <c r="N46">
        <v>2007</v>
      </c>
      <c r="O46">
        <v>2007</v>
      </c>
      <c r="Q46" t="s">
        <v>1764</v>
      </c>
      <c r="R46" t="s">
        <v>1820</v>
      </c>
      <c r="S46" t="s">
        <v>1851</v>
      </c>
      <c r="T46" t="s">
        <v>1820</v>
      </c>
      <c r="X46">
        <v>0</v>
      </c>
      <c r="AA46">
        <v>0</v>
      </c>
    </row>
    <row r="47" spans="1:27">
      <c r="A47" s="1">
        <v>45</v>
      </c>
      <c r="B47">
        <v>11084145</v>
      </c>
      <c r="C47" t="s">
        <v>76</v>
      </c>
      <c r="D47" t="s">
        <v>560</v>
      </c>
      <c r="E47" t="s">
        <v>935</v>
      </c>
      <c r="G47">
        <f>"1451648537"</f>
        <v>0</v>
      </c>
      <c r="H47">
        <f>"9781451648539"</f>
        <v>0</v>
      </c>
      <c r="I47">
        <v>0</v>
      </c>
      <c r="J47">
        <v>4.14</v>
      </c>
      <c r="K47" t="s">
        <v>1459</v>
      </c>
      <c r="L47" t="s">
        <v>1707</v>
      </c>
      <c r="M47">
        <v>627</v>
      </c>
      <c r="N47">
        <v>2011</v>
      </c>
      <c r="O47">
        <v>2011</v>
      </c>
      <c r="Q47" t="s">
        <v>1764</v>
      </c>
      <c r="R47" t="s">
        <v>1820</v>
      </c>
      <c r="S47" t="s">
        <v>1852</v>
      </c>
      <c r="T47" t="s">
        <v>1820</v>
      </c>
      <c r="X47">
        <v>0</v>
      </c>
      <c r="AA47">
        <v>0</v>
      </c>
    </row>
    <row r="48" spans="1:27">
      <c r="A48" s="1">
        <v>46</v>
      </c>
      <c r="B48">
        <v>5934152</v>
      </c>
      <c r="C48" t="s">
        <v>77</v>
      </c>
      <c r="D48" t="s">
        <v>561</v>
      </c>
      <c r="E48" t="s">
        <v>936</v>
      </c>
      <c r="F48" t="s">
        <v>1295</v>
      </c>
      <c r="G48">
        <f>""</f>
        <v>0</v>
      </c>
      <c r="H48">
        <f>""</f>
        <v>0</v>
      </c>
      <c r="I48">
        <v>3</v>
      </c>
      <c r="J48">
        <v>4.29</v>
      </c>
      <c r="K48" t="s">
        <v>1460</v>
      </c>
      <c r="L48" t="s">
        <v>1707</v>
      </c>
      <c r="M48">
        <v>266</v>
      </c>
      <c r="N48">
        <v>1953</v>
      </c>
      <c r="O48">
        <v>1953</v>
      </c>
      <c r="P48" t="s">
        <v>1724</v>
      </c>
      <c r="Q48" t="s">
        <v>1765</v>
      </c>
      <c r="T48" t="s">
        <v>2097</v>
      </c>
      <c r="U48" t="s">
        <v>2107</v>
      </c>
      <c r="X48">
        <v>1</v>
      </c>
      <c r="AA48">
        <v>0</v>
      </c>
    </row>
    <row r="49" spans="1:27">
      <c r="A49" s="1">
        <v>47</v>
      </c>
      <c r="B49">
        <v>6004724</v>
      </c>
      <c r="C49" t="s">
        <v>78</v>
      </c>
      <c r="D49" t="s">
        <v>562</v>
      </c>
      <c r="E49" t="s">
        <v>937</v>
      </c>
      <c r="G49">
        <f>"0385521308"</f>
        <v>0</v>
      </c>
      <c r="H49">
        <f>"9780385521307"</f>
        <v>0</v>
      </c>
      <c r="I49">
        <v>3</v>
      </c>
      <c r="J49">
        <v>4</v>
      </c>
      <c r="K49" t="s">
        <v>1461</v>
      </c>
      <c r="L49" t="s">
        <v>1707</v>
      </c>
      <c r="M49">
        <v>432</v>
      </c>
      <c r="N49">
        <v>2009</v>
      </c>
      <c r="O49">
        <v>2009</v>
      </c>
      <c r="P49" t="s">
        <v>1725</v>
      </c>
      <c r="Q49" t="s">
        <v>1766</v>
      </c>
      <c r="T49" t="s">
        <v>2097</v>
      </c>
      <c r="U49" t="s">
        <v>2108</v>
      </c>
      <c r="X49">
        <v>1</v>
      </c>
      <c r="AA49">
        <v>0</v>
      </c>
    </row>
    <row r="50" spans="1:27">
      <c r="A50" s="1">
        <v>48</v>
      </c>
      <c r="B50">
        <v>5546</v>
      </c>
      <c r="C50" t="s">
        <v>79</v>
      </c>
      <c r="D50" t="s">
        <v>563</v>
      </c>
      <c r="E50" t="s">
        <v>938</v>
      </c>
      <c r="F50" t="s">
        <v>1296</v>
      </c>
      <c r="G50">
        <f>"0805390456"</f>
        <v>0</v>
      </c>
      <c r="H50">
        <f>"9780805390452"</f>
        <v>0</v>
      </c>
      <c r="I50">
        <v>0</v>
      </c>
      <c r="J50">
        <v>4.6</v>
      </c>
      <c r="K50" t="s">
        <v>1462</v>
      </c>
      <c r="L50" t="s">
        <v>1707</v>
      </c>
      <c r="M50">
        <v>1552</v>
      </c>
      <c r="N50">
        <v>2005</v>
      </c>
      <c r="O50">
        <v>1964</v>
      </c>
      <c r="Q50" t="s">
        <v>1764</v>
      </c>
      <c r="R50" t="s">
        <v>1820</v>
      </c>
      <c r="S50" t="s">
        <v>1853</v>
      </c>
      <c r="T50" t="s">
        <v>1820</v>
      </c>
      <c r="X50">
        <v>0</v>
      </c>
      <c r="AA50">
        <v>0</v>
      </c>
    </row>
    <row r="51" spans="1:27">
      <c r="A51" s="1">
        <v>49</v>
      </c>
      <c r="B51">
        <v>282085</v>
      </c>
      <c r="C51" t="s">
        <v>80</v>
      </c>
      <c r="D51" t="s">
        <v>564</v>
      </c>
      <c r="E51" t="s">
        <v>939</v>
      </c>
      <c r="G51">
        <f>"0060929642"</f>
        <v>0</v>
      </c>
      <c r="H51">
        <f>"9780060929640"</f>
        <v>0</v>
      </c>
      <c r="I51">
        <v>5</v>
      </c>
      <c r="J51">
        <v>3.89</v>
      </c>
      <c r="K51" t="s">
        <v>1463</v>
      </c>
      <c r="L51" t="s">
        <v>1705</v>
      </c>
      <c r="M51">
        <v>688</v>
      </c>
      <c r="N51">
        <v>2004</v>
      </c>
      <c r="O51">
        <v>2004</v>
      </c>
      <c r="P51" t="s">
        <v>1726</v>
      </c>
      <c r="Q51" t="s">
        <v>1767</v>
      </c>
      <c r="R51" t="s">
        <v>1822</v>
      </c>
      <c r="S51" t="s">
        <v>1854</v>
      </c>
      <c r="T51" t="s">
        <v>2097</v>
      </c>
      <c r="U51" t="s">
        <v>2109</v>
      </c>
      <c r="X51">
        <v>1</v>
      </c>
      <c r="AA51">
        <v>0</v>
      </c>
    </row>
    <row r="52" spans="1:27">
      <c r="A52" s="1">
        <v>50</v>
      </c>
      <c r="B52">
        <v>84699</v>
      </c>
      <c r="C52" t="s">
        <v>81</v>
      </c>
      <c r="D52" t="s">
        <v>565</v>
      </c>
      <c r="E52" t="s">
        <v>940</v>
      </c>
      <c r="G52">
        <f>"0385512058"</f>
        <v>0</v>
      </c>
      <c r="H52">
        <f>"9780385512053"</f>
        <v>0</v>
      </c>
      <c r="I52">
        <v>0</v>
      </c>
      <c r="J52">
        <v>3.86</v>
      </c>
      <c r="K52" t="s">
        <v>1464</v>
      </c>
      <c r="L52" t="s">
        <v>1707</v>
      </c>
      <c r="M52">
        <v>309</v>
      </c>
      <c r="N52">
        <v>2005</v>
      </c>
      <c r="O52">
        <v>2005</v>
      </c>
      <c r="Q52" t="s">
        <v>1753</v>
      </c>
      <c r="R52" t="s">
        <v>1820</v>
      </c>
      <c r="S52" t="s">
        <v>1855</v>
      </c>
      <c r="T52" t="s">
        <v>1820</v>
      </c>
      <c r="X52">
        <v>0</v>
      </c>
      <c r="AA52">
        <v>0</v>
      </c>
    </row>
    <row r="53" spans="1:27">
      <c r="A53" s="1">
        <v>51</v>
      </c>
      <c r="B53">
        <v>20877035</v>
      </c>
      <c r="C53" t="s">
        <v>82</v>
      </c>
      <c r="D53" t="s">
        <v>534</v>
      </c>
      <c r="E53" t="s">
        <v>909</v>
      </c>
      <c r="G53">
        <f>""</f>
        <v>0</v>
      </c>
      <c r="H53">
        <f>""</f>
        <v>0</v>
      </c>
      <c r="I53">
        <v>0</v>
      </c>
      <c r="J53">
        <v>4.13</v>
      </c>
      <c r="N53">
        <v>1989</v>
      </c>
      <c r="O53">
        <v>1989</v>
      </c>
      <c r="Q53" t="s">
        <v>1753</v>
      </c>
      <c r="R53" t="s">
        <v>1820</v>
      </c>
      <c r="S53" t="s">
        <v>1856</v>
      </c>
      <c r="T53" t="s">
        <v>1820</v>
      </c>
      <c r="X53">
        <v>0</v>
      </c>
      <c r="AA53">
        <v>0</v>
      </c>
    </row>
    <row r="54" spans="1:27">
      <c r="A54" s="1">
        <v>52</v>
      </c>
      <c r="B54">
        <v>118316</v>
      </c>
      <c r="C54" t="s">
        <v>83</v>
      </c>
      <c r="D54" t="s">
        <v>566</v>
      </c>
      <c r="E54" t="s">
        <v>941</v>
      </c>
      <c r="F54" t="s">
        <v>1297</v>
      </c>
      <c r="G54">
        <f>"0816614024"</f>
        <v>0</v>
      </c>
      <c r="H54">
        <f>"9780816614028"</f>
        <v>0</v>
      </c>
      <c r="I54">
        <v>0</v>
      </c>
      <c r="J54">
        <v>4.3</v>
      </c>
      <c r="K54" t="s">
        <v>1465</v>
      </c>
      <c r="L54" t="s">
        <v>1705</v>
      </c>
      <c r="M54">
        <v>632</v>
      </c>
      <c r="N54">
        <v>1987</v>
      </c>
      <c r="O54">
        <v>1987</v>
      </c>
      <c r="Q54" t="s">
        <v>1768</v>
      </c>
      <c r="R54" t="s">
        <v>1820</v>
      </c>
      <c r="S54" t="s">
        <v>1857</v>
      </c>
      <c r="T54" t="s">
        <v>1820</v>
      </c>
      <c r="X54">
        <v>0</v>
      </c>
      <c r="AA54">
        <v>0</v>
      </c>
    </row>
    <row r="55" spans="1:27">
      <c r="A55" s="1">
        <v>53</v>
      </c>
      <c r="B55">
        <v>118317</v>
      </c>
      <c r="C55" t="s">
        <v>84</v>
      </c>
      <c r="D55" t="s">
        <v>566</v>
      </c>
      <c r="E55" t="s">
        <v>941</v>
      </c>
      <c r="F55" t="s">
        <v>1298</v>
      </c>
      <c r="G55">
        <f>"0816612250"</f>
        <v>0</v>
      </c>
      <c r="H55">
        <f>"9780816612253"</f>
        <v>0</v>
      </c>
      <c r="I55">
        <v>0</v>
      </c>
      <c r="J55">
        <v>4.12</v>
      </c>
      <c r="K55" t="s">
        <v>1465</v>
      </c>
      <c r="L55" t="s">
        <v>1705</v>
      </c>
      <c r="M55">
        <v>400</v>
      </c>
      <c r="N55">
        <v>1983</v>
      </c>
      <c r="O55">
        <v>1972</v>
      </c>
      <c r="Q55" t="s">
        <v>1768</v>
      </c>
      <c r="R55" t="s">
        <v>1820</v>
      </c>
      <c r="S55" t="s">
        <v>1858</v>
      </c>
      <c r="T55" t="s">
        <v>1820</v>
      </c>
      <c r="X55">
        <v>0</v>
      </c>
      <c r="AA55">
        <v>0</v>
      </c>
    </row>
    <row r="56" spans="1:27">
      <c r="A56" s="1">
        <v>54</v>
      </c>
      <c r="B56">
        <v>353425</v>
      </c>
      <c r="C56" t="s">
        <v>85</v>
      </c>
      <c r="D56" t="s">
        <v>567</v>
      </c>
      <c r="E56" t="s">
        <v>942</v>
      </c>
      <c r="G56">
        <f>"0812692373"</f>
        <v>0</v>
      </c>
      <c r="H56">
        <f>"9780812692372"</f>
        <v>0</v>
      </c>
      <c r="I56">
        <v>0</v>
      </c>
      <c r="J56">
        <v>3.97</v>
      </c>
      <c r="K56" t="s">
        <v>1466</v>
      </c>
      <c r="L56" t="s">
        <v>1705</v>
      </c>
      <c r="M56">
        <v>254</v>
      </c>
      <c r="N56">
        <v>1999</v>
      </c>
      <c r="O56">
        <v>1993</v>
      </c>
      <c r="Q56" t="s">
        <v>1769</v>
      </c>
      <c r="R56" t="s">
        <v>1820</v>
      </c>
      <c r="S56" t="s">
        <v>1859</v>
      </c>
      <c r="T56" t="s">
        <v>1820</v>
      </c>
      <c r="X56">
        <v>0</v>
      </c>
      <c r="AA56">
        <v>0</v>
      </c>
    </row>
    <row r="57" spans="1:27">
      <c r="A57" s="1">
        <v>55</v>
      </c>
      <c r="B57">
        <v>809399</v>
      </c>
      <c r="C57" t="s">
        <v>86</v>
      </c>
      <c r="D57" t="s">
        <v>567</v>
      </c>
      <c r="E57" t="s">
        <v>942</v>
      </c>
      <c r="G57">
        <f>"0688001750"</f>
        <v>0</v>
      </c>
      <c r="H57">
        <f>"9780688001759"</f>
        <v>0</v>
      </c>
      <c r="I57">
        <v>0</v>
      </c>
      <c r="J57">
        <v>3.59</v>
      </c>
      <c r="K57" t="s">
        <v>1467</v>
      </c>
      <c r="L57" t="s">
        <v>1707</v>
      </c>
      <c r="M57">
        <v>256</v>
      </c>
      <c r="N57">
        <v>1973</v>
      </c>
      <c r="O57">
        <v>1973</v>
      </c>
      <c r="Q57" t="s">
        <v>1769</v>
      </c>
      <c r="R57" t="s">
        <v>1820</v>
      </c>
      <c r="S57" t="s">
        <v>1860</v>
      </c>
      <c r="T57" t="s">
        <v>1820</v>
      </c>
      <c r="X57">
        <v>0</v>
      </c>
      <c r="AA57">
        <v>0</v>
      </c>
    </row>
    <row r="58" spans="1:27">
      <c r="A58" s="1">
        <v>56</v>
      </c>
      <c r="B58">
        <v>119073</v>
      </c>
      <c r="C58" t="s">
        <v>87</v>
      </c>
      <c r="D58" t="s">
        <v>568</v>
      </c>
      <c r="E58" t="s">
        <v>943</v>
      </c>
      <c r="F58" t="s">
        <v>1299</v>
      </c>
      <c r="G58">
        <f>"0156001314"</f>
        <v>0</v>
      </c>
      <c r="H58">
        <f>"9780156001311"</f>
        <v>0</v>
      </c>
      <c r="I58">
        <v>0</v>
      </c>
      <c r="J58">
        <v>4.12</v>
      </c>
      <c r="K58" t="s">
        <v>1426</v>
      </c>
      <c r="L58" t="s">
        <v>1705</v>
      </c>
      <c r="M58">
        <v>536</v>
      </c>
      <c r="N58">
        <v>1994</v>
      </c>
      <c r="O58">
        <v>1980</v>
      </c>
      <c r="Q58" t="s">
        <v>1770</v>
      </c>
      <c r="R58" t="s">
        <v>1820</v>
      </c>
      <c r="S58" t="s">
        <v>1861</v>
      </c>
      <c r="T58" t="s">
        <v>1820</v>
      </c>
      <c r="X58">
        <v>0</v>
      </c>
      <c r="AA58">
        <v>0</v>
      </c>
    </row>
    <row r="59" spans="1:27">
      <c r="A59" s="1">
        <v>57</v>
      </c>
      <c r="B59">
        <v>17841</v>
      </c>
      <c r="C59" t="s">
        <v>88</v>
      </c>
      <c r="D59" t="s">
        <v>568</v>
      </c>
      <c r="E59" t="s">
        <v>943</v>
      </c>
      <c r="F59" t="s">
        <v>1299</v>
      </c>
      <c r="G59">
        <f>"015603297X"</f>
        <v>0</v>
      </c>
      <c r="H59">
        <f>"9780156032971"</f>
        <v>0</v>
      </c>
      <c r="I59">
        <v>0</v>
      </c>
      <c r="J59">
        <v>3.89</v>
      </c>
      <c r="K59" t="s">
        <v>1468</v>
      </c>
      <c r="L59" t="s">
        <v>1705</v>
      </c>
      <c r="M59">
        <v>623</v>
      </c>
      <c r="N59">
        <v>2007</v>
      </c>
      <c r="O59">
        <v>1988</v>
      </c>
      <c r="Q59" t="s">
        <v>1770</v>
      </c>
      <c r="R59" t="s">
        <v>1820</v>
      </c>
      <c r="S59" t="s">
        <v>1862</v>
      </c>
      <c r="T59" t="s">
        <v>1820</v>
      </c>
      <c r="X59">
        <v>0</v>
      </c>
      <c r="AA59">
        <v>0</v>
      </c>
    </row>
    <row r="60" spans="1:27">
      <c r="A60" s="1">
        <v>58</v>
      </c>
      <c r="B60">
        <v>223556</v>
      </c>
      <c r="C60" t="s">
        <v>89</v>
      </c>
      <c r="D60" t="s">
        <v>569</v>
      </c>
      <c r="E60" t="s">
        <v>944</v>
      </c>
      <c r="F60" t="s">
        <v>564</v>
      </c>
      <c r="G60">
        <f>"0684824299"</f>
        <v>0</v>
      </c>
      <c r="H60">
        <f>"9780684824291"</f>
        <v>0</v>
      </c>
      <c r="I60">
        <v>0</v>
      </c>
      <c r="J60">
        <v>3.55</v>
      </c>
      <c r="K60" t="s">
        <v>1469</v>
      </c>
      <c r="L60" t="s">
        <v>1705</v>
      </c>
      <c r="M60">
        <v>912</v>
      </c>
      <c r="N60">
        <v>1996</v>
      </c>
      <c r="O60">
        <v>1994</v>
      </c>
      <c r="Q60" t="s">
        <v>1770</v>
      </c>
      <c r="R60" t="s">
        <v>1820</v>
      </c>
      <c r="S60" t="s">
        <v>1863</v>
      </c>
      <c r="T60" t="s">
        <v>1820</v>
      </c>
      <c r="X60">
        <v>0</v>
      </c>
      <c r="AA60">
        <v>0</v>
      </c>
    </row>
    <row r="61" spans="1:27">
      <c r="A61" s="1">
        <v>59</v>
      </c>
      <c r="B61">
        <v>36817</v>
      </c>
      <c r="C61" t="s">
        <v>90</v>
      </c>
      <c r="D61" t="s">
        <v>570</v>
      </c>
      <c r="E61" t="s">
        <v>945</v>
      </c>
      <c r="F61" t="s">
        <v>1300</v>
      </c>
      <c r="G61">
        <f>"097434723X"</f>
        <v>0</v>
      </c>
      <c r="H61">
        <f>"9780974347233"</f>
        <v>0</v>
      </c>
      <c r="I61">
        <v>0</v>
      </c>
      <c r="J61">
        <v>3.84</v>
      </c>
      <c r="K61" t="s">
        <v>1470</v>
      </c>
      <c r="L61" t="s">
        <v>1707</v>
      </c>
      <c r="M61">
        <v>304</v>
      </c>
      <c r="N61">
        <v>2005</v>
      </c>
      <c r="O61">
        <v>1964</v>
      </c>
      <c r="Q61" t="s">
        <v>1771</v>
      </c>
      <c r="R61" t="s">
        <v>1820</v>
      </c>
      <c r="S61" t="s">
        <v>1864</v>
      </c>
      <c r="T61" t="s">
        <v>1820</v>
      </c>
      <c r="X61">
        <v>0</v>
      </c>
      <c r="AA61">
        <v>0</v>
      </c>
    </row>
    <row r="62" spans="1:27">
      <c r="A62" s="1">
        <v>60</v>
      </c>
      <c r="B62">
        <v>8701960</v>
      </c>
      <c r="C62" t="s">
        <v>91</v>
      </c>
      <c r="D62" t="s">
        <v>571</v>
      </c>
      <c r="E62" t="s">
        <v>946</v>
      </c>
      <c r="G62">
        <f>"0375423729"</f>
        <v>0</v>
      </c>
      <c r="H62">
        <f>"9780375423727"</f>
        <v>0</v>
      </c>
      <c r="I62">
        <v>0</v>
      </c>
      <c r="J62">
        <v>4.01</v>
      </c>
      <c r="K62" t="s">
        <v>1471</v>
      </c>
      <c r="L62" t="s">
        <v>1707</v>
      </c>
      <c r="M62">
        <v>527</v>
      </c>
      <c r="N62">
        <v>2011</v>
      </c>
      <c r="O62">
        <v>2011</v>
      </c>
      <c r="Q62" t="s">
        <v>1772</v>
      </c>
      <c r="R62" t="s">
        <v>1822</v>
      </c>
      <c r="S62" t="s">
        <v>1865</v>
      </c>
      <c r="T62" t="s">
        <v>2097</v>
      </c>
      <c r="X62">
        <v>1</v>
      </c>
      <c r="AA62">
        <v>0</v>
      </c>
    </row>
    <row r="63" spans="1:27">
      <c r="A63" s="1">
        <v>61</v>
      </c>
      <c r="B63">
        <v>39092290</v>
      </c>
      <c r="C63" t="s">
        <v>92</v>
      </c>
      <c r="D63" t="s">
        <v>572</v>
      </c>
      <c r="E63" t="s">
        <v>947</v>
      </c>
      <c r="G63">
        <f>""</f>
        <v>0</v>
      </c>
      <c r="H63">
        <f>""</f>
        <v>0</v>
      </c>
      <c r="I63">
        <v>0</v>
      </c>
      <c r="J63">
        <v>3.92</v>
      </c>
      <c r="K63" t="s">
        <v>1472</v>
      </c>
      <c r="L63" t="s">
        <v>1708</v>
      </c>
      <c r="M63">
        <v>142</v>
      </c>
      <c r="N63">
        <v>2012</v>
      </c>
      <c r="O63">
        <v>1933</v>
      </c>
      <c r="Q63" t="s">
        <v>1773</v>
      </c>
      <c r="R63" t="s">
        <v>1822</v>
      </c>
      <c r="S63" t="s">
        <v>1866</v>
      </c>
      <c r="T63" t="s">
        <v>2097</v>
      </c>
      <c r="X63">
        <v>1</v>
      </c>
      <c r="AA63">
        <v>0</v>
      </c>
    </row>
    <row r="64" spans="1:27">
      <c r="A64" s="1">
        <v>62</v>
      </c>
      <c r="B64">
        <v>83017</v>
      </c>
      <c r="C64" t="s">
        <v>93</v>
      </c>
      <c r="D64" t="s">
        <v>573</v>
      </c>
      <c r="E64" t="s">
        <v>948</v>
      </c>
      <c r="F64" t="s">
        <v>1301</v>
      </c>
      <c r="G64">
        <f>"1567923046"</f>
        <v>0</v>
      </c>
      <c r="H64">
        <f>"9781567923049"</f>
        <v>0</v>
      </c>
      <c r="I64">
        <v>0</v>
      </c>
      <c r="J64">
        <v>4.18</v>
      </c>
      <c r="K64" t="s">
        <v>1473</v>
      </c>
      <c r="L64" t="s">
        <v>1705</v>
      </c>
      <c r="M64">
        <v>198</v>
      </c>
      <c r="N64">
        <v>2005</v>
      </c>
      <c r="O64">
        <v>1940</v>
      </c>
      <c r="Q64" t="s">
        <v>1774</v>
      </c>
      <c r="R64" t="s">
        <v>1822</v>
      </c>
      <c r="S64" t="s">
        <v>1867</v>
      </c>
      <c r="T64" t="s">
        <v>2097</v>
      </c>
      <c r="X64">
        <v>0</v>
      </c>
      <c r="AA64">
        <v>0</v>
      </c>
    </row>
    <row r="65" spans="1:27">
      <c r="A65" s="1">
        <v>63</v>
      </c>
      <c r="B65">
        <v>35629744</v>
      </c>
      <c r="C65" t="s">
        <v>94</v>
      </c>
      <c r="D65" t="s">
        <v>574</v>
      </c>
      <c r="E65" t="s">
        <v>949</v>
      </c>
      <c r="G65">
        <f>"0735222916"</f>
        <v>0</v>
      </c>
      <c r="H65">
        <f>"9780735222915"</f>
        <v>0</v>
      </c>
      <c r="I65">
        <v>0</v>
      </c>
      <c r="J65">
        <v>3.65</v>
      </c>
      <c r="K65" t="s">
        <v>1474</v>
      </c>
      <c r="L65" t="s">
        <v>1707</v>
      </c>
      <c r="M65">
        <v>592</v>
      </c>
      <c r="N65">
        <v>2018</v>
      </c>
      <c r="O65">
        <v>2017</v>
      </c>
      <c r="Q65" t="s">
        <v>1775</v>
      </c>
      <c r="R65" t="s">
        <v>1821</v>
      </c>
      <c r="S65" t="s">
        <v>1868</v>
      </c>
      <c r="T65" t="s">
        <v>1821</v>
      </c>
      <c r="X65">
        <v>1</v>
      </c>
      <c r="AA65">
        <v>0</v>
      </c>
    </row>
    <row r="66" spans="1:27">
      <c r="A66" s="1">
        <v>64</v>
      </c>
      <c r="B66">
        <v>17349</v>
      </c>
      <c r="C66" t="s">
        <v>95</v>
      </c>
      <c r="D66" t="s">
        <v>575</v>
      </c>
      <c r="E66" t="s">
        <v>950</v>
      </c>
      <c r="F66" t="s">
        <v>1302</v>
      </c>
      <c r="G66">
        <f>"0345409469"</f>
        <v>0</v>
      </c>
      <c r="H66">
        <f>"9780345409461"</f>
        <v>0</v>
      </c>
      <c r="I66">
        <v>0</v>
      </c>
      <c r="J66">
        <v>4.27</v>
      </c>
      <c r="K66" t="s">
        <v>1475</v>
      </c>
      <c r="L66" t="s">
        <v>1705</v>
      </c>
      <c r="M66">
        <v>459</v>
      </c>
      <c r="N66">
        <v>1997</v>
      </c>
      <c r="O66">
        <v>1996</v>
      </c>
      <c r="Q66" t="s">
        <v>1776</v>
      </c>
      <c r="R66" t="s">
        <v>1820</v>
      </c>
      <c r="S66" t="s">
        <v>1869</v>
      </c>
      <c r="T66" t="s">
        <v>1820</v>
      </c>
      <c r="X66">
        <v>0</v>
      </c>
      <c r="AA66">
        <v>0</v>
      </c>
    </row>
    <row r="67" spans="1:27">
      <c r="A67" s="1">
        <v>65</v>
      </c>
      <c r="B67">
        <v>28820444</v>
      </c>
      <c r="C67" t="s">
        <v>96</v>
      </c>
      <c r="D67" t="s">
        <v>576</v>
      </c>
      <c r="E67" t="s">
        <v>951</v>
      </c>
      <c r="F67" t="s">
        <v>1303</v>
      </c>
      <c r="G67">
        <f>""</f>
        <v>0</v>
      </c>
      <c r="H67">
        <f>"9780190496012"</f>
        <v>0</v>
      </c>
      <c r="I67">
        <v>0</v>
      </c>
      <c r="J67">
        <v>4.06</v>
      </c>
      <c r="K67" t="s">
        <v>1451</v>
      </c>
      <c r="L67" t="s">
        <v>1709</v>
      </c>
      <c r="M67">
        <v>408</v>
      </c>
      <c r="N67">
        <v>2017</v>
      </c>
      <c r="O67">
        <v>2017</v>
      </c>
      <c r="Q67" t="s">
        <v>1776</v>
      </c>
      <c r="R67" t="s">
        <v>1820</v>
      </c>
      <c r="S67" t="s">
        <v>1870</v>
      </c>
      <c r="T67" t="s">
        <v>1820</v>
      </c>
      <c r="X67">
        <v>0</v>
      </c>
      <c r="AA67">
        <v>0</v>
      </c>
    </row>
    <row r="68" spans="1:27">
      <c r="A68" s="1">
        <v>66</v>
      </c>
      <c r="B68">
        <v>24800</v>
      </c>
      <c r="C68" t="s">
        <v>97</v>
      </c>
      <c r="D68" t="s">
        <v>577</v>
      </c>
      <c r="E68" t="s">
        <v>952</v>
      </c>
      <c r="G68">
        <f>"038560310X"</f>
        <v>0</v>
      </c>
      <c r="H68">
        <f>"9780385603102"</f>
        <v>0</v>
      </c>
      <c r="I68">
        <v>0</v>
      </c>
      <c r="J68">
        <v>4.1</v>
      </c>
      <c r="K68" t="s">
        <v>1476</v>
      </c>
      <c r="L68" t="s">
        <v>1705</v>
      </c>
      <c r="M68">
        <v>705</v>
      </c>
      <c r="N68">
        <v>2000</v>
      </c>
      <c r="O68">
        <v>2000</v>
      </c>
      <c r="Q68" t="s">
        <v>1776</v>
      </c>
      <c r="R68" t="s">
        <v>1820</v>
      </c>
      <c r="S68" t="s">
        <v>1871</v>
      </c>
      <c r="T68" t="s">
        <v>1820</v>
      </c>
      <c r="X68">
        <v>0</v>
      </c>
      <c r="AA68">
        <v>0</v>
      </c>
    </row>
    <row r="69" spans="1:27">
      <c r="A69" s="1">
        <v>67</v>
      </c>
      <c r="B69">
        <v>743692</v>
      </c>
      <c r="C69" t="s">
        <v>98</v>
      </c>
      <c r="D69" t="s">
        <v>578</v>
      </c>
      <c r="E69" t="s">
        <v>953</v>
      </c>
      <c r="F69" t="s">
        <v>1304</v>
      </c>
      <c r="G69">
        <f>"1928649270"</f>
        <v>0</v>
      </c>
      <c r="H69">
        <f>"9781928649274"</f>
        <v>0</v>
      </c>
      <c r="I69">
        <v>0</v>
      </c>
      <c r="J69">
        <v>4.27</v>
      </c>
      <c r="K69" t="s">
        <v>1477</v>
      </c>
      <c r="L69" t="s">
        <v>1705</v>
      </c>
      <c r="M69">
        <v>362</v>
      </c>
      <c r="N69">
        <v>2004</v>
      </c>
      <c r="O69">
        <v>2004</v>
      </c>
      <c r="Q69" t="s">
        <v>1777</v>
      </c>
      <c r="R69" t="s">
        <v>1820</v>
      </c>
      <c r="S69" t="s">
        <v>1872</v>
      </c>
      <c r="T69" t="s">
        <v>1820</v>
      </c>
      <c r="X69">
        <v>0</v>
      </c>
      <c r="AA69">
        <v>0</v>
      </c>
    </row>
    <row r="70" spans="1:27">
      <c r="A70" s="1">
        <v>68</v>
      </c>
      <c r="B70">
        <v>177766</v>
      </c>
      <c r="C70" t="s">
        <v>99</v>
      </c>
      <c r="D70" t="s">
        <v>579</v>
      </c>
      <c r="E70" t="s">
        <v>954</v>
      </c>
      <c r="G70">
        <f>"0385720386"</f>
        <v>0</v>
      </c>
      <c r="H70">
        <f>"9780385720380"</f>
        <v>0</v>
      </c>
      <c r="I70">
        <v>0</v>
      </c>
      <c r="J70">
        <v>4.06</v>
      </c>
      <c r="K70" t="s">
        <v>1478</v>
      </c>
      <c r="L70" t="s">
        <v>1705</v>
      </c>
      <c r="M70">
        <v>526</v>
      </c>
      <c r="N70">
        <v>2002</v>
      </c>
      <c r="O70">
        <v>2001</v>
      </c>
      <c r="Q70" t="s">
        <v>1727</v>
      </c>
      <c r="R70" t="s">
        <v>1820</v>
      </c>
      <c r="S70" t="s">
        <v>1873</v>
      </c>
      <c r="T70" t="s">
        <v>1820</v>
      </c>
      <c r="X70">
        <v>0</v>
      </c>
      <c r="AA70">
        <v>0</v>
      </c>
    </row>
    <row r="71" spans="1:27">
      <c r="A71" s="1">
        <v>69</v>
      </c>
      <c r="B71">
        <v>40940205</v>
      </c>
      <c r="C71" t="s">
        <v>100</v>
      </c>
      <c r="D71" t="s">
        <v>580</v>
      </c>
      <c r="E71" t="s">
        <v>955</v>
      </c>
      <c r="G71">
        <f>""</f>
        <v>0</v>
      </c>
      <c r="H71">
        <f>""</f>
        <v>0</v>
      </c>
      <c r="I71">
        <v>2</v>
      </c>
      <c r="J71">
        <v>4.03</v>
      </c>
      <c r="K71" t="s">
        <v>1479</v>
      </c>
      <c r="L71" t="s">
        <v>1708</v>
      </c>
      <c r="M71">
        <v>182</v>
      </c>
      <c r="N71">
        <v>2016</v>
      </c>
      <c r="O71">
        <v>2016</v>
      </c>
      <c r="P71" t="s">
        <v>1727</v>
      </c>
      <c r="Q71" t="s">
        <v>1732</v>
      </c>
      <c r="T71" t="s">
        <v>2097</v>
      </c>
      <c r="U71" t="s">
        <v>2110</v>
      </c>
      <c r="X71">
        <v>1</v>
      </c>
      <c r="AA71">
        <v>0</v>
      </c>
    </row>
    <row r="72" spans="1:27">
      <c r="A72" s="1">
        <v>70</v>
      </c>
      <c r="B72">
        <v>46945</v>
      </c>
      <c r="C72" t="s">
        <v>101</v>
      </c>
      <c r="D72" t="s">
        <v>581</v>
      </c>
      <c r="E72" t="s">
        <v>956</v>
      </c>
      <c r="F72" t="s">
        <v>1305</v>
      </c>
      <c r="G72">
        <f>"1560252480"</f>
        <v>0</v>
      </c>
      <c r="H72">
        <f>"9781560252481"</f>
        <v>0</v>
      </c>
      <c r="I72">
        <v>5</v>
      </c>
      <c r="J72">
        <v>4.11</v>
      </c>
      <c r="K72" t="s">
        <v>1480</v>
      </c>
      <c r="L72" t="s">
        <v>1712</v>
      </c>
      <c r="M72">
        <v>279</v>
      </c>
      <c r="N72">
        <v>1999</v>
      </c>
      <c r="O72">
        <v>1978</v>
      </c>
      <c r="P72" t="s">
        <v>1728</v>
      </c>
      <c r="Q72" t="s">
        <v>1778</v>
      </c>
      <c r="T72" t="s">
        <v>2097</v>
      </c>
      <c r="U72" t="s">
        <v>2111</v>
      </c>
      <c r="X72">
        <v>1</v>
      </c>
      <c r="AA72">
        <v>0</v>
      </c>
    </row>
    <row r="73" spans="1:27">
      <c r="A73" s="1">
        <v>71</v>
      </c>
      <c r="B73">
        <v>115596</v>
      </c>
      <c r="C73" t="s">
        <v>102</v>
      </c>
      <c r="D73" t="s">
        <v>582</v>
      </c>
      <c r="E73" t="s">
        <v>957</v>
      </c>
      <c r="F73" t="s">
        <v>1306</v>
      </c>
      <c r="G73">
        <f>"0140432086"</f>
        <v>0</v>
      </c>
      <c r="H73">
        <f>"9780140432084"</f>
        <v>0</v>
      </c>
      <c r="I73">
        <v>0</v>
      </c>
      <c r="J73">
        <v>3.98</v>
      </c>
      <c r="K73" t="s">
        <v>1449</v>
      </c>
      <c r="L73" t="s">
        <v>1705</v>
      </c>
      <c r="M73">
        <v>544</v>
      </c>
      <c r="N73">
        <v>1982</v>
      </c>
      <c r="O73">
        <v>1776</v>
      </c>
      <c r="Q73" t="s">
        <v>1779</v>
      </c>
      <c r="R73" t="s">
        <v>1820</v>
      </c>
      <c r="S73" t="s">
        <v>1874</v>
      </c>
      <c r="T73" t="s">
        <v>1820</v>
      </c>
      <c r="X73">
        <v>0</v>
      </c>
      <c r="AA73">
        <v>0</v>
      </c>
    </row>
    <row r="74" spans="1:27">
      <c r="A74" s="1">
        <v>72</v>
      </c>
      <c r="B74">
        <v>303615</v>
      </c>
      <c r="C74" t="s">
        <v>103</v>
      </c>
      <c r="D74" t="s">
        <v>583</v>
      </c>
      <c r="E74" t="s">
        <v>958</v>
      </c>
      <c r="G74">
        <f>"1573921394"</f>
        <v>0</v>
      </c>
      <c r="H74">
        <f>"9781573921398"</f>
        <v>0</v>
      </c>
      <c r="I74">
        <v>0</v>
      </c>
      <c r="J74">
        <v>3.84</v>
      </c>
      <c r="K74" t="s">
        <v>1481</v>
      </c>
      <c r="L74" t="s">
        <v>1705</v>
      </c>
      <c r="M74">
        <v>403</v>
      </c>
      <c r="N74">
        <v>1997</v>
      </c>
      <c r="O74">
        <v>1935</v>
      </c>
      <c r="Q74" t="s">
        <v>1779</v>
      </c>
      <c r="R74" t="s">
        <v>1820</v>
      </c>
      <c r="S74" t="s">
        <v>1875</v>
      </c>
      <c r="T74" t="s">
        <v>1820</v>
      </c>
      <c r="X74">
        <v>0</v>
      </c>
      <c r="AA74">
        <v>0</v>
      </c>
    </row>
    <row r="75" spans="1:27">
      <c r="A75" s="1">
        <v>73</v>
      </c>
      <c r="B75">
        <v>23168840</v>
      </c>
      <c r="C75" t="s">
        <v>104</v>
      </c>
      <c r="D75" t="s">
        <v>584</v>
      </c>
      <c r="E75" t="s">
        <v>959</v>
      </c>
      <c r="G75">
        <f>"1627793445"</f>
        <v>0</v>
      </c>
      <c r="H75">
        <f>"9781627793445"</f>
        <v>0</v>
      </c>
      <c r="I75">
        <v>0</v>
      </c>
      <c r="J75">
        <v>4.03</v>
      </c>
      <c r="K75" t="s">
        <v>1441</v>
      </c>
      <c r="L75" t="s">
        <v>1705</v>
      </c>
      <c r="M75">
        <v>156</v>
      </c>
      <c r="N75">
        <v>2015</v>
      </c>
      <c r="O75">
        <v>2014</v>
      </c>
      <c r="Q75" t="s">
        <v>1780</v>
      </c>
      <c r="R75" t="s">
        <v>1820</v>
      </c>
      <c r="S75" t="s">
        <v>1876</v>
      </c>
      <c r="T75" t="s">
        <v>1820</v>
      </c>
      <c r="X75">
        <v>0</v>
      </c>
      <c r="AA75">
        <v>0</v>
      </c>
    </row>
    <row r="76" spans="1:27">
      <c r="A76" s="1">
        <v>74</v>
      </c>
      <c r="B76">
        <v>377742</v>
      </c>
      <c r="C76" t="s">
        <v>105</v>
      </c>
      <c r="D76" t="s">
        <v>585</v>
      </c>
      <c r="E76" t="s">
        <v>960</v>
      </c>
      <c r="F76" t="s">
        <v>105</v>
      </c>
      <c r="G76">
        <f>"0810981149"</f>
        <v>0</v>
      </c>
      <c r="H76">
        <f>"9780810981140"</f>
        <v>0</v>
      </c>
      <c r="I76">
        <v>0</v>
      </c>
      <c r="J76">
        <v>4.14</v>
      </c>
      <c r="K76" t="s">
        <v>1482</v>
      </c>
      <c r="L76" t="s">
        <v>1707</v>
      </c>
      <c r="M76">
        <v>306</v>
      </c>
      <c r="N76">
        <v>1993</v>
      </c>
      <c r="O76">
        <v>1971</v>
      </c>
      <c r="Q76" t="s">
        <v>1780</v>
      </c>
      <c r="R76" t="s">
        <v>1820</v>
      </c>
      <c r="S76" t="s">
        <v>1877</v>
      </c>
      <c r="T76" t="s">
        <v>1820</v>
      </c>
      <c r="X76">
        <v>0</v>
      </c>
      <c r="AA76">
        <v>0</v>
      </c>
    </row>
    <row r="77" spans="1:27">
      <c r="A77" s="1">
        <v>75</v>
      </c>
      <c r="B77">
        <v>825419</v>
      </c>
      <c r="C77" t="s">
        <v>106</v>
      </c>
      <c r="D77" t="s">
        <v>586</v>
      </c>
      <c r="E77" t="s">
        <v>961</v>
      </c>
      <c r="G77">
        <f>"0140095144"</f>
        <v>0</v>
      </c>
      <c r="H77">
        <f>"9780140095142"</f>
        <v>0</v>
      </c>
      <c r="I77">
        <v>3</v>
      </c>
      <c r="J77">
        <v>4.17</v>
      </c>
      <c r="K77" t="s">
        <v>1483</v>
      </c>
      <c r="L77" t="s">
        <v>1705</v>
      </c>
      <c r="M77">
        <v>347</v>
      </c>
      <c r="N77">
        <v>1984</v>
      </c>
      <c r="O77">
        <v>1959</v>
      </c>
      <c r="P77" t="s">
        <v>1729</v>
      </c>
      <c r="Q77" t="s">
        <v>1767</v>
      </c>
      <c r="T77" t="s">
        <v>2097</v>
      </c>
      <c r="U77" t="s">
        <v>2112</v>
      </c>
      <c r="X77">
        <v>1</v>
      </c>
      <c r="AA77">
        <v>0</v>
      </c>
    </row>
    <row r="78" spans="1:27">
      <c r="A78" s="1">
        <v>76</v>
      </c>
      <c r="B78">
        <v>853510</v>
      </c>
      <c r="C78" t="s">
        <v>107</v>
      </c>
      <c r="D78" t="s">
        <v>587</v>
      </c>
      <c r="E78" t="s">
        <v>962</v>
      </c>
      <c r="G78">
        <f>"0007119313"</f>
        <v>0</v>
      </c>
      <c r="H78">
        <f>"9780007119318"</f>
        <v>0</v>
      </c>
      <c r="I78">
        <v>0</v>
      </c>
      <c r="J78">
        <v>4.17</v>
      </c>
      <c r="K78" t="s">
        <v>1484</v>
      </c>
      <c r="L78" t="s">
        <v>1705</v>
      </c>
      <c r="M78">
        <v>347</v>
      </c>
      <c r="N78">
        <v>2007</v>
      </c>
      <c r="O78">
        <v>1934</v>
      </c>
      <c r="Q78" t="s">
        <v>1729</v>
      </c>
      <c r="R78" t="s">
        <v>1820</v>
      </c>
      <c r="S78" t="s">
        <v>1878</v>
      </c>
      <c r="T78" t="s">
        <v>1820</v>
      </c>
      <c r="X78">
        <v>0</v>
      </c>
      <c r="AA78">
        <v>0</v>
      </c>
    </row>
    <row r="79" spans="1:27">
      <c r="A79" s="1">
        <v>77</v>
      </c>
      <c r="B79">
        <v>28815</v>
      </c>
      <c r="C79" t="s">
        <v>108</v>
      </c>
      <c r="D79" t="s">
        <v>588</v>
      </c>
      <c r="E79" t="s">
        <v>963</v>
      </c>
      <c r="G79">
        <f>"006124189X"</f>
        <v>0</v>
      </c>
      <c r="H79">
        <f>"9780061241895"</f>
        <v>0</v>
      </c>
      <c r="I79">
        <v>0</v>
      </c>
      <c r="J79">
        <v>4.19</v>
      </c>
      <c r="K79" t="s">
        <v>1485</v>
      </c>
      <c r="L79" t="s">
        <v>1705</v>
      </c>
      <c r="M79">
        <v>320</v>
      </c>
      <c r="N79">
        <v>2006</v>
      </c>
      <c r="O79">
        <v>1984</v>
      </c>
      <c r="Q79" t="s">
        <v>1781</v>
      </c>
      <c r="R79" t="s">
        <v>1820</v>
      </c>
      <c r="S79" t="s">
        <v>1879</v>
      </c>
      <c r="T79" t="s">
        <v>1820</v>
      </c>
      <c r="X79">
        <v>0</v>
      </c>
      <c r="AA79">
        <v>0</v>
      </c>
    </row>
    <row r="80" spans="1:27">
      <c r="A80" s="1">
        <v>78</v>
      </c>
      <c r="B80">
        <v>1139231</v>
      </c>
      <c r="C80" t="s">
        <v>109</v>
      </c>
      <c r="D80" t="s">
        <v>589</v>
      </c>
      <c r="E80" t="s">
        <v>964</v>
      </c>
      <c r="G80">
        <f>"0465072097"</f>
        <v>0</v>
      </c>
      <c r="H80">
        <f>"9780465072095"</f>
        <v>0</v>
      </c>
      <c r="I80">
        <v>0</v>
      </c>
      <c r="J80">
        <v>4.15</v>
      </c>
      <c r="K80" t="s">
        <v>1486</v>
      </c>
      <c r="L80" t="s">
        <v>1707</v>
      </c>
      <c r="M80">
        <v>267</v>
      </c>
      <c r="N80">
        <v>2007</v>
      </c>
      <c r="O80">
        <v>2005</v>
      </c>
      <c r="Q80" t="s">
        <v>1782</v>
      </c>
      <c r="R80" t="s">
        <v>1820</v>
      </c>
      <c r="S80" t="s">
        <v>1880</v>
      </c>
      <c r="T80" t="s">
        <v>1820</v>
      </c>
      <c r="X80">
        <v>0</v>
      </c>
      <c r="AA80">
        <v>0</v>
      </c>
    </row>
    <row r="81" spans="1:27">
      <c r="A81" s="1">
        <v>79</v>
      </c>
      <c r="B81">
        <v>36681373</v>
      </c>
      <c r="C81" t="s">
        <v>110</v>
      </c>
      <c r="D81" t="s">
        <v>264</v>
      </c>
      <c r="E81" t="s">
        <v>965</v>
      </c>
      <c r="G81">
        <f>""</f>
        <v>0</v>
      </c>
      <c r="H81">
        <f>""</f>
        <v>0</v>
      </c>
      <c r="I81">
        <v>0</v>
      </c>
      <c r="J81">
        <v>3.93</v>
      </c>
      <c r="K81" t="s">
        <v>1487</v>
      </c>
      <c r="L81" t="s">
        <v>1708</v>
      </c>
      <c r="M81">
        <v>1063</v>
      </c>
      <c r="N81">
        <v>2017</v>
      </c>
      <c r="O81">
        <v>1519</v>
      </c>
      <c r="Q81" t="s">
        <v>1772</v>
      </c>
      <c r="T81" t="s">
        <v>2097</v>
      </c>
      <c r="X81">
        <v>1</v>
      </c>
      <c r="AA81">
        <v>0</v>
      </c>
    </row>
    <row r="82" spans="1:27">
      <c r="A82" s="1">
        <v>80</v>
      </c>
      <c r="B82">
        <v>258860</v>
      </c>
      <c r="C82" t="s">
        <v>111</v>
      </c>
      <c r="D82" t="s">
        <v>590</v>
      </c>
      <c r="E82" t="s">
        <v>966</v>
      </c>
      <c r="G82">
        <f>"184018907X"</f>
        <v>0</v>
      </c>
      <c r="H82">
        <f>"9781840189070"</f>
        <v>0</v>
      </c>
      <c r="I82">
        <v>3</v>
      </c>
      <c r="J82">
        <v>3.99</v>
      </c>
      <c r="K82" t="s">
        <v>1488</v>
      </c>
      <c r="L82" t="s">
        <v>1705</v>
      </c>
      <c r="M82">
        <v>320</v>
      </c>
      <c r="N82">
        <v>2004</v>
      </c>
      <c r="P82" t="s">
        <v>1730</v>
      </c>
      <c r="Q82" t="s">
        <v>1775</v>
      </c>
      <c r="T82" t="s">
        <v>2097</v>
      </c>
      <c r="U82" t="s">
        <v>2113</v>
      </c>
      <c r="X82">
        <v>1</v>
      </c>
      <c r="AA82">
        <v>0</v>
      </c>
    </row>
    <row r="83" spans="1:27">
      <c r="A83" s="1">
        <v>81</v>
      </c>
      <c r="B83">
        <v>40163119</v>
      </c>
      <c r="C83" t="s">
        <v>112</v>
      </c>
      <c r="D83" t="s">
        <v>562</v>
      </c>
      <c r="E83" t="s">
        <v>937</v>
      </c>
      <c r="G83">
        <f>"0385521316"</f>
        <v>0</v>
      </c>
      <c r="H83">
        <f>"9780385521314"</f>
        <v>0</v>
      </c>
      <c r="I83">
        <v>4</v>
      </c>
      <c r="J83">
        <v>4.43</v>
      </c>
      <c r="K83" t="s">
        <v>1461</v>
      </c>
      <c r="L83" t="s">
        <v>1707</v>
      </c>
      <c r="M83">
        <v>441</v>
      </c>
      <c r="N83">
        <v>2019</v>
      </c>
      <c r="O83">
        <v>2018</v>
      </c>
      <c r="P83" t="s">
        <v>1731</v>
      </c>
      <c r="Q83" t="s">
        <v>1740</v>
      </c>
      <c r="T83" t="s">
        <v>2097</v>
      </c>
      <c r="U83" t="s">
        <v>2114</v>
      </c>
      <c r="X83">
        <v>1</v>
      </c>
      <c r="AA83">
        <v>0</v>
      </c>
    </row>
    <row r="84" spans="1:27">
      <c r="A84" s="1">
        <v>82</v>
      </c>
      <c r="B84">
        <v>289947</v>
      </c>
      <c r="C84" t="s">
        <v>113</v>
      </c>
      <c r="D84" t="s">
        <v>591</v>
      </c>
      <c r="E84" t="s">
        <v>967</v>
      </c>
      <c r="G84">
        <f>"0738206709"</f>
        <v>0</v>
      </c>
      <c r="H84">
        <f>"9780738206707"</f>
        <v>0</v>
      </c>
      <c r="I84">
        <v>3</v>
      </c>
      <c r="J84">
        <v>3.93</v>
      </c>
      <c r="K84" t="s">
        <v>1489</v>
      </c>
      <c r="L84" t="s">
        <v>1705</v>
      </c>
      <c r="M84">
        <v>344</v>
      </c>
      <c r="N84">
        <v>2002</v>
      </c>
      <c r="O84">
        <v>2000</v>
      </c>
      <c r="P84" t="s">
        <v>1732</v>
      </c>
      <c r="Q84" t="s">
        <v>1775</v>
      </c>
      <c r="T84" t="s">
        <v>2097</v>
      </c>
      <c r="U84" t="s">
        <v>2115</v>
      </c>
      <c r="X84">
        <v>1</v>
      </c>
      <c r="AA84">
        <v>0</v>
      </c>
    </row>
    <row r="85" spans="1:27">
      <c r="A85" s="1">
        <v>83</v>
      </c>
      <c r="B85">
        <v>16240481</v>
      </c>
      <c r="C85" t="s">
        <v>114</v>
      </c>
      <c r="D85" t="s">
        <v>592</v>
      </c>
      <c r="E85" t="s">
        <v>968</v>
      </c>
      <c r="G85">
        <f>"1848547528"</f>
        <v>0</v>
      </c>
      <c r="H85">
        <f>"9781848547520"</f>
        <v>0</v>
      </c>
      <c r="I85">
        <v>0</v>
      </c>
      <c r="J85">
        <v>4.23</v>
      </c>
      <c r="K85" t="s">
        <v>1490</v>
      </c>
      <c r="L85" t="s">
        <v>1707</v>
      </c>
      <c r="M85">
        <v>362</v>
      </c>
      <c r="N85">
        <v>2013</v>
      </c>
      <c r="O85">
        <v>2013</v>
      </c>
      <c r="Q85" t="s">
        <v>1783</v>
      </c>
      <c r="R85" t="s">
        <v>1820</v>
      </c>
      <c r="S85" t="s">
        <v>1881</v>
      </c>
      <c r="T85" t="s">
        <v>1820</v>
      </c>
      <c r="X85">
        <v>0</v>
      </c>
      <c r="AA85">
        <v>0</v>
      </c>
    </row>
    <row r="86" spans="1:27">
      <c r="A86" s="1">
        <v>84</v>
      </c>
      <c r="B86">
        <v>293207</v>
      </c>
      <c r="C86" t="s">
        <v>115</v>
      </c>
      <c r="D86" t="s">
        <v>592</v>
      </c>
      <c r="E86" t="s">
        <v>968</v>
      </c>
      <c r="F86" t="s">
        <v>1307</v>
      </c>
      <c r="G86">
        <f>"1590171667"</f>
        <v>0</v>
      </c>
      <c r="H86">
        <f>"9781590171660"</f>
        <v>0</v>
      </c>
      <c r="I86">
        <v>0</v>
      </c>
      <c r="J86">
        <v>4.3</v>
      </c>
      <c r="K86" t="s">
        <v>1491</v>
      </c>
      <c r="L86" t="s">
        <v>1705</v>
      </c>
      <c r="M86">
        <v>280</v>
      </c>
      <c r="N86">
        <v>2005</v>
      </c>
      <c r="O86">
        <v>1986</v>
      </c>
      <c r="Q86" t="s">
        <v>1783</v>
      </c>
      <c r="R86" t="s">
        <v>1820</v>
      </c>
      <c r="S86" t="s">
        <v>1882</v>
      </c>
      <c r="T86" t="s">
        <v>1820</v>
      </c>
      <c r="X86">
        <v>0</v>
      </c>
      <c r="AA86">
        <v>0</v>
      </c>
    </row>
    <row r="87" spans="1:27">
      <c r="A87" s="1">
        <v>85</v>
      </c>
      <c r="B87">
        <v>7190</v>
      </c>
      <c r="C87" t="s">
        <v>116</v>
      </c>
      <c r="D87" t="s">
        <v>593</v>
      </c>
      <c r="E87" t="s">
        <v>969</v>
      </c>
      <c r="G87">
        <f>""</f>
        <v>0</v>
      </c>
      <c r="H87">
        <f>""</f>
        <v>0</v>
      </c>
      <c r="I87">
        <v>0</v>
      </c>
      <c r="J87">
        <v>4.07</v>
      </c>
      <c r="K87" t="s">
        <v>1492</v>
      </c>
      <c r="L87" t="s">
        <v>1705</v>
      </c>
      <c r="M87">
        <v>625</v>
      </c>
      <c r="N87">
        <v>2001</v>
      </c>
      <c r="O87">
        <v>1844</v>
      </c>
      <c r="Q87" t="s">
        <v>1766</v>
      </c>
      <c r="R87" t="s">
        <v>1820</v>
      </c>
      <c r="S87" t="s">
        <v>1883</v>
      </c>
      <c r="T87" t="s">
        <v>1820</v>
      </c>
      <c r="X87">
        <v>0</v>
      </c>
      <c r="AA87">
        <v>0</v>
      </c>
    </row>
    <row r="88" spans="1:27">
      <c r="A88" s="1">
        <v>86</v>
      </c>
      <c r="B88">
        <v>1381</v>
      </c>
      <c r="C88" t="s">
        <v>117</v>
      </c>
      <c r="D88" t="s">
        <v>594</v>
      </c>
      <c r="E88" t="s">
        <v>970</v>
      </c>
      <c r="F88" t="s">
        <v>1308</v>
      </c>
      <c r="G88">
        <f>"0143039954"</f>
        <v>0</v>
      </c>
      <c r="H88">
        <f>"9780143039952"</f>
        <v>0</v>
      </c>
      <c r="I88">
        <v>0</v>
      </c>
      <c r="J88">
        <v>3.76</v>
      </c>
      <c r="K88" t="s">
        <v>1449</v>
      </c>
      <c r="L88" t="s">
        <v>1705</v>
      </c>
      <c r="M88">
        <v>541</v>
      </c>
      <c r="N88">
        <v>2006</v>
      </c>
      <c r="O88">
        <v>-700</v>
      </c>
      <c r="Q88" t="s">
        <v>1766</v>
      </c>
      <c r="T88" t="s">
        <v>2097</v>
      </c>
      <c r="X88">
        <v>1</v>
      </c>
      <c r="AA88">
        <v>0</v>
      </c>
    </row>
    <row r="89" spans="1:27">
      <c r="A89" s="1">
        <v>87</v>
      </c>
      <c r="B89">
        <v>344860</v>
      </c>
      <c r="C89" t="s">
        <v>118</v>
      </c>
      <c r="D89" t="s">
        <v>562</v>
      </c>
      <c r="E89" t="s">
        <v>937</v>
      </c>
      <c r="G89">
        <f>"1400060346"</f>
        <v>0</v>
      </c>
      <c r="H89">
        <f>"9781400060344"</f>
        <v>0</v>
      </c>
      <c r="I89">
        <v>0</v>
      </c>
      <c r="J89">
        <v>3.59</v>
      </c>
      <c r="K89" t="s">
        <v>1476</v>
      </c>
      <c r="L89" t="s">
        <v>1707</v>
      </c>
      <c r="M89">
        <v>300</v>
      </c>
      <c r="N89">
        <v>2005</v>
      </c>
      <c r="O89">
        <v>2005</v>
      </c>
      <c r="Q89" t="s">
        <v>1766</v>
      </c>
      <c r="R89" t="s">
        <v>1820</v>
      </c>
      <c r="S89" t="s">
        <v>1884</v>
      </c>
      <c r="T89" t="s">
        <v>1820</v>
      </c>
      <c r="X89">
        <v>0</v>
      </c>
      <c r="AA89">
        <v>0</v>
      </c>
    </row>
    <row r="90" spans="1:27">
      <c r="A90" s="1">
        <v>88</v>
      </c>
      <c r="B90">
        <v>50489112</v>
      </c>
      <c r="C90" t="s">
        <v>119</v>
      </c>
      <c r="D90" t="s">
        <v>551</v>
      </c>
      <c r="E90" t="s">
        <v>926</v>
      </c>
      <c r="F90" t="s">
        <v>1309</v>
      </c>
      <c r="G90">
        <f>""</f>
        <v>0</v>
      </c>
      <c r="H90">
        <f>"9781733518055"</f>
        <v>0</v>
      </c>
      <c r="I90">
        <v>4</v>
      </c>
      <c r="J90">
        <v>4</v>
      </c>
      <c r="K90" t="s">
        <v>1493</v>
      </c>
      <c r="L90" t="s">
        <v>1705</v>
      </c>
      <c r="M90">
        <v>196</v>
      </c>
      <c r="N90">
        <v>2019</v>
      </c>
      <c r="P90" t="s">
        <v>1733</v>
      </c>
      <c r="Q90" t="s">
        <v>1784</v>
      </c>
      <c r="T90" t="s">
        <v>2097</v>
      </c>
      <c r="U90" t="s">
        <v>2116</v>
      </c>
      <c r="X90">
        <v>1</v>
      </c>
      <c r="AA90">
        <v>0</v>
      </c>
    </row>
    <row r="91" spans="1:27">
      <c r="A91" s="1">
        <v>89</v>
      </c>
      <c r="B91">
        <v>764165</v>
      </c>
      <c r="C91" t="s">
        <v>120</v>
      </c>
      <c r="D91" t="s">
        <v>595</v>
      </c>
      <c r="E91" t="s">
        <v>971</v>
      </c>
      <c r="G91">
        <f>"0140255087"</f>
        <v>0</v>
      </c>
      <c r="H91">
        <f>"9780140255089"</f>
        <v>0</v>
      </c>
      <c r="I91">
        <v>0</v>
      </c>
      <c r="J91">
        <v>4.12</v>
      </c>
      <c r="K91" t="s">
        <v>1428</v>
      </c>
      <c r="L91" t="s">
        <v>1705</v>
      </c>
      <c r="M91">
        <v>352</v>
      </c>
      <c r="N91">
        <v>1987</v>
      </c>
      <c r="O91">
        <v>1978</v>
      </c>
      <c r="Q91" t="s">
        <v>1778</v>
      </c>
      <c r="R91" t="s">
        <v>1820</v>
      </c>
      <c r="S91" t="s">
        <v>1885</v>
      </c>
      <c r="T91" t="s">
        <v>1820</v>
      </c>
      <c r="X91">
        <v>0</v>
      </c>
      <c r="AA91">
        <v>0</v>
      </c>
    </row>
    <row r="92" spans="1:27">
      <c r="A92" s="1">
        <v>90</v>
      </c>
      <c r="B92">
        <v>100247</v>
      </c>
      <c r="C92" t="s">
        <v>121</v>
      </c>
      <c r="D92" t="s">
        <v>596</v>
      </c>
      <c r="E92" t="s">
        <v>972</v>
      </c>
      <c r="G92">
        <f>"0812992180"</f>
        <v>0</v>
      </c>
      <c r="H92">
        <f>"9780812992182"</f>
        <v>0</v>
      </c>
      <c r="I92">
        <v>0</v>
      </c>
      <c r="J92">
        <v>3.94</v>
      </c>
      <c r="K92" t="s">
        <v>1494</v>
      </c>
      <c r="L92" t="s">
        <v>1705</v>
      </c>
      <c r="M92">
        <v>205</v>
      </c>
      <c r="N92">
        <v>2002</v>
      </c>
      <c r="O92">
        <v>2002</v>
      </c>
      <c r="Q92" t="s">
        <v>1778</v>
      </c>
      <c r="R92" t="s">
        <v>1820</v>
      </c>
      <c r="S92" t="s">
        <v>1886</v>
      </c>
      <c r="T92" t="s">
        <v>1820</v>
      </c>
      <c r="X92">
        <v>0</v>
      </c>
      <c r="AA92">
        <v>0</v>
      </c>
    </row>
    <row r="93" spans="1:27">
      <c r="A93" s="1">
        <v>91</v>
      </c>
      <c r="B93">
        <v>5306</v>
      </c>
      <c r="C93" t="s">
        <v>122</v>
      </c>
      <c r="D93" t="s">
        <v>597</v>
      </c>
      <c r="E93" t="s">
        <v>973</v>
      </c>
      <c r="G93">
        <f>"0142000701"</f>
        <v>0</v>
      </c>
      <c r="H93">
        <f>"9780142000700"</f>
        <v>0</v>
      </c>
      <c r="I93">
        <v>0</v>
      </c>
      <c r="J93">
        <v>4.08</v>
      </c>
      <c r="K93" t="s">
        <v>1483</v>
      </c>
      <c r="L93" t="s">
        <v>1705</v>
      </c>
      <c r="M93">
        <v>214</v>
      </c>
      <c r="N93">
        <v>2002</v>
      </c>
      <c r="O93">
        <v>1962</v>
      </c>
      <c r="Q93" t="s">
        <v>1778</v>
      </c>
      <c r="R93" t="s">
        <v>1820</v>
      </c>
      <c r="S93" t="s">
        <v>1887</v>
      </c>
      <c r="T93" t="s">
        <v>1820</v>
      </c>
      <c r="X93">
        <v>0</v>
      </c>
      <c r="AA93">
        <v>0</v>
      </c>
    </row>
    <row r="94" spans="1:27">
      <c r="A94" s="1">
        <v>92</v>
      </c>
      <c r="B94">
        <v>899949</v>
      </c>
      <c r="C94" t="s">
        <v>123</v>
      </c>
      <c r="D94" t="s">
        <v>598</v>
      </c>
      <c r="E94" t="s">
        <v>974</v>
      </c>
      <c r="G94">
        <f>"0810959402"</f>
        <v>0</v>
      </c>
      <c r="H94">
        <f>"9780810959408"</f>
        <v>0</v>
      </c>
      <c r="I94">
        <v>0</v>
      </c>
      <c r="J94">
        <v>4.59</v>
      </c>
      <c r="K94" t="s">
        <v>1482</v>
      </c>
      <c r="L94" t="s">
        <v>1707</v>
      </c>
      <c r="M94">
        <v>180</v>
      </c>
      <c r="N94">
        <v>2006</v>
      </c>
      <c r="O94">
        <v>2006</v>
      </c>
      <c r="Q94" t="s">
        <v>1778</v>
      </c>
      <c r="R94" t="s">
        <v>1820</v>
      </c>
      <c r="S94" t="s">
        <v>1888</v>
      </c>
      <c r="T94" t="s">
        <v>1820</v>
      </c>
      <c r="X94">
        <v>0</v>
      </c>
      <c r="AA94">
        <v>0</v>
      </c>
    </row>
    <row r="95" spans="1:27">
      <c r="A95" s="1">
        <v>93</v>
      </c>
      <c r="B95">
        <v>5759</v>
      </c>
      <c r="C95" t="s">
        <v>124</v>
      </c>
      <c r="D95" t="s">
        <v>599</v>
      </c>
      <c r="E95" t="s">
        <v>975</v>
      </c>
      <c r="G95">
        <f>"0393327345"</f>
        <v>0</v>
      </c>
      <c r="H95">
        <f>"9780393327342"</f>
        <v>0</v>
      </c>
      <c r="I95">
        <v>0</v>
      </c>
      <c r="J95">
        <v>4.19</v>
      </c>
      <c r="K95" t="s">
        <v>1495</v>
      </c>
      <c r="L95" t="s">
        <v>1705</v>
      </c>
      <c r="M95">
        <v>218</v>
      </c>
      <c r="N95">
        <v>2005</v>
      </c>
      <c r="O95">
        <v>1996</v>
      </c>
      <c r="Q95" t="s">
        <v>1778</v>
      </c>
      <c r="R95" t="s">
        <v>1820</v>
      </c>
      <c r="S95" t="s">
        <v>1889</v>
      </c>
      <c r="T95" t="s">
        <v>1820</v>
      </c>
      <c r="X95">
        <v>0</v>
      </c>
      <c r="AA95">
        <v>0</v>
      </c>
    </row>
    <row r="96" spans="1:27">
      <c r="A96" s="1">
        <v>94</v>
      </c>
      <c r="B96">
        <v>16145175</v>
      </c>
      <c r="C96" t="s">
        <v>125</v>
      </c>
      <c r="D96" t="s">
        <v>600</v>
      </c>
      <c r="E96" t="s">
        <v>976</v>
      </c>
      <c r="F96" t="s">
        <v>1310</v>
      </c>
      <c r="G96">
        <f>"0520274067"</f>
        <v>0</v>
      </c>
      <c r="H96">
        <f>"9780520274068"</f>
        <v>0</v>
      </c>
      <c r="I96">
        <v>0</v>
      </c>
      <c r="J96">
        <v>3.9</v>
      </c>
      <c r="K96" t="s">
        <v>1496</v>
      </c>
      <c r="L96" t="s">
        <v>1707</v>
      </c>
      <c r="M96">
        <v>296</v>
      </c>
      <c r="N96">
        <v>2013</v>
      </c>
      <c r="O96">
        <v>2013</v>
      </c>
      <c r="Q96" t="s">
        <v>1778</v>
      </c>
      <c r="R96" t="s">
        <v>1820</v>
      </c>
      <c r="S96" t="s">
        <v>1890</v>
      </c>
      <c r="T96" t="s">
        <v>1820</v>
      </c>
      <c r="X96">
        <v>0</v>
      </c>
      <c r="AA96">
        <v>0</v>
      </c>
    </row>
    <row r="97" spans="1:27">
      <c r="A97" s="1">
        <v>95</v>
      </c>
      <c r="B97">
        <v>24194340</v>
      </c>
      <c r="C97" t="s">
        <v>126</v>
      </c>
      <c r="D97" t="s">
        <v>601</v>
      </c>
      <c r="E97" t="s">
        <v>977</v>
      </c>
      <c r="G97">
        <f>""</f>
        <v>0</v>
      </c>
      <c r="H97">
        <f>""</f>
        <v>0</v>
      </c>
      <c r="I97">
        <v>0</v>
      </c>
      <c r="J97">
        <v>4.5</v>
      </c>
      <c r="K97" t="s">
        <v>1497</v>
      </c>
      <c r="L97" t="s">
        <v>1708</v>
      </c>
      <c r="M97">
        <v>310</v>
      </c>
      <c r="N97">
        <v>2013</v>
      </c>
      <c r="O97">
        <v>2013</v>
      </c>
      <c r="Q97" t="s">
        <v>1778</v>
      </c>
      <c r="R97" t="s">
        <v>1820</v>
      </c>
      <c r="S97" t="s">
        <v>1891</v>
      </c>
      <c r="T97" t="s">
        <v>1820</v>
      </c>
      <c r="X97">
        <v>0</v>
      </c>
      <c r="AA97">
        <v>0</v>
      </c>
    </row>
    <row r="98" spans="1:27">
      <c r="A98" s="1">
        <v>96</v>
      </c>
      <c r="B98">
        <v>32603496</v>
      </c>
      <c r="C98" t="s">
        <v>127</v>
      </c>
      <c r="D98" t="s">
        <v>602</v>
      </c>
      <c r="E98" t="s">
        <v>978</v>
      </c>
      <c r="G98">
        <f>"0593078411"</f>
        <v>0</v>
      </c>
      <c r="H98">
        <f>"9780593078419"</f>
        <v>0</v>
      </c>
      <c r="I98">
        <v>0</v>
      </c>
      <c r="J98">
        <v>3.87</v>
      </c>
      <c r="K98" t="s">
        <v>1498</v>
      </c>
      <c r="L98" t="s">
        <v>1705</v>
      </c>
      <c r="M98">
        <v>416</v>
      </c>
      <c r="N98">
        <v>2017</v>
      </c>
      <c r="O98">
        <v>2017</v>
      </c>
      <c r="Q98" t="s">
        <v>1778</v>
      </c>
      <c r="R98" t="s">
        <v>1820</v>
      </c>
      <c r="S98" t="s">
        <v>1892</v>
      </c>
      <c r="T98" t="s">
        <v>1820</v>
      </c>
      <c r="X98">
        <v>0</v>
      </c>
      <c r="AA98">
        <v>0</v>
      </c>
    </row>
    <row r="99" spans="1:27">
      <c r="A99" s="1">
        <v>97</v>
      </c>
      <c r="B99">
        <v>33864783</v>
      </c>
      <c r="C99" t="s">
        <v>128</v>
      </c>
      <c r="D99" t="s">
        <v>603</v>
      </c>
      <c r="E99" t="s">
        <v>979</v>
      </c>
      <c r="G99">
        <f>"1101984430"</f>
        <v>0</v>
      </c>
      <c r="H99">
        <f>"9781101984437"</f>
        <v>0</v>
      </c>
      <c r="I99">
        <v>0</v>
      </c>
      <c r="J99">
        <v>4.18</v>
      </c>
      <c r="K99" t="s">
        <v>1499</v>
      </c>
      <c r="L99" t="s">
        <v>1707</v>
      </c>
      <c r="M99">
        <v>384</v>
      </c>
      <c r="N99">
        <v>2017</v>
      </c>
      <c r="O99">
        <v>2017</v>
      </c>
      <c r="Q99" t="s">
        <v>1778</v>
      </c>
      <c r="R99" t="s">
        <v>1820</v>
      </c>
      <c r="S99" t="s">
        <v>1893</v>
      </c>
      <c r="T99" t="s">
        <v>1820</v>
      </c>
      <c r="X99">
        <v>0</v>
      </c>
      <c r="AA99">
        <v>0</v>
      </c>
    </row>
    <row r="100" spans="1:27">
      <c r="A100" s="1">
        <v>98</v>
      </c>
      <c r="B100">
        <v>637044</v>
      </c>
      <c r="C100" t="s">
        <v>129</v>
      </c>
      <c r="D100" t="s">
        <v>604</v>
      </c>
      <c r="E100" t="s">
        <v>980</v>
      </c>
      <c r="G100">
        <f>"1850434034"</f>
        <v>0</v>
      </c>
      <c r="H100">
        <f>"9781850434030"</f>
        <v>0</v>
      </c>
      <c r="I100">
        <v>0</v>
      </c>
      <c r="J100">
        <v>4.26</v>
      </c>
      <c r="K100" t="s">
        <v>1500</v>
      </c>
      <c r="L100" t="s">
        <v>1705</v>
      </c>
      <c r="M100">
        <v>512</v>
      </c>
      <c r="N100">
        <v>2004</v>
      </c>
      <c r="O100">
        <v>1960</v>
      </c>
      <c r="Q100" t="s">
        <v>1778</v>
      </c>
      <c r="R100" t="s">
        <v>1820</v>
      </c>
      <c r="S100" t="s">
        <v>1894</v>
      </c>
      <c r="T100" t="s">
        <v>1820</v>
      </c>
      <c r="X100">
        <v>0</v>
      </c>
      <c r="AA100">
        <v>0</v>
      </c>
    </row>
    <row r="101" spans="1:27">
      <c r="A101" s="1">
        <v>99</v>
      </c>
      <c r="B101">
        <v>426504</v>
      </c>
      <c r="C101" t="s">
        <v>130</v>
      </c>
      <c r="D101" t="s">
        <v>605</v>
      </c>
      <c r="E101" t="s">
        <v>981</v>
      </c>
      <c r="F101" t="s">
        <v>1311</v>
      </c>
      <c r="G101">
        <f>"0802130305"</f>
        <v>0</v>
      </c>
      <c r="H101">
        <f>"9780802130303"</f>
        <v>0</v>
      </c>
      <c r="I101">
        <v>0</v>
      </c>
      <c r="J101">
        <v>4.45</v>
      </c>
      <c r="K101" t="s">
        <v>1501</v>
      </c>
      <c r="L101" t="s">
        <v>1705</v>
      </c>
      <c r="M101">
        <v>174</v>
      </c>
      <c r="N101">
        <v>1994</v>
      </c>
      <c r="O101">
        <v>1944</v>
      </c>
      <c r="Q101" t="s">
        <v>1778</v>
      </c>
      <c r="R101" t="s">
        <v>1820</v>
      </c>
      <c r="S101" t="s">
        <v>1895</v>
      </c>
      <c r="T101" t="s">
        <v>1820</v>
      </c>
      <c r="X101">
        <v>0</v>
      </c>
      <c r="AA101">
        <v>0</v>
      </c>
    </row>
    <row r="102" spans="1:27">
      <c r="A102" s="1">
        <v>100</v>
      </c>
      <c r="B102">
        <v>3769306</v>
      </c>
      <c r="C102" t="s">
        <v>131</v>
      </c>
      <c r="D102" t="s">
        <v>606</v>
      </c>
      <c r="E102" t="s">
        <v>982</v>
      </c>
      <c r="F102" t="s">
        <v>1312</v>
      </c>
      <c r="G102">
        <f>"0345030982"</f>
        <v>0</v>
      </c>
      <c r="H102">
        <f>"9780345030986"</f>
        <v>0</v>
      </c>
      <c r="I102">
        <v>0</v>
      </c>
      <c r="J102">
        <v>4.33</v>
      </c>
      <c r="K102" t="s">
        <v>1502</v>
      </c>
      <c r="L102" t="s">
        <v>1705</v>
      </c>
      <c r="M102">
        <v>127</v>
      </c>
      <c r="N102">
        <v>1972</v>
      </c>
      <c r="O102">
        <v>1972</v>
      </c>
      <c r="Q102" t="s">
        <v>1785</v>
      </c>
      <c r="R102" t="s">
        <v>1820</v>
      </c>
      <c r="S102" t="s">
        <v>1896</v>
      </c>
      <c r="T102" t="s">
        <v>1820</v>
      </c>
      <c r="X102">
        <v>0</v>
      </c>
      <c r="AA102">
        <v>0</v>
      </c>
    </row>
    <row r="103" spans="1:27">
      <c r="A103" s="1">
        <v>101</v>
      </c>
      <c r="B103">
        <v>23814</v>
      </c>
      <c r="C103" t="s">
        <v>132</v>
      </c>
      <c r="D103" t="s">
        <v>607</v>
      </c>
      <c r="E103" t="s">
        <v>983</v>
      </c>
      <c r="G103">
        <f>"0812966295"</f>
        <v>0</v>
      </c>
      <c r="H103">
        <f>"9780812966299"</f>
        <v>0</v>
      </c>
      <c r="I103">
        <v>4</v>
      </c>
      <c r="J103">
        <v>3.8</v>
      </c>
      <c r="K103" t="s">
        <v>1492</v>
      </c>
      <c r="L103" t="s">
        <v>1705</v>
      </c>
      <c r="M103">
        <v>264</v>
      </c>
      <c r="N103">
        <v>2002</v>
      </c>
      <c r="O103">
        <v>1885</v>
      </c>
      <c r="P103" t="s">
        <v>1734</v>
      </c>
      <c r="Q103" t="s">
        <v>1775</v>
      </c>
      <c r="T103" t="s">
        <v>2097</v>
      </c>
      <c r="U103" t="s">
        <v>2117</v>
      </c>
      <c r="X103">
        <v>1</v>
      </c>
      <c r="AA103">
        <v>0</v>
      </c>
    </row>
    <row r="104" spans="1:27">
      <c r="A104" s="1">
        <v>102</v>
      </c>
      <c r="B104">
        <v>206970</v>
      </c>
      <c r="C104" t="s">
        <v>133</v>
      </c>
      <c r="D104" t="s">
        <v>608</v>
      </c>
      <c r="E104" t="s">
        <v>984</v>
      </c>
      <c r="F104" t="s">
        <v>1313</v>
      </c>
      <c r="G104">
        <f>"0792238761"</f>
        <v>0</v>
      </c>
      <c r="H104">
        <f>"9780792238768"</f>
        <v>0</v>
      </c>
      <c r="I104">
        <v>0</v>
      </c>
      <c r="J104">
        <v>3.97</v>
      </c>
      <c r="K104" t="s">
        <v>1503</v>
      </c>
      <c r="L104" t="s">
        <v>1705</v>
      </c>
      <c r="M104">
        <v>472</v>
      </c>
      <c r="N104">
        <v>2005</v>
      </c>
      <c r="O104">
        <v>1897</v>
      </c>
      <c r="Q104" t="s">
        <v>1765</v>
      </c>
      <c r="R104" t="s">
        <v>1820</v>
      </c>
      <c r="S104" t="s">
        <v>1897</v>
      </c>
      <c r="T104" t="s">
        <v>1820</v>
      </c>
      <c r="X104">
        <v>0</v>
      </c>
      <c r="AA104">
        <v>0</v>
      </c>
    </row>
    <row r="105" spans="1:27">
      <c r="A105" s="1">
        <v>103</v>
      </c>
      <c r="B105">
        <v>1049517</v>
      </c>
      <c r="C105" t="s">
        <v>134</v>
      </c>
      <c r="D105" t="s">
        <v>609</v>
      </c>
      <c r="E105" t="s">
        <v>985</v>
      </c>
      <c r="G105">
        <f>"0792268903"</f>
        <v>0</v>
      </c>
      <c r="H105">
        <f>"9780792268901"</f>
        <v>0</v>
      </c>
      <c r="I105">
        <v>0</v>
      </c>
      <c r="J105">
        <v>4.18</v>
      </c>
      <c r="K105" t="s">
        <v>1503</v>
      </c>
      <c r="L105" t="s">
        <v>1705</v>
      </c>
      <c r="M105">
        <v>320</v>
      </c>
      <c r="N105">
        <v>2003</v>
      </c>
      <c r="O105">
        <v>1954</v>
      </c>
      <c r="Q105" t="s">
        <v>1765</v>
      </c>
      <c r="R105" t="s">
        <v>1820</v>
      </c>
      <c r="S105" t="s">
        <v>1898</v>
      </c>
      <c r="T105" t="s">
        <v>1820</v>
      </c>
      <c r="X105">
        <v>0</v>
      </c>
      <c r="AA105">
        <v>0</v>
      </c>
    </row>
    <row r="106" spans="1:27">
      <c r="A106" s="1">
        <v>104</v>
      </c>
      <c r="B106">
        <v>7841672</v>
      </c>
      <c r="C106" t="s">
        <v>135</v>
      </c>
      <c r="D106" t="s">
        <v>610</v>
      </c>
      <c r="E106" t="s">
        <v>986</v>
      </c>
      <c r="F106" t="s">
        <v>1314</v>
      </c>
      <c r="G106">
        <f>"1439108277"</f>
        <v>0</v>
      </c>
      <c r="H106">
        <f>"9781439108277"</f>
        <v>0</v>
      </c>
      <c r="I106">
        <v>0</v>
      </c>
      <c r="J106">
        <v>4.23</v>
      </c>
      <c r="K106" t="s">
        <v>1469</v>
      </c>
      <c r="L106" t="s">
        <v>1707</v>
      </c>
      <c r="M106">
        <v>301</v>
      </c>
      <c r="N106">
        <v>2011</v>
      </c>
      <c r="O106">
        <v>2011</v>
      </c>
      <c r="Q106" t="s">
        <v>1786</v>
      </c>
      <c r="R106" t="s">
        <v>1820</v>
      </c>
      <c r="S106" t="s">
        <v>1899</v>
      </c>
      <c r="T106" t="s">
        <v>1820</v>
      </c>
      <c r="X106">
        <v>0</v>
      </c>
      <c r="AA106">
        <v>0</v>
      </c>
    </row>
    <row r="107" spans="1:27">
      <c r="A107" s="1">
        <v>105</v>
      </c>
      <c r="B107">
        <v>568236</v>
      </c>
      <c r="C107" t="s">
        <v>136</v>
      </c>
      <c r="D107" t="s">
        <v>611</v>
      </c>
      <c r="E107" t="s">
        <v>987</v>
      </c>
      <c r="G107">
        <f>"0345349571"</f>
        <v>0</v>
      </c>
      <c r="H107">
        <f>"9780345349576"</f>
        <v>0</v>
      </c>
      <c r="I107">
        <v>0</v>
      </c>
      <c r="J107">
        <v>4.08</v>
      </c>
      <c r="K107" t="s">
        <v>1504</v>
      </c>
      <c r="L107" t="s">
        <v>1705</v>
      </c>
      <c r="M107">
        <v>677</v>
      </c>
      <c r="N107">
        <v>1987</v>
      </c>
      <c r="O107">
        <v>1978</v>
      </c>
      <c r="Q107" t="s">
        <v>1786</v>
      </c>
      <c r="R107" t="s">
        <v>1820</v>
      </c>
      <c r="S107" t="s">
        <v>1900</v>
      </c>
      <c r="T107" t="s">
        <v>1820</v>
      </c>
      <c r="X107">
        <v>0</v>
      </c>
      <c r="AA107">
        <v>0</v>
      </c>
    </row>
    <row r="108" spans="1:27">
      <c r="A108" s="1">
        <v>106</v>
      </c>
      <c r="B108">
        <v>42954943</v>
      </c>
      <c r="C108" t="s">
        <v>137</v>
      </c>
      <c r="D108" t="s">
        <v>612</v>
      </c>
      <c r="E108" t="s">
        <v>988</v>
      </c>
      <c r="F108" t="s">
        <v>1315</v>
      </c>
      <c r="G108">
        <f>"1642930474"</f>
        <v>0</v>
      </c>
      <c r="H108">
        <f>"9781642930474"</f>
        <v>0</v>
      </c>
      <c r="I108">
        <v>0</v>
      </c>
      <c r="J108">
        <v>4.03</v>
      </c>
      <c r="K108" t="s">
        <v>1505</v>
      </c>
      <c r="L108" t="s">
        <v>1707</v>
      </c>
      <c r="M108">
        <v>240</v>
      </c>
      <c r="N108">
        <v>2019</v>
      </c>
      <c r="O108">
        <v>2019</v>
      </c>
      <c r="Q108" t="s">
        <v>1787</v>
      </c>
      <c r="R108" t="s">
        <v>1820</v>
      </c>
      <c r="S108" t="s">
        <v>1901</v>
      </c>
      <c r="T108" t="s">
        <v>1820</v>
      </c>
      <c r="X108">
        <v>0</v>
      </c>
      <c r="AA108">
        <v>0</v>
      </c>
    </row>
    <row r="109" spans="1:27">
      <c r="A109" s="1">
        <v>107</v>
      </c>
      <c r="B109">
        <v>246041</v>
      </c>
      <c r="C109" t="s">
        <v>138</v>
      </c>
      <c r="D109" t="s">
        <v>613</v>
      </c>
      <c r="E109" t="s">
        <v>989</v>
      </c>
      <c r="F109" t="s">
        <v>1316</v>
      </c>
      <c r="G109">
        <f>"0609807072"</f>
        <v>0</v>
      </c>
      <c r="H109">
        <f>"9780609807071"</f>
        <v>0</v>
      </c>
      <c r="I109">
        <v>0</v>
      </c>
      <c r="J109">
        <v>4.11</v>
      </c>
      <c r="K109" t="s">
        <v>1506</v>
      </c>
      <c r="L109" t="s">
        <v>1705</v>
      </c>
      <c r="M109">
        <v>688</v>
      </c>
      <c r="N109">
        <v>2001</v>
      </c>
      <c r="O109">
        <v>2000</v>
      </c>
      <c r="Q109" t="s">
        <v>1788</v>
      </c>
      <c r="R109" t="s">
        <v>1820</v>
      </c>
      <c r="S109" t="s">
        <v>1902</v>
      </c>
      <c r="T109" t="s">
        <v>1820</v>
      </c>
      <c r="X109">
        <v>0</v>
      </c>
      <c r="AA109">
        <v>0</v>
      </c>
    </row>
    <row r="110" spans="1:27">
      <c r="A110" s="1">
        <v>108</v>
      </c>
      <c r="B110">
        <v>216363</v>
      </c>
      <c r="C110" t="s">
        <v>139</v>
      </c>
      <c r="D110" t="s">
        <v>614</v>
      </c>
      <c r="E110" t="s">
        <v>990</v>
      </c>
      <c r="G110">
        <f>"0679740678"</f>
        <v>0</v>
      </c>
      <c r="H110">
        <f>"9780679740674"</f>
        <v>0</v>
      </c>
      <c r="I110">
        <v>2</v>
      </c>
      <c r="J110">
        <v>3.62</v>
      </c>
      <c r="K110" t="s">
        <v>1507</v>
      </c>
      <c r="L110" t="s">
        <v>1705</v>
      </c>
      <c r="M110">
        <v>259</v>
      </c>
      <c r="N110">
        <v>1992</v>
      </c>
      <c r="O110">
        <v>1962</v>
      </c>
      <c r="P110" t="s">
        <v>1735</v>
      </c>
      <c r="Q110" t="s">
        <v>1754</v>
      </c>
      <c r="T110" t="s">
        <v>2097</v>
      </c>
      <c r="X110">
        <v>1</v>
      </c>
      <c r="AA110">
        <v>0</v>
      </c>
    </row>
    <row r="111" spans="1:27">
      <c r="A111" s="1">
        <v>109</v>
      </c>
      <c r="B111">
        <v>495954</v>
      </c>
      <c r="C111" t="s">
        <v>140</v>
      </c>
      <c r="D111" t="s">
        <v>615</v>
      </c>
      <c r="E111" t="s">
        <v>991</v>
      </c>
      <c r="F111" t="s">
        <v>1317</v>
      </c>
      <c r="G111">
        <f>"0880293934"</f>
        <v>0</v>
      </c>
      <c r="H111">
        <f>"9780880293938"</f>
        <v>0</v>
      </c>
      <c r="I111">
        <v>3</v>
      </c>
      <c r="J111">
        <v>3.57</v>
      </c>
      <c r="K111" t="s">
        <v>1508</v>
      </c>
      <c r="L111" t="s">
        <v>1707</v>
      </c>
      <c r="M111">
        <v>176</v>
      </c>
      <c r="N111">
        <v>1993</v>
      </c>
      <c r="O111">
        <v>1988</v>
      </c>
      <c r="P111" t="s">
        <v>1736</v>
      </c>
      <c r="Q111" t="s">
        <v>1773</v>
      </c>
      <c r="T111" t="s">
        <v>2097</v>
      </c>
      <c r="U111" t="s">
        <v>2118</v>
      </c>
      <c r="X111">
        <v>1</v>
      </c>
      <c r="AA111">
        <v>0</v>
      </c>
    </row>
    <row r="112" spans="1:27">
      <c r="A112" s="1">
        <v>110</v>
      </c>
      <c r="B112">
        <v>7071759</v>
      </c>
      <c r="C112" t="s">
        <v>141</v>
      </c>
      <c r="D112" t="s">
        <v>616</v>
      </c>
      <c r="E112" t="s">
        <v>992</v>
      </c>
      <c r="F112" t="s">
        <v>1318</v>
      </c>
      <c r="G112">
        <f>"1402766513"</f>
        <v>0</v>
      </c>
      <c r="H112">
        <f>"9781402766510"</f>
        <v>0</v>
      </c>
      <c r="I112">
        <v>3</v>
      </c>
      <c r="J112">
        <v>3.88</v>
      </c>
      <c r="K112" t="s">
        <v>1509</v>
      </c>
      <c r="L112" t="s">
        <v>1707</v>
      </c>
      <c r="M112">
        <v>336</v>
      </c>
      <c r="N112">
        <v>2010</v>
      </c>
      <c r="O112">
        <v>2010</v>
      </c>
      <c r="P112" t="s">
        <v>1737</v>
      </c>
      <c r="Q112" t="s">
        <v>1789</v>
      </c>
      <c r="T112" t="s">
        <v>2097</v>
      </c>
      <c r="U112" t="s">
        <v>2119</v>
      </c>
      <c r="X112">
        <v>1</v>
      </c>
      <c r="AA112">
        <v>0</v>
      </c>
    </row>
    <row r="113" spans="1:27">
      <c r="A113" s="1">
        <v>111</v>
      </c>
      <c r="B113">
        <v>37415</v>
      </c>
      <c r="C113" t="s">
        <v>142</v>
      </c>
      <c r="D113" t="s">
        <v>617</v>
      </c>
      <c r="E113" t="s">
        <v>993</v>
      </c>
      <c r="G113">
        <f>"0061120065"</f>
        <v>0</v>
      </c>
      <c r="H113">
        <f>"9780061120060"</f>
        <v>0</v>
      </c>
      <c r="I113">
        <v>0</v>
      </c>
      <c r="J113">
        <v>3.92</v>
      </c>
      <c r="K113" t="s">
        <v>1510</v>
      </c>
      <c r="L113" t="s">
        <v>1705</v>
      </c>
      <c r="M113">
        <v>219</v>
      </c>
      <c r="N113">
        <v>2006</v>
      </c>
      <c r="O113">
        <v>1937</v>
      </c>
      <c r="Q113" t="s">
        <v>1790</v>
      </c>
      <c r="T113" t="s">
        <v>2097</v>
      </c>
      <c r="X113">
        <v>1</v>
      </c>
      <c r="AA113">
        <v>0</v>
      </c>
    </row>
    <row r="114" spans="1:27">
      <c r="A114" s="1">
        <v>112</v>
      </c>
      <c r="B114">
        <v>1898</v>
      </c>
      <c r="C114" t="s">
        <v>143</v>
      </c>
      <c r="D114" t="s">
        <v>618</v>
      </c>
      <c r="E114" t="s">
        <v>994</v>
      </c>
      <c r="G114">
        <f>"0385494785"</f>
        <v>0</v>
      </c>
      <c r="H114">
        <f>"9780385494786"</f>
        <v>0</v>
      </c>
      <c r="I114">
        <v>4</v>
      </c>
      <c r="J114">
        <v>4.17</v>
      </c>
      <c r="K114" t="s">
        <v>1511</v>
      </c>
      <c r="L114" t="s">
        <v>1705</v>
      </c>
      <c r="M114">
        <v>368</v>
      </c>
      <c r="N114">
        <v>1999</v>
      </c>
      <c r="O114">
        <v>1997</v>
      </c>
      <c r="P114" t="s">
        <v>1738</v>
      </c>
      <c r="Q114" t="s">
        <v>1791</v>
      </c>
      <c r="T114" t="s">
        <v>2097</v>
      </c>
      <c r="U114" t="s">
        <v>2120</v>
      </c>
      <c r="X114">
        <v>1</v>
      </c>
      <c r="AA114">
        <v>0</v>
      </c>
    </row>
    <row r="115" spans="1:27">
      <c r="A115" s="1">
        <v>113</v>
      </c>
      <c r="B115">
        <v>17575112</v>
      </c>
      <c r="C115" t="s">
        <v>144</v>
      </c>
      <c r="D115" t="s">
        <v>544</v>
      </c>
      <c r="E115" t="s">
        <v>919</v>
      </c>
      <c r="F115" t="s">
        <v>1319</v>
      </c>
      <c r="G115">
        <f>"0871404265"</f>
        <v>0</v>
      </c>
      <c r="H115">
        <f>"9780871404268"</f>
        <v>0</v>
      </c>
      <c r="I115">
        <v>0</v>
      </c>
      <c r="J115">
        <v>4.08</v>
      </c>
      <c r="K115" t="s">
        <v>1512</v>
      </c>
      <c r="L115" t="s">
        <v>1707</v>
      </c>
      <c r="M115">
        <v>224</v>
      </c>
      <c r="N115">
        <v>2013</v>
      </c>
      <c r="O115">
        <v>1886</v>
      </c>
      <c r="Q115" t="s">
        <v>1772</v>
      </c>
      <c r="T115" t="s">
        <v>2097</v>
      </c>
      <c r="X115">
        <v>1</v>
      </c>
      <c r="AA115">
        <v>0</v>
      </c>
    </row>
    <row r="116" spans="1:27">
      <c r="A116" s="1">
        <v>114</v>
      </c>
      <c r="B116">
        <v>828890</v>
      </c>
      <c r="C116" t="s">
        <v>145</v>
      </c>
      <c r="D116" t="s">
        <v>619</v>
      </c>
      <c r="E116" t="s">
        <v>995</v>
      </c>
      <c r="G116">
        <f>"0684869683"</f>
        <v>0</v>
      </c>
      <c r="H116">
        <f>"9780684869681"</f>
        <v>0</v>
      </c>
      <c r="I116">
        <v>3</v>
      </c>
      <c r="J116">
        <v>3.48</v>
      </c>
      <c r="K116" t="s">
        <v>1431</v>
      </c>
      <c r="L116" t="s">
        <v>1705</v>
      </c>
      <c r="M116">
        <v>336</v>
      </c>
      <c r="N116">
        <v>2000</v>
      </c>
      <c r="O116">
        <v>1999</v>
      </c>
      <c r="P116" t="s">
        <v>1739</v>
      </c>
      <c r="Q116" t="s">
        <v>1773</v>
      </c>
      <c r="T116" t="s">
        <v>2097</v>
      </c>
      <c r="U116" t="s">
        <v>2121</v>
      </c>
      <c r="X116">
        <v>1</v>
      </c>
      <c r="AA116">
        <v>0</v>
      </c>
    </row>
    <row r="117" spans="1:27">
      <c r="A117" s="1">
        <v>115</v>
      </c>
      <c r="B117">
        <v>124431</v>
      </c>
      <c r="C117" t="s">
        <v>146</v>
      </c>
      <c r="D117" t="s">
        <v>620</v>
      </c>
      <c r="E117" t="s">
        <v>996</v>
      </c>
      <c r="G117">
        <f>"1864501731"</f>
        <v>0</v>
      </c>
      <c r="H117">
        <f>"9781864501735"</f>
        <v>0</v>
      </c>
      <c r="I117">
        <v>0</v>
      </c>
      <c r="J117">
        <v>4.01</v>
      </c>
      <c r="K117" t="s">
        <v>1513</v>
      </c>
      <c r="L117" t="s">
        <v>1705</v>
      </c>
      <c r="M117">
        <v>319</v>
      </c>
      <c r="N117">
        <v>2000</v>
      </c>
      <c r="O117">
        <v>1989</v>
      </c>
      <c r="Q117" t="s">
        <v>1789</v>
      </c>
      <c r="R117" t="s">
        <v>1820</v>
      </c>
      <c r="S117" t="s">
        <v>1903</v>
      </c>
      <c r="T117" t="s">
        <v>1820</v>
      </c>
      <c r="X117">
        <v>0</v>
      </c>
      <c r="AA117">
        <v>0</v>
      </c>
    </row>
    <row r="118" spans="1:27">
      <c r="A118" s="1">
        <v>116</v>
      </c>
      <c r="B118">
        <v>843923</v>
      </c>
      <c r="C118" t="s">
        <v>147</v>
      </c>
      <c r="D118" t="s">
        <v>621</v>
      </c>
      <c r="E118" t="s">
        <v>997</v>
      </c>
      <c r="F118" t="s">
        <v>1320</v>
      </c>
      <c r="G118">
        <f>"0896892972"</f>
        <v>0</v>
      </c>
      <c r="H118">
        <f>"9780896892972"</f>
        <v>0</v>
      </c>
      <c r="I118">
        <v>0</v>
      </c>
      <c r="J118">
        <v>4.3</v>
      </c>
      <c r="K118" t="s">
        <v>1514</v>
      </c>
      <c r="L118" t="s">
        <v>1705</v>
      </c>
      <c r="M118">
        <v>552</v>
      </c>
      <c r="N118">
        <v>2006</v>
      </c>
      <c r="O118">
        <v>1969</v>
      </c>
      <c r="Q118" t="s">
        <v>1792</v>
      </c>
      <c r="R118" t="s">
        <v>1820</v>
      </c>
      <c r="S118" t="s">
        <v>1904</v>
      </c>
      <c r="T118" t="s">
        <v>1820</v>
      </c>
      <c r="X118">
        <v>0</v>
      </c>
      <c r="AA118">
        <v>0</v>
      </c>
    </row>
    <row r="119" spans="1:27">
      <c r="A119" s="1">
        <v>117</v>
      </c>
      <c r="B119">
        <v>554640</v>
      </c>
      <c r="C119" t="s">
        <v>148</v>
      </c>
      <c r="D119" t="s">
        <v>622</v>
      </c>
      <c r="E119" t="s">
        <v>998</v>
      </c>
      <c r="G119">
        <f>"0879051698"</f>
        <v>0</v>
      </c>
      <c r="H119">
        <f>"9780879051693"</f>
        <v>0</v>
      </c>
      <c r="I119">
        <v>0</v>
      </c>
      <c r="J119">
        <v>4.1</v>
      </c>
      <c r="K119" t="s">
        <v>1515</v>
      </c>
      <c r="L119" t="s">
        <v>1705</v>
      </c>
      <c r="M119">
        <v>175</v>
      </c>
      <c r="N119">
        <v>1984</v>
      </c>
      <c r="O119">
        <v>1984</v>
      </c>
      <c r="Q119" t="s">
        <v>1740</v>
      </c>
      <c r="R119" t="s">
        <v>1820</v>
      </c>
      <c r="S119" t="s">
        <v>1905</v>
      </c>
      <c r="T119" t="s">
        <v>1820</v>
      </c>
      <c r="X119">
        <v>0</v>
      </c>
      <c r="AA119">
        <v>0</v>
      </c>
    </row>
    <row r="120" spans="1:27">
      <c r="A120" s="1">
        <v>118</v>
      </c>
      <c r="B120">
        <v>54479</v>
      </c>
      <c r="C120" t="s">
        <v>149</v>
      </c>
      <c r="D120" t="s">
        <v>623</v>
      </c>
      <c r="E120" t="s">
        <v>999</v>
      </c>
      <c r="F120" t="s">
        <v>1321</v>
      </c>
      <c r="G120">
        <f>"014044906X"</f>
        <v>0</v>
      </c>
      <c r="H120">
        <f>"9780140449068"</f>
        <v>0</v>
      </c>
      <c r="I120">
        <v>2</v>
      </c>
      <c r="J120">
        <v>3.93</v>
      </c>
      <c r="K120" t="s">
        <v>1428</v>
      </c>
      <c r="L120" t="s">
        <v>1705</v>
      </c>
      <c r="M120">
        <v>252</v>
      </c>
      <c r="N120">
        <v>2004</v>
      </c>
      <c r="O120">
        <v>1872</v>
      </c>
      <c r="P120" t="s">
        <v>1740</v>
      </c>
      <c r="Q120" t="s">
        <v>1775</v>
      </c>
      <c r="T120" t="s">
        <v>2097</v>
      </c>
      <c r="X120">
        <v>1</v>
      </c>
      <c r="AA120">
        <v>0</v>
      </c>
    </row>
    <row r="121" spans="1:27">
      <c r="A121" s="1">
        <v>119</v>
      </c>
      <c r="B121">
        <v>687930</v>
      </c>
      <c r="C121" t="s">
        <v>150</v>
      </c>
      <c r="D121" t="s">
        <v>624</v>
      </c>
      <c r="E121" t="s">
        <v>1000</v>
      </c>
      <c r="G121">
        <f>"0571221777"</f>
        <v>0</v>
      </c>
      <c r="H121">
        <f>"9780571221776"</f>
        <v>0</v>
      </c>
      <c r="I121">
        <v>0</v>
      </c>
      <c r="J121">
        <v>3.42</v>
      </c>
      <c r="K121" t="s">
        <v>1516</v>
      </c>
      <c r="L121" t="s">
        <v>1705</v>
      </c>
      <c r="M121">
        <v>233</v>
      </c>
      <c r="N121">
        <v>2004</v>
      </c>
      <c r="O121">
        <v>1995</v>
      </c>
      <c r="Q121" t="s">
        <v>1740</v>
      </c>
      <c r="R121" t="s">
        <v>1820</v>
      </c>
      <c r="S121" t="s">
        <v>1906</v>
      </c>
      <c r="T121" t="s">
        <v>1820</v>
      </c>
      <c r="X121">
        <v>0</v>
      </c>
      <c r="AA121">
        <v>0</v>
      </c>
    </row>
    <row r="122" spans="1:27">
      <c r="A122" s="1">
        <v>120</v>
      </c>
      <c r="B122">
        <v>42343</v>
      </c>
      <c r="C122" t="s">
        <v>151</v>
      </c>
      <c r="D122" t="s">
        <v>625</v>
      </c>
      <c r="E122" t="s">
        <v>1001</v>
      </c>
      <c r="F122" t="s">
        <v>1322</v>
      </c>
      <c r="G122">
        <f>"006097771X"</f>
        <v>0</v>
      </c>
      <c r="H122">
        <f>"9780060977719"</f>
        <v>0</v>
      </c>
      <c r="I122">
        <v>0</v>
      </c>
      <c r="J122">
        <v>4.19</v>
      </c>
      <c r="K122" t="s">
        <v>1517</v>
      </c>
      <c r="L122" t="s">
        <v>1705</v>
      </c>
      <c r="M122">
        <v>432</v>
      </c>
      <c r="N122">
        <v>2000</v>
      </c>
      <c r="O122">
        <v>1998</v>
      </c>
      <c r="Q122" t="s">
        <v>1793</v>
      </c>
      <c r="R122" t="s">
        <v>1820</v>
      </c>
      <c r="S122" t="s">
        <v>1907</v>
      </c>
      <c r="T122" t="s">
        <v>1820</v>
      </c>
      <c r="X122">
        <v>0</v>
      </c>
      <c r="AA122">
        <v>0</v>
      </c>
    </row>
    <row r="123" spans="1:27">
      <c r="A123" s="1">
        <v>121</v>
      </c>
      <c r="B123">
        <v>14568663</v>
      </c>
      <c r="C123" t="s">
        <v>152</v>
      </c>
      <c r="D123" t="s">
        <v>626</v>
      </c>
      <c r="E123" t="s">
        <v>1002</v>
      </c>
      <c r="F123" t="s">
        <v>1323</v>
      </c>
      <c r="G123">
        <f>"1907677763"</f>
        <v>0</v>
      </c>
      <c r="H123">
        <f>"9781907677762"</f>
        <v>0</v>
      </c>
      <c r="I123">
        <v>0</v>
      </c>
      <c r="J123">
        <v>3.97</v>
      </c>
      <c r="K123" t="s">
        <v>1518</v>
      </c>
      <c r="L123" t="s">
        <v>1707</v>
      </c>
      <c r="M123">
        <v>256</v>
      </c>
      <c r="N123">
        <v>2012</v>
      </c>
      <c r="O123">
        <v>2012</v>
      </c>
      <c r="Q123" t="s">
        <v>1794</v>
      </c>
      <c r="R123" t="s">
        <v>1820</v>
      </c>
      <c r="S123" t="s">
        <v>1908</v>
      </c>
      <c r="T123" t="s">
        <v>1820</v>
      </c>
      <c r="X123">
        <v>0</v>
      </c>
      <c r="AA123">
        <v>0</v>
      </c>
    </row>
    <row r="124" spans="1:27">
      <c r="A124" s="1">
        <v>122</v>
      </c>
      <c r="B124">
        <v>17681595</v>
      </c>
      <c r="C124" t="s">
        <v>153</v>
      </c>
      <c r="D124" t="s">
        <v>627</v>
      </c>
      <c r="E124" t="s">
        <v>1003</v>
      </c>
      <c r="F124" t="s">
        <v>1324</v>
      </c>
      <c r="G124">
        <f>"0988981440"</f>
        <v>0</v>
      </c>
      <c r="H124">
        <f>"9780988981447"</f>
        <v>0</v>
      </c>
      <c r="I124">
        <v>2</v>
      </c>
      <c r="J124">
        <v>4.02</v>
      </c>
      <c r="K124" t="s">
        <v>1519</v>
      </c>
      <c r="L124" t="s">
        <v>1705</v>
      </c>
      <c r="M124">
        <v>250</v>
      </c>
      <c r="N124">
        <v>2013</v>
      </c>
      <c r="O124">
        <v>1977</v>
      </c>
      <c r="P124" t="s">
        <v>1741</v>
      </c>
      <c r="Q124" t="s">
        <v>1767</v>
      </c>
      <c r="T124" t="s">
        <v>2097</v>
      </c>
      <c r="U124" t="s">
        <v>2122</v>
      </c>
      <c r="X124">
        <v>1</v>
      </c>
      <c r="AA124">
        <v>0</v>
      </c>
    </row>
    <row r="125" spans="1:27">
      <c r="A125" s="1">
        <v>123</v>
      </c>
      <c r="B125">
        <v>6693</v>
      </c>
      <c r="C125" t="s">
        <v>154</v>
      </c>
      <c r="D125" t="s">
        <v>628</v>
      </c>
      <c r="E125" t="s">
        <v>1004</v>
      </c>
      <c r="F125" t="s">
        <v>1325</v>
      </c>
      <c r="G125">
        <f>"0375822070"</f>
        <v>0</v>
      </c>
      <c r="H125">
        <f>"9780375822070"</f>
        <v>0</v>
      </c>
      <c r="I125">
        <v>0</v>
      </c>
      <c r="J125">
        <v>4.06</v>
      </c>
      <c r="K125" t="s">
        <v>1520</v>
      </c>
      <c r="L125" t="s">
        <v>1707</v>
      </c>
      <c r="M125">
        <v>96</v>
      </c>
      <c r="N125">
        <v>2002</v>
      </c>
      <c r="O125">
        <v>1970</v>
      </c>
      <c r="Q125" t="s">
        <v>1795</v>
      </c>
      <c r="T125" t="s">
        <v>2097</v>
      </c>
      <c r="X125">
        <v>1</v>
      </c>
      <c r="AA125">
        <v>0</v>
      </c>
    </row>
    <row r="126" spans="1:27">
      <c r="A126" s="1">
        <v>124</v>
      </c>
      <c r="B126">
        <v>6689</v>
      </c>
      <c r="C126" t="s">
        <v>155</v>
      </c>
      <c r="D126" t="s">
        <v>628</v>
      </c>
      <c r="E126" t="s">
        <v>1004</v>
      </c>
      <c r="F126" t="s">
        <v>1325</v>
      </c>
      <c r="G126">
        <f>"0375814248"</f>
        <v>0</v>
      </c>
      <c r="H126">
        <f>"9780375814242"</f>
        <v>0</v>
      </c>
      <c r="I126">
        <v>0</v>
      </c>
      <c r="J126">
        <v>4.02</v>
      </c>
      <c r="K126" t="s">
        <v>1521</v>
      </c>
      <c r="L126" t="s">
        <v>1707</v>
      </c>
      <c r="M126">
        <v>146</v>
      </c>
      <c r="N126">
        <v>2002</v>
      </c>
      <c r="O126">
        <v>1961</v>
      </c>
      <c r="Q126" t="s">
        <v>1795</v>
      </c>
      <c r="T126" t="s">
        <v>2097</v>
      </c>
      <c r="X126">
        <v>1</v>
      </c>
      <c r="AA126">
        <v>0</v>
      </c>
    </row>
    <row r="127" spans="1:27">
      <c r="A127" s="1">
        <v>125</v>
      </c>
      <c r="B127">
        <v>6319</v>
      </c>
      <c r="C127" t="s">
        <v>156</v>
      </c>
      <c r="D127" t="s">
        <v>628</v>
      </c>
      <c r="E127" t="s">
        <v>1004</v>
      </c>
      <c r="F127" t="s">
        <v>1325</v>
      </c>
      <c r="G127">
        <f>"0141311371"</f>
        <v>0</v>
      </c>
      <c r="H127">
        <f>"9780141311371"</f>
        <v>0</v>
      </c>
      <c r="I127">
        <v>0</v>
      </c>
      <c r="J127">
        <v>4.23</v>
      </c>
      <c r="K127" t="s">
        <v>1522</v>
      </c>
      <c r="L127" t="s">
        <v>1705</v>
      </c>
      <c r="M127">
        <v>199</v>
      </c>
      <c r="N127">
        <v>2001</v>
      </c>
      <c r="O127">
        <v>1982</v>
      </c>
      <c r="Q127" t="s">
        <v>1795</v>
      </c>
      <c r="T127" t="s">
        <v>2097</v>
      </c>
      <c r="X127">
        <v>1</v>
      </c>
      <c r="AA127">
        <v>0</v>
      </c>
    </row>
    <row r="128" spans="1:27">
      <c r="A128" s="1">
        <v>126</v>
      </c>
      <c r="B128">
        <v>39988</v>
      </c>
      <c r="C128" t="s">
        <v>157</v>
      </c>
      <c r="D128" t="s">
        <v>628</v>
      </c>
      <c r="E128" t="s">
        <v>1004</v>
      </c>
      <c r="F128" t="s">
        <v>1325</v>
      </c>
      <c r="G128">
        <f>"0141301066"</f>
        <v>0</v>
      </c>
      <c r="H128">
        <f>"9780141301068"</f>
        <v>0</v>
      </c>
      <c r="I128">
        <v>0</v>
      </c>
      <c r="J128">
        <v>4.32</v>
      </c>
      <c r="K128" t="s">
        <v>1522</v>
      </c>
      <c r="L128" t="s">
        <v>1705</v>
      </c>
      <c r="M128">
        <v>240</v>
      </c>
      <c r="N128">
        <v>1998</v>
      </c>
      <c r="O128">
        <v>1988</v>
      </c>
      <c r="Q128" t="s">
        <v>1795</v>
      </c>
      <c r="T128" t="s">
        <v>2097</v>
      </c>
      <c r="X128">
        <v>1</v>
      </c>
      <c r="AA128">
        <v>0</v>
      </c>
    </row>
    <row r="129" spans="1:27">
      <c r="A129" s="1">
        <v>127</v>
      </c>
      <c r="B129">
        <v>26125009</v>
      </c>
      <c r="C129" t="s">
        <v>158</v>
      </c>
      <c r="D129" t="s">
        <v>629</v>
      </c>
      <c r="E129" t="s">
        <v>1005</v>
      </c>
      <c r="G129">
        <f>""</f>
        <v>0</v>
      </c>
      <c r="H129">
        <f>""</f>
        <v>0</v>
      </c>
      <c r="I129">
        <v>0</v>
      </c>
      <c r="J129">
        <v>4.57</v>
      </c>
      <c r="K129" t="s">
        <v>1523</v>
      </c>
      <c r="L129" t="s">
        <v>1708</v>
      </c>
      <c r="M129">
        <v>239</v>
      </c>
      <c r="N129">
        <v>2015</v>
      </c>
      <c r="O129">
        <v>2015</v>
      </c>
      <c r="Q129" t="s">
        <v>1795</v>
      </c>
      <c r="T129" t="s">
        <v>2097</v>
      </c>
      <c r="X129">
        <v>1</v>
      </c>
      <c r="AA129">
        <v>0</v>
      </c>
    </row>
    <row r="130" spans="1:27">
      <c r="A130" s="1">
        <v>128</v>
      </c>
      <c r="B130">
        <v>10176119</v>
      </c>
      <c r="C130" t="s">
        <v>159</v>
      </c>
      <c r="D130" t="s">
        <v>630</v>
      </c>
      <c r="E130" t="s">
        <v>1006</v>
      </c>
      <c r="G130">
        <f>""</f>
        <v>0</v>
      </c>
      <c r="H130">
        <f>""</f>
        <v>0</v>
      </c>
      <c r="I130">
        <v>0</v>
      </c>
      <c r="J130">
        <v>4.22</v>
      </c>
      <c r="K130" t="s">
        <v>1524</v>
      </c>
      <c r="L130" t="s">
        <v>1709</v>
      </c>
      <c r="M130">
        <v>9</v>
      </c>
      <c r="O130">
        <v>1961</v>
      </c>
      <c r="Q130" t="s">
        <v>1742</v>
      </c>
      <c r="R130" t="s">
        <v>1820</v>
      </c>
      <c r="S130" t="s">
        <v>1909</v>
      </c>
      <c r="T130" t="s">
        <v>1820</v>
      </c>
      <c r="X130">
        <v>0</v>
      </c>
      <c r="AA130">
        <v>0</v>
      </c>
    </row>
    <row r="131" spans="1:27">
      <c r="A131" s="1">
        <v>129</v>
      </c>
      <c r="B131">
        <v>84981</v>
      </c>
      <c r="C131" t="s">
        <v>160</v>
      </c>
      <c r="D131" t="s">
        <v>631</v>
      </c>
      <c r="E131" t="s">
        <v>1007</v>
      </c>
      <c r="G131">
        <f>"0374480095"</f>
        <v>0</v>
      </c>
      <c r="H131">
        <f>"9780374480097"</f>
        <v>0</v>
      </c>
      <c r="I131">
        <v>0</v>
      </c>
      <c r="J131">
        <v>3.88</v>
      </c>
      <c r="K131" t="s">
        <v>1525</v>
      </c>
      <c r="L131" t="s">
        <v>1705</v>
      </c>
      <c r="M131">
        <v>148</v>
      </c>
      <c r="N131">
        <v>1985</v>
      </c>
      <c r="O131">
        <v>1975</v>
      </c>
      <c r="Q131" t="s">
        <v>1742</v>
      </c>
      <c r="R131" t="s">
        <v>1820</v>
      </c>
      <c r="S131" t="s">
        <v>1910</v>
      </c>
      <c r="T131" t="s">
        <v>1820</v>
      </c>
      <c r="X131">
        <v>0</v>
      </c>
      <c r="AA131">
        <v>0</v>
      </c>
    </row>
    <row r="132" spans="1:27">
      <c r="A132" s="1">
        <v>130</v>
      </c>
      <c r="B132">
        <v>9938498</v>
      </c>
      <c r="C132" t="s">
        <v>161</v>
      </c>
      <c r="D132" t="s">
        <v>535</v>
      </c>
      <c r="E132" t="s">
        <v>910</v>
      </c>
      <c r="G132">
        <f>"0307408841"</f>
        <v>0</v>
      </c>
      <c r="H132">
        <f>"9780307408846"</f>
        <v>0</v>
      </c>
      <c r="I132">
        <v>5</v>
      </c>
      <c r="J132">
        <v>3.84</v>
      </c>
      <c r="K132" t="s">
        <v>1526</v>
      </c>
      <c r="L132" t="s">
        <v>1707</v>
      </c>
      <c r="M132">
        <v>448</v>
      </c>
      <c r="N132">
        <v>2011</v>
      </c>
      <c r="O132">
        <v>2011</v>
      </c>
      <c r="P132" t="s">
        <v>1742</v>
      </c>
      <c r="Q132" t="s">
        <v>1796</v>
      </c>
      <c r="T132" t="s">
        <v>2097</v>
      </c>
      <c r="U132" t="s">
        <v>2123</v>
      </c>
      <c r="X132">
        <v>1</v>
      </c>
      <c r="AA132">
        <v>0</v>
      </c>
    </row>
    <row r="133" spans="1:27">
      <c r="A133" s="1">
        <v>131</v>
      </c>
      <c r="B133">
        <v>133394</v>
      </c>
      <c r="C133" t="s">
        <v>162</v>
      </c>
      <c r="D133" t="s">
        <v>632</v>
      </c>
      <c r="E133" t="s">
        <v>1008</v>
      </c>
      <c r="G133">
        <f>"0140184937"</f>
        <v>0</v>
      </c>
      <c r="H133">
        <f>"9780140184938"</f>
        <v>0</v>
      </c>
      <c r="I133">
        <v>0</v>
      </c>
      <c r="J133">
        <v>3.94</v>
      </c>
      <c r="K133" t="s">
        <v>1527</v>
      </c>
      <c r="L133" t="s">
        <v>1705</v>
      </c>
      <c r="M133">
        <v>220</v>
      </c>
      <c r="N133">
        <v>1991</v>
      </c>
      <c r="O133">
        <v>1958</v>
      </c>
      <c r="Q133" t="s">
        <v>1754</v>
      </c>
      <c r="R133" t="s">
        <v>1820</v>
      </c>
      <c r="S133" t="s">
        <v>1911</v>
      </c>
      <c r="T133" t="s">
        <v>1820</v>
      </c>
      <c r="X133">
        <v>0</v>
      </c>
      <c r="AA133">
        <v>0</v>
      </c>
    </row>
    <row r="134" spans="1:27">
      <c r="A134" s="1">
        <v>132</v>
      </c>
      <c r="B134">
        <v>12691</v>
      </c>
      <c r="C134" t="s">
        <v>163</v>
      </c>
      <c r="D134" t="s">
        <v>633</v>
      </c>
      <c r="E134" t="s">
        <v>1009</v>
      </c>
      <c r="G134">
        <f>"0739461192"</f>
        <v>0</v>
      </c>
      <c r="H134">
        <f>"9780739461198"</f>
        <v>0</v>
      </c>
      <c r="I134">
        <v>0</v>
      </c>
      <c r="J134">
        <v>4.13</v>
      </c>
      <c r="K134" t="s">
        <v>1528</v>
      </c>
      <c r="L134" t="s">
        <v>1707</v>
      </c>
      <c r="M134">
        <v>291</v>
      </c>
      <c r="N134">
        <v>2005</v>
      </c>
      <c r="O134">
        <v>2005</v>
      </c>
      <c r="Q134" t="s">
        <v>1754</v>
      </c>
      <c r="T134" t="s">
        <v>2097</v>
      </c>
      <c r="X134">
        <v>1</v>
      </c>
      <c r="AA134">
        <v>0</v>
      </c>
    </row>
    <row r="135" spans="1:27">
      <c r="A135" s="1">
        <v>133</v>
      </c>
      <c r="B135">
        <v>21413662</v>
      </c>
      <c r="C135" t="s">
        <v>164</v>
      </c>
      <c r="D135" t="s">
        <v>634</v>
      </c>
      <c r="E135" t="s">
        <v>1010</v>
      </c>
      <c r="G135">
        <f>"0544272994"</f>
        <v>0</v>
      </c>
      <c r="H135">
        <f>"9780544272996"</f>
        <v>0</v>
      </c>
      <c r="I135">
        <v>0</v>
      </c>
      <c r="J135">
        <v>4.16</v>
      </c>
      <c r="K135" t="s">
        <v>1529</v>
      </c>
      <c r="L135" t="s">
        <v>1707</v>
      </c>
      <c r="M135">
        <v>303</v>
      </c>
      <c r="N135">
        <v>2014</v>
      </c>
      <c r="O135">
        <v>2014</v>
      </c>
      <c r="Q135" t="s">
        <v>1754</v>
      </c>
      <c r="R135" t="s">
        <v>1820</v>
      </c>
      <c r="S135" t="s">
        <v>1912</v>
      </c>
      <c r="T135" t="s">
        <v>1820</v>
      </c>
      <c r="X135">
        <v>0</v>
      </c>
      <c r="AA135">
        <v>0</v>
      </c>
    </row>
    <row r="136" spans="1:27">
      <c r="A136" s="1">
        <v>134</v>
      </c>
      <c r="B136">
        <v>1845</v>
      </c>
      <c r="C136" t="s">
        <v>165</v>
      </c>
      <c r="D136" t="s">
        <v>618</v>
      </c>
      <c r="E136" t="s">
        <v>994</v>
      </c>
      <c r="G136">
        <f>"0385486804"</f>
        <v>0</v>
      </c>
      <c r="H136">
        <f>"9780385486804"</f>
        <v>0</v>
      </c>
      <c r="I136">
        <v>0</v>
      </c>
      <c r="J136">
        <v>3.98</v>
      </c>
      <c r="K136" t="s">
        <v>1511</v>
      </c>
      <c r="L136" t="s">
        <v>1705</v>
      </c>
      <c r="M136">
        <v>207</v>
      </c>
      <c r="N136">
        <v>1997</v>
      </c>
      <c r="O136">
        <v>1996</v>
      </c>
      <c r="Q136" t="s">
        <v>1754</v>
      </c>
      <c r="R136" t="s">
        <v>1820</v>
      </c>
      <c r="S136" t="s">
        <v>1913</v>
      </c>
      <c r="T136" t="s">
        <v>1820</v>
      </c>
      <c r="X136">
        <v>0</v>
      </c>
      <c r="AA136">
        <v>0</v>
      </c>
    </row>
    <row r="137" spans="1:27">
      <c r="A137" s="1">
        <v>135</v>
      </c>
      <c r="B137">
        <v>8664353</v>
      </c>
      <c r="C137" t="s">
        <v>166</v>
      </c>
      <c r="D137" t="s">
        <v>635</v>
      </c>
      <c r="E137" t="s">
        <v>1011</v>
      </c>
      <c r="G137">
        <f>"1400064163"</f>
        <v>0</v>
      </c>
      <c r="H137">
        <f>"9781400064168"</f>
        <v>0</v>
      </c>
      <c r="I137">
        <v>0</v>
      </c>
      <c r="J137">
        <v>4.38</v>
      </c>
      <c r="K137" t="s">
        <v>1476</v>
      </c>
      <c r="L137" t="s">
        <v>1707</v>
      </c>
      <c r="M137">
        <v>492</v>
      </c>
      <c r="N137">
        <v>2010</v>
      </c>
      <c r="O137">
        <v>2010</v>
      </c>
      <c r="Q137" t="s">
        <v>1754</v>
      </c>
      <c r="R137" t="s">
        <v>1820</v>
      </c>
      <c r="S137" t="s">
        <v>1914</v>
      </c>
      <c r="T137" t="s">
        <v>1820</v>
      </c>
      <c r="X137">
        <v>0</v>
      </c>
      <c r="AA137">
        <v>0</v>
      </c>
    </row>
    <row r="138" spans="1:27">
      <c r="A138" s="1">
        <v>136</v>
      </c>
      <c r="B138">
        <v>2199</v>
      </c>
      <c r="C138" t="s">
        <v>167</v>
      </c>
      <c r="D138" t="s">
        <v>636</v>
      </c>
      <c r="E138" t="s">
        <v>1012</v>
      </c>
      <c r="G138">
        <f>"0743270754"</f>
        <v>0</v>
      </c>
      <c r="H138">
        <f>"9780743270755"</f>
        <v>0</v>
      </c>
      <c r="I138">
        <v>0</v>
      </c>
      <c r="J138">
        <v>4.29</v>
      </c>
      <c r="K138" t="s">
        <v>1459</v>
      </c>
      <c r="L138" t="s">
        <v>1705</v>
      </c>
      <c r="M138">
        <v>916</v>
      </c>
      <c r="N138">
        <v>2006</v>
      </c>
      <c r="O138">
        <v>2005</v>
      </c>
      <c r="Q138" t="s">
        <v>1754</v>
      </c>
      <c r="R138" t="s">
        <v>1820</v>
      </c>
      <c r="S138" t="s">
        <v>1915</v>
      </c>
      <c r="T138" t="s">
        <v>1820</v>
      </c>
      <c r="X138">
        <v>0</v>
      </c>
      <c r="AA138">
        <v>0</v>
      </c>
    </row>
    <row r="139" spans="1:27">
      <c r="A139" s="1">
        <v>137</v>
      </c>
      <c r="B139">
        <v>36794252</v>
      </c>
      <c r="C139" t="s">
        <v>168</v>
      </c>
      <c r="D139" t="s">
        <v>637</v>
      </c>
      <c r="E139" t="s">
        <v>1013</v>
      </c>
      <c r="G139">
        <f>"0199646309"</f>
        <v>0</v>
      </c>
      <c r="H139">
        <f>"9780199646302"</f>
        <v>0</v>
      </c>
      <c r="I139">
        <v>0</v>
      </c>
      <c r="J139">
        <v>4.03</v>
      </c>
      <c r="K139" t="s">
        <v>1530</v>
      </c>
      <c r="L139" t="s">
        <v>1707</v>
      </c>
      <c r="M139">
        <v>432</v>
      </c>
      <c r="N139">
        <v>2018</v>
      </c>
      <c r="Q139" t="s">
        <v>1797</v>
      </c>
      <c r="R139" t="s">
        <v>1820</v>
      </c>
      <c r="S139" t="s">
        <v>1916</v>
      </c>
      <c r="T139" t="s">
        <v>1820</v>
      </c>
      <c r="X139">
        <v>0</v>
      </c>
      <c r="AA139">
        <v>0</v>
      </c>
    </row>
    <row r="140" spans="1:27">
      <c r="A140" s="1">
        <v>138</v>
      </c>
      <c r="B140">
        <v>153747</v>
      </c>
      <c r="C140" t="s">
        <v>169</v>
      </c>
      <c r="D140" t="s">
        <v>638</v>
      </c>
      <c r="E140" t="s">
        <v>1014</v>
      </c>
      <c r="F140" t="s">
        <v>1326</v>
      </c>
      <c r="G140">
        <f>"0142437247"</f>
        <v>0</v>
      </c>
      <c r="H140">
        <f>"9780142437247"</f>
        <v>0</v>
      </c>
      <c r="I140">
        <v>0</v>
      </c>
      <c r="J140">
        <v>3.5</v>
      </c>
      <c r="K140" t="s">
        <v>1449</v>
      </c>
      <c r="L140" t="s">
        <v>1705</v>
      </c>
      <c r="M140">
        <v>654</v>
      </c>
      <c r="N140">
        <v>2003</v>
      </c>
      <c r="O140">
        <v>1851</v>
      </c>
      <c r="Q140" t="s">
        <v>1758</v>
      </c>
      <c r="R140" t="s">
        <v>1820</v>
      </c>
      <c r="S140" t="s">
        <v>1917</v>
      </c>
      <c r="T140" t="s">
        <v>1820</v>
      </c>
      <c r="X140">
        <v>0</v>
      </c>
      <c r="AA140">
        <v>0</v>
      </c>
    </row>
    <row r="141" spans="1:27">
      <c r="A141" s="1">
        <v>139</v>
      </c>
      <c r="B141">
        <v>1953</v>
      </c>
      <c r="C141" t="s">
        <v>170</v>
      </c>
      <c r="D141" t="s">
        <v>639</v>
      </c>
      <c r="E141" t="s">
        <v>1015</v>
      </c>
      <c r="F141" t="s">
        <v>1327</v>
      </c>
      <c r="G141">
        <f>"0141439602"</f>
        <v>0</v>
      </c>
      <c r="H141">
        <f>"9780141439600"</f>
        <v>0</v>
      </c>
      <c r="I141">
        <v>0</v>
      </c>
      <c r="J141">
        <v>3.84</v>
      </c>
      <c r="K141" t="s">
        <v>1428</v>
      </c>
      <c r="L141" t="s">
        <v>1705</v>
      </c>
      <c r="M141">
        <v>489</v>
      </c>
      <c r="N141">
        <v>2003</v>
      </c>
      <c r="O141">
        <v>1859</v>
      </c>
      <c r="Q141" t="s">
        <v>1758</v>
      </c>
      <c r="T141" t="s">
        <v>2097</v>
      </c>
      <c r="X141">
        <v>1</v>
      </c>
      <c r="AA141">
        <v>0</v>
      </c>
    </row>
    <row r="142" spans="1:27">
      <c r="A142" s="1">
        <v>140</v>
      </c>
      <c r="B142">
        <v>46787</v>
      </c>
      <c r="C142" t="s">
        <v>171</v>
      </c>
      <c r="D142" t="s">
        <v>640</v>
      </c>
      <c r="E142" t="s">
        <v>1016</v>
      </c>
      <c r="G142">
        <f>""</f>
        <v>0</v>
      </c>
      <c r="H142">
        <f>""</f>
        <v>0</v>
      </c>
      <c r="I142">
        <v>0</v>
      </c>
      <c r="J142">
        <v>3.87</v>
      </c>
      <c r="K142" t="s">
        <v>1531</v>
      </c>
      <c r="L142" t="s">
        <v>1705</v>
      </c>
      <c r="M142">
        <v>438</v>
      </c>
      <c r="N142">
        <v>1999</v>
      </c>
      <c r="O142">
        <v>1851</v>
      </c>
      <c r="Q142" t="s">
        <v>1758</v>
      </c>
      <c r="R142" t="s">
        <v>1820</v>
      </c>
      <c r="S142" t="s">
        <v>1918</v>
      </c>
      <c r="T142" t="s">
        <v>1820</v>
      </c>
      <c r="X142">
        <v>0</v>
      </c>
      <c r="AA142">
        <v>0</v>
      </c>
    </row>
    <row r="143" spans="1:27">
      <c r="A143" s="1">
        <v>141</v>
      </c>
      <c r="B143">
        <v>890</v>
      </c>
      <c r="C143" t="s">
        <v>172</v>
      </c>
      <c r="D143" t="s">
        <v>597</v>
      </c>
      <c r="E143" t="s">
        <v>973</v>
      </c>
      <c r="G143">
        <f>"0142000671"</f>
        <v>0</v>
      </c>
      <c r="H143">
        <f>"9780142000670"</f>
        <v>0</v>
      </c>
      <c r="I143">
        <v>0</v>
      </c>
      <c r="J143">
        <v>3.87</v>
      </c>
      <c r="K143" t="s">
        <v>1428</v>
      </c>
      <c r="L143" t="s">
        <v>1705</v>
      </c>
      <c r="M143">
        <v>103</v>
      </c>
      <c r="N143">
        <v>2002</v>
      </c>
      <c r="O143">
        <v>1937</v>
      </c>
      <c r="Q143" t="s">
        <v>1758</v>
      </c>
      <c r="R143" t="s">
        <v>1820</v>
      </c>
      <c r="S143" t="s">
        <v>1919</v>
      </c>
      <c r="T143" t="s">
        <v>1820</v>
      </c>
      <c r="X143">
        <v>0</v>
      </c>
      <c r="AA143">
        <v>0</v>
      </c>
    </row>
    <row r="144" spans="1:27">
      <c r="A144" s="1">
        <v>142</v>
      </c>
      <c r="B144">
        <v>70535</v>
      </c>
      <c r="C144" t="s">
        <v>173</v>
      </c>
      <c r="D144" t="s">
        <v>641</v>
      </c>
      <c r="E144" t="s">
        <v>1017</v>
      </c>
      <c r="G144">
        <f>"0451457994"</f>
        <v>0</v>
      </c>
      <c r="H144">
        <f>"9780451457998"</f>
        <v>0</v>
      </c>
      <c r="I144">
        <v>0</v>
      </c>
      <c r="J144">
        <v>4.15</v>
      </c>
      <c r="K144" t="s">
        <v>1532</v>
      </c>
      <c r="L144" t="s">
        <v>1705</v>
      </c>
      <c r="M144">
        <v>297</v>
      </c>
      <c r="N144">
        <v>2000</v>
      </c>
      <c r="O144">
        <v>1968</v>
      </c>
      <c r="Q144" t="s">
        <v>1758</v>
      </c>
      <c r="R144" t="s">
        <v>1820</v>
      </c>
      <c r="S144" t="s">
        <v>1920</v>
      </c>
      <c r="T144" t="s">
        <v>1820</v>
      </c>
      <c r="X144">
        <v>0</v>
      </c>
      <c r="AA144">
        <v>0</v>
      </c>
    </row>
    <row r="145" spans="1:27">
      <c r="A145" s="1">
        <v>143</v>
      </c>
      <c r="B145">
        <v>18007564</v>
      </c>
      <c r="C145" t="s">
        <v>174</v>
      </c>
      <c r="D145" t="s">
        <v>642</v>
      </c>
      <c r="E145" t="s">
        <v>1018</v>
      </c>
      <c r="G145">
        <f>"0804139024"</f>
        <v>0</v>
      </c>
      <c r="H145">
        <f>"9780804139021"</f>
        <v>0</v>
      </c>
      <c r="I145">
        <v>0</v>
      </c>
      <c r="J145">
        <v>4.4</v>
      </c>
      <c r="K145" t="s">
        <v>1526</v>
      </c>
      <c r="L145" t="s">
        <v>1707</v>
      </c>
      <c r="M145">
        <v>369</v>
      </c>
      <c r="N145">
        <v>2014</v>
      </c>
      <c r="O145">
        <v>2012</v>
      </c>
      <c r="Q145" t="s">
        <v>1758</v>
      </c>
      <c r="R145" t="s">
        <v>1820</v>
      </c>
      <c r="S145" t="s">
        <v>1921</v>
      </c>
      <c r="T145" t="s">
        <v>1820</v>
      </c>
      <c r="X145">
        <v>0</v>
      </c>
      <c r="AA145">
        <v>0</v>
      </c>
    </row>
    <row r="146" spans="1:27">
      <c r="A146" s="1">
        <v>144</v>
      </c>
      <c r="B146">
        <v>77270</v>
      </c>
      <c r="C146" t="s">
        <v>175</v>
      </c>
      <c r="D146" t="s">
        <v>643</v>
      </c>
      <c r="E146" t="s">
        <v>1019</v>
      </c>
      <c r="G146">
        <f>"0812504690"</f>
        <v>0</v>
      </c>
      <c r="H146">
        <f>"9780812504699"</f>
        <v>0</v>
      </c>
      <c r="I146">
        <v>0</v>
      </c>
      <c r="J146">
        <v>3.93</v>
      </c>
      <c r="K146" t="s">
        <v>1533</v>
      </c>
      <c r="L146" t="s">
        <v>1705</v>
      </c>
      <c r="M146">
        <v>277</v>
      </c>
      <c r="N146">
        <v>1992</v>
      </c>
      <c r="O146">
        <v>1893</v>
      </c>
      <c r="Q146" t="s">
        <v>1758</v>
      </c>
      <c r="R146" t="s">
        <v>1820</v>
      </c>
      <c r="S146" t="s">
        <v>1922</v>
      </c>
      <c r="T146" t="s">
        <v>1820</v>
      </c>
      <c r="X146">
        <v>0</v>
      </c>
      <c r="AA146">
        <v>0</v>
      </c>
    </row>
    <row r="147" spans="1:27">
      <c r="A147" s="1">
        <v>145</v>
      </c>
      <c r="B147">
        <v>43171395</v>
      </c>
      <c r="C147" t="s">
        <v>176</v>
      </c>
      <c r="D147" t="s">
        <v>644</v>
      </c>
      <c r="E147" t="s">
        <v>1020</v>
      </c>
      <c r="F147" t="s">
        <v>1328</v>
      </c>
      <c r="G147">
        <f>"9056918184"</f>
        <v>0</v>
      </c>
      <c r="H147">
        <f>"9789056918187"</f>
        <v>0</v>
      </c>
      <c r="I147">
        <v>0</v>
      </c>
      <c r="J147">
        <v>4.17</v>
      </c>
      <c r="K147" t="s">
        <v>1534</v>
      </c>
      <c r="L147" t="s">
        <v>1705</v>
      </c>
      <c r="M147">
        <v>416</v>
      </c>
      <c r="N147">
        <v>2019</v>
      </c>
      <c r="O147">
        <v>2019</v>
      </c>
      <c r="Q147" t="s">
        <v>1758</v>
      </c>
      <c r="R147" t="s">
        <v>1820</v>
      </c>
      <c r="S147" t="s">
        <v>1923</v>
      </c>
      <c r="T147" t="s">
        <v>1820</v>
      </c>
      <c r="X147">
        <v>0</v>
      </c>
      <c r="AA147">
        <v>0</v>
      </c>
    </row>
    <row r="148" spans="1:27">
      <c r="A148" s="1">
        <v>146</v>
      </c>
      <c r="B148">
        <v>32074951</v>
      </c>
      <c r="C148" t="s">
        <v>177</v>
      </c>
      <c r="D148" t="s">
        <v>645</v>
      </c>
      <c r="E148" t="s">
        <v>1021</v>
      </c>
      <c r="G148">
        <f>"1537666932"</f>
        <v>0</v>
      </c>
      <c r="H148">
        <f>"9781537666938"</f>
        <v>0</v>
      </c>
      <c r="I148">
        <v>0</v>
      </c>
      <c r="J148">
        <v>4.52</v>
      </c>
      <c r="K148" t="s">
        <v>1535</v>
      </c>
      <c r="L148" t="s">
        <v>1705</v>
      </c>
      <c r="M148">
        <v>140</v>
      </c>
      <c r="N148">
        <v>2016</v>
      </c>
      <c r="Q148" t="s">
        <v>1758</v>
      </c>
      <c r="T148" t="s">
        <v>2097</v>
      </c>
      <c r="X148">
        <v>1</v>
      </c>
      <c r="AA148">
        <v>0</v>
      </c>
    </row>
    <row r="149" spans="1:27">
      <c r="A149" s="1">
        <v>147</v>
      </c>
      <c r="B149">
        <v>11468377</v>
      </c>
      <c r="C149" t="s">
        <v>178</v>
      </c>
      <c r="D149" t="s">
        <v>646</v>
      </c>
      <c r="E149" t="s">
        <v>1022</v>
      </c>
      <c r="G149">
        <f>"0374275637"</f>
        <v>0</v>
      </c>
      <c r="H149">
        <f>"9780374275631"</f>
        <v>0</v>
      </c>
      <c r="I149">
        <v>0</v>
      </c>
      <c r="J149">
        <v>4.15</v>
      </c>
      <c r="K149" t="s">
        <v>1438</v>
      </c>
      <c r="L149" t="s">
        <v>1707</v>
      </c>
      <c r="M149">
        <v>499</v>
      </c>
      <c r="N149">
        <v>2011</v>
      </c>
      <c r="O149">
        <v>2011</v>
      </c>
      <c r="Q149" t="s">
        <v>1758</v>
      </c>
      <c r="R149" t="s">
        <v>1820</v>
      </c>
      <c r="S149" t="s">
        <v>1924</v>
      </c>
      <c r="T149" t="s">
        <v>1820</v>
      </c>
      <c r="X149">
        <v>0</v>
      </c>
      <c r="AA149">
        <v>0</v>
      </c>
    </row>
    <row r="150" spans="1:27">
      <c r="A150" s="1">
        <v>148</v>
      </c>
      <c r="B150">
        <v>544564</v>
      </c>
      <c r="C150" t="s">
        <v>179</v>
      </c>
      <c r="D150" t="s">
        <v>551</v>
      </c>
      <c r="E150" t="s">
        <v>926</v>
      </c>
      <c r="G150">
        <f>"0898868874"</f>
        <v>0</v>
      </c>
      <c r="H150">
        <f>"9780898868876"</f>
        <v>0</v>
      </c>
      <c r="I150">
        <v>4</v>
      </c>
      <c r="J150">
        <v>4.2</v>
      </c>
      <c r="K150" t="s">
        <v>1446</v>
      </c>
      <c r="L150" t="s">
        <v>1705</v>
      </c>
      <c r="M150">
        <v>192</v>
      </c>
      <c r="N150">
        <v>2002</v>
      </c>
      <c r="O150">
        <v>2001</v>
      </c>
      <c r="P150" t="s">
        <v>1743</v>
      </c>
      <c r="Q150" t="s">
        <v>1798</v>
      </c>
      <c r="T150" t="s">
        <v>2097</v>
      </c>
      <c r="U150" t="s">
        <v>2124</v>
      </c>
      <c r="X150">
        <v>1</v>
      </c>
      <c r="AA150">
        <v>0</v>
      </c>
    </row>
    <row r="151" spans="1:27">
      <c r="A151" s="1">
        <v>149</v>
      </c>
      <c r="B151">
        <v>761935</v>
      </c>
      <c r="C151" t="s">
        <v>180</v>
      </c>
      <c r="D151" t="s">
        <v>647</v>
      </c>
      <c r="E151" t="s">
        <v>1023</v>
      </c>
      <c r="G151">
        <f>"0498016641"</f>
        <v>0</v>
      </c>
      <c r="H151">
        <f>"9780498016646"</f>
        <v>0</v>
      </c>
      <c r="I151">
        <v>0</v>
      </c>
      <c r="J151">
        <v>4.15</v>
      </c>
      <c r="K151" t="s">
        <v>1536</v>
      </c>
      <c r="L151" t="s">
        <v>1707</v>
      </c>
      <c r="M151">
        <v>166</v>
      </c>
      <c r="N151">
        <v>1975</v>
      </c>
      <c r="O151">
        <v>1958</v>
      </c>
      <c r="Q151" t="s">
        <v>1743</v>
      </c>
      <c r="R151" t="s">
        <v>1820</v>
      </c>
      <c r="S151" t="s">
        <v>1925</v>
      </c>
      <c r="T151" t="s">
        <v>1820</v>
      </c>
      <c r="X151">
        <v>0</v>
      </c>
      <c r="AA151">
        <v>0</v>
      </c>
    </row>
    <row r="152" spans="1:27">
      <c r="A152" s="1">
        <v>150</v>
      </c>
      <c r="B152">
        <v>51782</v>
      </c>
      <c r="C152" t="s">
        <v>181</v>
      </c>
      <c r="D152" t="s">
        <v>648</v>
      </c>
      <c r="E152" t="s">
        <v>1024</v>
      </c>
      <c r="F152" t="s">
        <v>1329</v>
      </c>
      <c r="G152">
        <f>"0415325102"</f>
        <v>0</v>
      </c>
      <c r="H152">
        <f>"9780415325103"</f>
        <v>0</v>
      </c>
      <c r="I152">
        <v>0</v>
      </c>
      <c r="J152">
        <v>4.02</v>
      </c>
      <c r="K152" t="s">
        <v>1537</v>
      </c>
      <c r="L152" t="s">
        <v>1705</v>
      </c>
      <c r="M152">
        <v>223</v>
      </c>
      <c r="N152">
        <v>2004</v>
      </c>
      <c r="O152">
        <v>1927</v>
      </c>
      <c r="Q152" t="s">
        <v>1743</v>
      </c>
      <c r="R152" t="s">
        <v>1820</v>
      </c>
      <c r="S152" t="s">
        <v>1926</v>
      </c>
      <c r="T152" t="s">
        <v>1820</v>
      </c>
      <c r="X152">
        <v>0</v>
      </c>
      <c r="AA152">
        <v>0</v>
      </c>
    </row>
    <row r="153" spans="1:27">
      <c r="A153" s="1">
        <v>151</v>
      </c>
      <c r="B153">
        <v>94578</v>
      </c>
      <c r="C153" t="s">
        <v>182</v>
      </c>
      <c r="D153" t="s">
        <v>649</v>
      </c>
      <c r="E153" t="s">
        <v>1025</v>
      </c>
      <c r="F153" t="s">
        <v>1330</v>
      </c>
      <c r="G153">
        <f>"0394719859"</f>
        <v>0</v>
      </c>
      <c r="H153">
        <f>"9780394719856"</f>
        <v>0</v>
      </c>
      <c r="I153">
        <v>0</v>
      </c>
      <c r="J153">
        <v>4.26</v>
      </c>
      <c r="K153" t="s">
        <v>1476</v>
      </c>
      <c r="L153" t="s">
        <v>1706</v>
      </c>
      <c r="M153">
        <v>398</v>
      </c>
      <c r="N153">
        <v>1974</v>
      </c>
      <c r="O153">
        <v>1882</v>
      </c>
      <c r="Q153" t="s">
        <v>1743</v>
      </c>
      <c r="R153" t="s">
        <v>1820</v>
      </c>
      <c r="S153" t="s">
        <v>1927</v>
      </c>
      <c r="T153" t="s">
        <v>1820</v>
      </c>
      <c r="X153">
        <v>0</v>
      </c>
      <c r="AA153">
        <v>0</v>
      </c>
    </row>
    <row r="154" spans="1:27">
      <c r="A154" s="1">
        <v>152</v>
      </c>
      <c r="B154">
        <v>3876</v>
      </c>
      <c r="C154" t="s">
        <v>183</v>
      </c>
      <c r="D154" t="s">
        <v>650</v>
      </c>
      <c r="E154" t="s">
        <v>1026</v>
      </c>
      <c r="G154">
        <f>""</f>
        <v>0</v>
      </c>
      <c r="H154">
        <f>""</f>
        <v>0</v>
      </c>
      <c r="I154">
        <v>0</v>
      </c>
      <c r="J154">
        <v>3.82</v>
      </c>
      <c r="K154" t="s">
        <v>1538</v>
      </c>
      <c r="L154" t="s">
        <v>1705</v>
      </c>
      <c r="M154">
        <v>189</v>
      </c>
      <c r="N154">
        <v>1957</v>
      </c>
      <c r="O154">
        <v>1926</v>
      </c>
      <c r="Q154" t="s">
        <v>1799</v>
      </c>
      <c r="R154" t="s">
        <v>1820</v>
      </c>
      <c r="S154" t="s">
        <v>1928</v>
      </c>
      <c r="T154" t="s">
        <v>1820</v>
      </c>
      <c r="X154">
        <v>0</v>
      </c>
      <c r="AA154">
        <v>0</v>
      </c>
    </row>
    <row r="155" spans="1:27">
      <c r="A155" s="1">
        <v>153</v>
      </c>
      <c r="B155">
        <v>10799</v>
      </c>
      <c r="C155" t="s">
        <v>184</v>
      </c>
      <c r="D155" t="s">
        <v>650</v>
      </c>
      <c r="E155" t="s">
        <v>1026</v>
      </c>
      <c r="G155">
        <f>"0099910101"</f>
        <v>0</v>
      </c>
      <c r="H155">
        <f>"9780099910107"</f>
        <v>0</v>
      </c>
      <c r="I155">
        <v>0</v>
      </c>
      <c r="J155">
        <v>3.81</v>
      </c>
      <c r="K155" t="s">
        <v>1539</v>
      </c>
      <c r="L155" t="s">
        <v>1705</v>
      </c>
      <c r="M155">
        <v>293</v>
      </c>
      <c r="N155">
        <v>2004</v>
      </c>
      <c r="O155">
        <v>1929</v>
      </c>
      <c r="Q155" t="s">
        <v>1799</v>
      </c>
      <c r="R155" t="s">
        <v>1820</v>
      </c>
      <c r="S155" t="s">
        <v>1929</v>
      </c>
      <c r="T155" t="s">
        <v>1820</v>
      </c>
      <c r="X155">
        <v>0</v>
      </c>
      <c r="AA155">
        <v>0</v>
      </c>
    </row>
    <row r="156" spans="1:27">
      <c r="A156" s="1">
        <v>154</v>
      </c>
      <c r="B156">
        <v>46170</v>
      </c>
      <c r="C156" t="s">
        <v>185</v>
      </c>
      <c r="D156" t="s">
        <v>650</v>
      </c>
      <c r="E156" t="s">
        <v>1026</v>
      </c>
      <c r="F156" t="s">
        <v>1331</v>
      </c>
      <c r="G156">
        <f>""</f>
        <v>0</v>
      </c>
      <c r="H156">
        <f>""</f>
        <v>0</v>
      </c>
      <c r="I156">
        <v>0</v>
      </c>
      <c r="J156">
        <v>3.97</v>
      </c>
      <c r="K156" t="s">
        <v>1430</v>
      </c>
      <c r="L156" t="s">
        <v>1705</v>
      </c>
      <c r="M156">
        <v>471</v>
      </c>
      <c r="N156">
        <v>1995</v>
      </c>
      <c r="O156">
        <v>1940</v>
      </c>
      <c r="Q156" t="s">
        <v>1799</v>
      </c>
      <c r="R156" t="s">
        <v>1820</v>
      </c>
      <c r="S156" t="s">
        <v>1930</v>
      </c>
      <c r="T156" t="s">
        <v>1820</v>
      </c>
      <c r="X156">
        <v>0</v>
      </c>
      <c r="AA156">
        <v>0</v>
      </c>
    </row>
    <row r="157" spans="1:27">
      <c r="A157" s="1">
        <v>155</v>
      </c>
      <c r="B157">
        <v>191413</v>
      </c>
      <c r="C157" t="s">
        <v>186</v>
      </c>
      <c r="D157" t="s">
        <v>651</v>
      </c>
      <c r="E157" t="s">
        <v>1027</v>
      </c>
      <c r="G157">
        <f>"0805076174"</f>
        <v>0</v>
      </c>
      <c r="H157">
        <f>"9780805076172"</f>
        <v>0</v>
      </c>
      <c r="I157">
        <v>0</v>
      </c>
      <c r="J157">
        <v>4.12</v>
      </c>
      <c r="K157" t="s">
        <v>1540</v>
      </c>
      <c r="L157" t="s">
        <v>1705</v>
      </c>
      <c r="M157">
        <v>688</v>
      </c>
      <c r="N157">
        <v>2004</v>
      </c>
      <c r="O157">
        <v>1994</v>
      </c>
      <c r="Q157" t="s">
        <v>1730</v>
      </c>
      <c r="R157" t="s">
        <v>1820</v>
      </c>
      <c r="S157" t="s">
        <v>1931</v>
      </c>
      <c r="T157" t="s">
        <v>1820</v>
      </c>
      <c r="X157">
        <v>0</v>
      </c>
      <c r="AA157">
        <v>0</v>
      </c>
    </row>
    <row r="158" spans="1:27">
      <c r="A158" s="1">
        <v>156</v>
      </c>
      <c r="B158">
        <v>8642478</v>
      </c>
      <c r="C158" t="s">
        <v>187</v>
      </c>
      <c r="D158" t="s">
        <v>652</v>
      </c>
      <c r="E158" t="s">
        <v>1028</v>
      </c>
      <c r="G158">
        <f>"0810870649"</f>
        <v>0</v>
      </c>
      <c r="H158">
        <f>"9780810870642"</f>
        <v>0</v>
      </c>
      <c r="I158">
        <v>4</v>
      </c>
      <c r="J158">
        <v>3.5</v>
      </c>
      <c r="K158" t="s">
        <v>1541</v>
      </c>
      <c r="L158" t="s">
        <v>1709</v>
      </c>
      <c r="M158">
        <v>402</v>
      </c>
      <c r="N158">
        <v>2009</v>
      </c>
      <c r="O158">
        <v>2009</v>
      </c>
      <c r="Q158" t="s">
        <v>1800</v>
      </c>
      <c r="T158" t="s">
        <v>2097</v>
      </c>
      <c r="U158" t="s">
        <v>2125</v>
      </c>
      <c r="X158">
        <v>1</v>
      </c>
      <c r="AA158">
        <v>0</v>
      </c>
    </row>
    <row r="159" spans="1:27">
      <c r="A159" s="1">
        <v>157</v>
      </c>
      <c r="B159">
        <v>694886</v>
      </c>
      <c r="C159" t="s">
        <v>188</v>
      </c>
      <c r="D159" t="s">
        <v>653</v>
      </c>
      <c r="E159" t="s">
        <v>1029</v>
      </c>
      <c r="G159">
        <f>"0684855720"</f>
        <v>0</v>
      </c>
      <c r="H159">
        <f>"9780684855721"</f>
        <v>0</v>
      </c>
      <c r="I159">
        <v>0</v>
      </c>
      <c r="J159">
        <v>3.89</v>
      </c>
      <c r="K159" t="s">
        <v>1542</v>
      </c>
      <c r="L159" t="s">
        <v>1705</v>
      </c>
      <c r="M159">
        <v>1151</v>
      </c>
      <c r="N159">
        <v>2000</v>
      </c>
      <c r="O159">
        <v>1998</v>
      </c>
      <c r="Q159" t="s">
        <v>1796</v>
      </c>
      <c r="R159" t="s">
        <v>1820</v>
      </c>
      <c r="S159" t="s">
        <v>1932</v>
      </c>
      <c r="T159" t="s">
        <v>1820</v>
      </c>
      <c r="X159">
        <v>0</v>
      </c>
      <c r="AA159">
        <v>0</v>
      </c>
    </row>
    <row r="160" spans="1:27">
      <c r="A160" s="1">
        <v>158</v>
      </c>
      <c r="B160">
        <v>259657</v>
      </c>
      <c r="C160" t="s">
        <v>189</v>
      </c>
      <c r="D160" t="s">
        <v>653</v>
      </c>
      <c r="E160" t="s">
        <v>1029</v>
      </c>
      <c r="G160">
        <f>"0517639114"</f>
        <v>0</v>
      </c>
      <c r="H160">
        <f>"9780517639115"</f>
        <v>0</v>
      </c>
      <c r="I160">
        <v>0</v>
      </c>
      <c r="J160">
        <v>3.9</v>
      </c>
      <c r="K160" t="s">
        <v>1543</v>
      </c>
      <c r="L160" t="s">
        <v>1707</v>
      </c>
      <c r="M160">
        <v>1298</v>
      </c>
      <c r="N160">
        <v>1987</v>
      </c>
      <c r="O160">
        <v>1979</v>
      </c>
      <c r="Q160" t="s">
        <v>1796</v>
      </c>
      <c r="R160" t="s">
        <v>1820</v>
      </c>
      <c r="S160" t="s">
        <v>1933</v>
      </c>
      <c r="T160" t="s">
        <v>1820</v>
      </c>
      <c r="X160">
        <v>0</v>
      </c>
      <c r="AA160">
        <v>0</v>
      </c>
    </row>
    <row r="161" spans="1:27">
      <c r="A161" s="1">
        <v>159</v>
      </c>
      <c r="B161">
        <v>1414134</v>
      </c>
      <c r="C161" t="s">
        <v>190</v>
      </c>
      <c r="D161" t="s">
        <v>653</v>
      </c>
      <c r="E161" t="s">
        <v>1029</v>
      </c>
      <c r="G161">
        <f>"0718118685"</f>
        <v>0</v>
      </c>
      <c r="H161">
        <f>"9780718118686"</f>
        <v>0</v>
      </c>
      <c r="I161">
        <v>0</v>
      </c>
      <c r="J161">
        <v>3.88</v>
      </c>
      <c r="K161" t="s">
        <v>1544</v>
      </c>
      <c r="L161" t="s">
        <v>1707</v>
      </c>
      <c r="M161">
        <v>1521</v>
      </c>
      <c r="N161">
        <v>1979</v>
      </c>
      <c r="O161">
        <v>1979</v>
      </c>
      <c r="Q161" t="s">
        <v>1796</v>
      </c>
      <c r="R161" t="s">
        <v>1820</v>
      </c>
      <c r="S161" t="s">
        <v>1934</v>
      </c>
      <c r="T161" t="s">
        <v>1820</v>
      </c>
      <c r="X161">
        <v>0</v>
      </c>
      <c r="AA161">
        <v>0</v>
      </c>
    </row>
    <row r="162" spans="1:27">
      <c r="A162" s="1">
        <v>160</v>
      </c>
      <c r="B162">
        <v>35031085</v>
      </c>
      <c r="C162" t="s">
        <v>191</v>
      </c>
      <c r="D162" t="s">
        <v>654</v>
      </c>
      <c r="E162" t="s">
        <v>1030</v>
      </c>
      <c r="F162" t="s">
        <v>1332</v>
      </c>
      <c r="G162">
        <f>""</f>
        <v>0</v>
      </c>
      <c r="H162">
        <f>""</f>
        <v>0</v>
      </c>
      <c r="I162">
        <v>0</v>
      </c>
      <c r="J162">
        <v>3.8</v>
      </c>
      <c r="K162" t="s">
        <v>1449</v>
      </c>
      <c r="L162" t="s">
        <v>1705</v>
      </c>
      <c r="M162">
        <v>288</v>
      </c>
      <c r="N162">
        <v>2018</v>
      </c>
      <c r="O162">
        <v>1818</v>
      </c>
      <c r="Q162" t="s">
        <v>1798</v>
      </c>
      <c r="T162" t="s">
        <v>2097</v>
      </c>
      <c r="X162">
        <v>1</v>
      </c>
      <c r="AA162">
        <v>0</v>
      </c>
    </row>
    <row r="163" spans="1:27">
      <c r="A163" s="1">
        <v>161</v>
      </c>
      <c r="B163">
        <v>13079982</v>
      </c>
      <c r="C163" t="s">
        <v>192</v>
      </c>
      <c r="D163" t="s">
        <v>655</v>
      </c>
      <c r="E163" t="s">
        <v>1031</v>
      </c>
      <c r="G163">
        <f>""</f>
        <v>0</v>
      </c>
      <c r="H163">
        <f>""</f>
        <v>0</v>
      </c>
      <c r="I163">
        <v>0</v>
      </c>
      <c r="J163">
        <v>3.99</v>
      </c>
      <c r="K163" t="s">
        <v>1459</v>
      </c>
      <c r="L163" t="s">
        <v>1708</v>
      </c>
      <c r="M163">
        <v>194</v>
      </c>
      <c r="N163">
        <v>2011</v>
      </c>
      <c r="O163">
        <v>1953</v>
      </c>
      <c r="Q163" t="s">
        <v>1798</v>
      </c>
      <c r="T163" t="s">
        <v>2097</v>
      </c>
      <c r="X163">
        <v>1</v>
      </c>
      <c r="AA163">
        <v>0</v>
      </c>
    </row>
    <row r="164" spans="1:27">
      <c r="A164" s="1">
        <v>162</v>
      </c>
      <c r="B164">
        <v>39334805</v>
      </c>
      <c r="C164" t="s">
        <v>193</v>
      </c>
      <c r="D164" t="s">
        <v>656</v>
      </c>
      <c r="E164" t="s">
        <v>1032</v>
      </c>
      <c r="G164">
        <f>""</f>
        <v>0</v>
      </c>
      <c r="H164">
        <f>""</f>
        <v>0</v>
      </c>
      <c r="I164">
        <v>0</v>
      </c>
      <c r="J164">
        <v>4.16</v>
      </c>
      <c r="K164" t="s">
        <v>1429</v>
      </c>
      <c r="L164" t="s">
        <v>1708</v>
      </c>
      <c r="M164">
        <v>281</v>
      </c>
      <c r="N164">
        <v>2018</v>
      </c>
      <c r="Q164" t="s">
        <v>1798</v>
      </c>
      <c r="R164" t="s">
        <v>1820</v>
      </c>
      <c r="S164" t="s">
        <v>1935</v>
      </c>
      <c r="T164" t="s">
        <v>1820</v>
      </c>
      <c r="X164">
        <v>0</v>
      </c>
      <c r="AA164">
        <v>0</v>
      </c>
    </row>
    <row r="165" spans="1:27">
      <c r="A165" s="1">
        <v>163</v>
      </c>
      <c r="B165">
        <v>42585634</v>
      </c>
      <c r="C165" t="s">
        <v>194</v>
      </c>
      <c r="D165" t="s">
        <v>657</v>
      </c>
      <c r="E165" t="s">
        <v>1033</v>
      </c>
      <c r="G165">
        <f>"1786995352"</f>
        <v>0</v>
      </c>
      <c r="H165">
        <f>"9781786995353"</f>
        <v>0</v>
      </c>
      <c r="I165">
        <v>0</v>
      </c>
      <c r="J165">
        <v>4.19</v>
      </c>
      <c r="K165" t="s">
        <v>1545</v>
      </c>
      <c r="L165" t="s">
        <v>1707</v>
      </c>
      <c r="M165">
        <v>400</v>
      </c>
      <c r="N165">
        <v>2019</v>
      </c>
      <c r="O165">
        <v>2019</v>
      </c>
      <c r="Q165" t="s">
        <v>1798</v>
      </c>
      <c r="R165" t="s">
        <v>1820</v>
      </c>
      <c r="S165" t="s">
        <v>1936</v>
      </c>
      <c r="T165" t="s">
        <v>1820</v>
      </c>
      <c r="X165">
        <v>0</v>
      </c>
      <c r="AA165">
        <v>0</v>
      </c>
    </row>
    <row r="166" spans="1:27">
      <c r="A166" s="1">
        <v>164</v>
      </c>
      <c r="B166">
        <v>28862</v>
      </c>
      <c r="C166" t="s">
        <v>195</v>
      </c>
      <c r="D166" t="s">
        <v>658</v>
      </c>
      <c r="E166" t="s">
        <v>1034</v>
      </c>
      <c r="F166" t="s">
        <v>1333</v>
      </c>
      <c r="G166">
        <f>"0937832383"</f>
        <v>0</v>
      </c>
      <c r="H166">
        <f>"9780937832387"</f>
        <v>0</v>
      </c>
      <c r="I166">
        <v>0</v>
      </c>
      <c r="J166">
        <v>3.81</v>
      </c>
      <c r="K166" t="s">
        <v>1546</v>
      </c>
      <c r="L166" t="s">
        <v>1705</v>
      </c>
      <c r="M166">
        <v>140</v>
      </c>
      <c r="N166">
        <v>2003</v>
      </c>
      <c r="O166">
        <v>1532</v>
      </c>
      <c r="Q166" t="s">
        <v>1744</v>
      </c>
      <c r="R166" t="s">
        <v>1820</v>
      </c>
      <c r="S166" t="s">
        <v>1937</v>
      </c>
      <c r="T166" t="s">
        <v>1820</v>
      </c>
      <c r="X166">
        <v>0</v>
      </c>
      <c r="AA166">
        <v>0</v>
      </c>
    </row>
    <row r="167" spans="1:27">
      <c r="A167" s="1">
        <v>165</v>
      </c>
      <c r="B167">
        <v>8707112</v>
      </c>
      <c r="C167" t="s">
        <v>196</v>
      </c>
      <c r="D167" t="s">
        <v>659</v>
      </c>
      <c r="E167" t="s">
        <v>1035</v>
      </c>
      <c r="F167" t="s">
        <v>1334</v>
      </c>
      <c r="G167">
        <f>"1887368019"</f>
        <v>0</v>
      </c>
      <c r="H167">
        <f>"9781887368018"</f>
        <v>0</v>
      </c>
      <c r="I167">
        <v>0</v>
      </c>
      <c r="J167">
        <v>4.07</v>
      </c>
      <c r="K167" t="s">
        <v>1547</v>
      </c>
      <c r="L167" t="s">
        <v>1713</v>
      </c>
      <c r="M167">
        <v>258</v>
      </c>
      <c r="N167">
        <v>1995</v>
      </c>
      <c r="O167">
        <v>1954</v>
      </c>
      <c r="Q167" t="s">
        <v>1744</v>
      </c>
      <c r="R167" t="s">
        <v>1820</v>
      </c>
      <c r="S167" t="s">
        <v>1938</v>
      </c>
      <c r="T167" t="s">
        <v>1820</v>
      </c>
      <c r="X167">
        <v>0</v>
      </c>
      <c r="AA167">
        <v>0</v>
      </c>
    </row>
    <row r="168" spans="1:27">
      <c r="A168" s="1">
        <v>166</v>
      </c>
      <c r="B168">
        <v>83596</v>
      </c>
      <c r="C168" t="s">
        <v>197</v>
      </c>
      <c r="D168" t="s">
        <v>660</v>
      </c>
      <c r="E168" t="s">
        <v>1036</v>
      </c>
      <c r="F168" t="s">
        <v>1335</v>
      </c>
      <c r="G168">
        <f>"0385199732"</f>
        <v>0</v>
      </c>
      <c r="H168">
        <f>"9780385199735"</f>
        <v>0</v>
      </c>
      <c r="I168">
        <v>0</v>
      </c>
      <c r="J168">
        <v>4.18</v>
      </c>
      <c r="K168" t="s">
        <v>1478</v>
      </c>
      <c r="L168" t="s">
        <v>1705</v>
      </c>
      <c r="M168">
        <v>299</v>
      </c>
      <c r="N168">
        <v>1987</v>
      </c>
      <c r="O168">
        <v>1986</v>
      </c>
      <c r="Q168" t="s">
        <v>1744</v>
      </c>
      <c r="R168" t="s">
        <v>1820</v>
      </c>
      <c r="S168" t="s">
        <v>1939</v>
      </c>
      <c r="T168" t="s">
        <v>1820</v>
      </c>
      <c r="X168">
        <v>0</v>
      </c>
      <c r="AA168">
        <v>0</v>
      </c>
    </row>
    <row r="169" spans="1:27">
      <c r="A169" s="1">
        <v>167</v>
      </c>
      <c r="B169">
        <v>39999</v>
      </c>
      <c r="C169" t="s">
        <v>198</v>
      </c>
      <c r="D169" t="s">
        <v>661</v>
      </c>
      <c r="E169" t="s">
        <v>1037</v>
      </c>
      <c r="G169">
        <f>""</f>
        <v>0</v>
      </c>
      <c r="H169">
        <f>""</f>
        <v>0</v>
      </c>
      <c r="I169">
        <v>0</v>
      </c>
      <c r="J169">
        <v>4.15</v>
      </c>
      <c r="K169" t="s">
        <v>1548</v>
      </c>
      <c r="L169" t="s">
        <v>1707</v>
      </c>
      <c r="M169">
        <v>240</v>
      </c>
      <c r="N169">
        <v>2006</v>
      </c>
      <c r="O169">
        <v>2006</v>
      </c>
      <c r="Q169" t="s">
        <v>1744</v>
      </c>
      <c r="T169" t="s">
        <v>2097</v>
      </c>
      <c r="X169">
        <v>1</v>
      </c>
      <c r="AA169">
        <v>0</v>
      </c>
    </row>
    <row r="170" spans="1:27">
      <c r="A170" s="1">
        <v>168</v>
      </c>
      <c r="B170">
        <v>16343</v>
      </c>
      <c r="C170" t="s">
        <v>199</v>
      </c>
      <c r="D170" t="s">
        <v>587</v>
      </c>
      <c r="E170" t="s">
        <v>962</v>
      </c>
      <c r="G170">
        <f>"0646418432"</f>
        <v>0</v>
      </c>
      <c r="H170">
        <f>"9780646418438"</f>
        <v>0</v>
      </c>
      <c r="I170">
        <v>0</v>
      </c>
      <c r="J170">
        <v>3.99</v>
      </c>
      <c r="K170" t="s">
        <v>1549</v>
      </c>
      <c r="L170" t="s">
        <v>1705</v>
      </c>
      <c r="M170">
        <v>121</v>
      </c>
      <c r="N170">
        <v>2002</v>
      </c>
      <c r="O170">
        <v>1920</v>
      </c>
      <c r="Q170" t="s">
        <v>1744</v>
      </c>
      <c r="R170" t="s">
        <v>1820</v>
      </c>
      <c r="S170" t="s">
        <v>1940</v>
      </c>
      <c r="T170" t="s">
        <v>1820</v>
      </c>
      <c r="X170">
        <v>0</v>
      </c>
      <c r="AA170">
        <v>0</v>
      </c>
    </row>
    <row r="171" spans="1:27">
      <c r="A171" s="1">
        <v>169</v>
      </c>
      <c r="B171">
        <v>88431</v>
      </c>
      <c r="C171" t="s">
        <v>200</v>
      </c>
      <c r="D171" t="s">
        <v>662</v>
      </c>
      <c r="E171" t="s">
        <v>1038</v>
      </c>
      <c r="F171" t="s">
        <v>1336</v>
      </c>
      <c r="G171">
        <f>"0964920514"</f>
        <v>0</v>
      </c>
      <c r="H171">
        <f>"9780964920514"</f>
        <v>0</v>
      </c>
      <c r="I171">
        <v>0</v>
      </c>
      <c r="J171">
        <v>4.33</v>
      </c>
      <c r="K171" t="s">
        <v>1550</v>
      </c>
      <c r="L171" t="s">
        <v>1705</v>
      </c>
      <c r="M171">
        <v>395</v>
      </c>
      <c r="N171">
        <v>2004</v>
      </c>
      <c r="O171">
        <v>2004</v>
      </c>
      <c r="Q171" t="s">
        <v>1744</v>
      </c>
      <c r="R171" t="s">
        <v>1820</v>
      </c>
      <c r="S171" t="s">
        <v>1941</v>
      </c>
      <c r="T171" t="s">
        <v>1820</v>
      </c>
      <c r="X171">
        <v>0</v>
      </c>
      <c r="AA171">
        <v>0</v>
      </c>
    </row>
    <row r="172" spans="1:27">
      <c r="A172" s="1">
        <v>170</v>
      </c>
      <c r="B172">
        <v>6178648</v>
      </c>
      <c r="C172" t="s">
        <v>201</v>
      </c>
      <c r="D172" t="s">
        <v>663</v>
      </c>
      <c r="E172" t="s">
        <v>1039</v>
      </c>
      <c r="G172">
        <f>"0385523904"</f>
        <v>0</v>
      </c>
      <c r="H172">
        <f>"9780385523905"</f>
        <v>0</v>
      </c>
      <c r="I172">
        <v>5</v>
      </c>
      <c r="J172">
        <v>4.43</v>
      </c>
      <c r="K172" t="s">
        <v>1551</v>
      </c>
      <c r="L172" t="s">
        <v>1707</v>
      </c>
      <c r="M172">
        <v>316</v>
      </c>
      <c r="N172">
        <v>2009</v>
      </c>
      <c r="O172">
        <v>2009</v>
      </c>
      <c r="P172" t="s">
        <v>1744</v>
      </c>
      <c r="Q172" t="s">
        <v>1801</v>
      </c>
      <c r="T172" t="s">
        <v>2097</v>
      </c>
      <c r="U172" t="s">
        <v>2126</v>
      </c>
      <c r="X172">
        <v>1</v>
      </c>
      <c r="AA172">
        <v>0</v>
      </c>
    </row>
    <row r="173" spans="1:27">
      <c r="A173" s="1">
        <v>171</v>
      </c>
      <c r="B173">
        <v>6900</v>
      </c>
      <c r="C173" t="s">
        <v>202</v>
      </c>
      <c r="D173" t="s">
        <v>664</v>
      </c>
      <c r="E173" t="s">
        <v>1040</v>
      </c>
      <c r="F173" t="s">
        <v>1337</v>
      </c>
      <c r="G173">
        <f>"0751529818"</f>
        <v>0</v>
      </c>
      <c r="H173">
        <f>"9780751529814"</f>
        <v>0</v>
      </c>
      <c r="I173">
        <v>1</v>
      </c>
      <c r="J173">
        <v>4.11</v>
      </c>
      <c r="K173" t="s">
        <v>1552</v>
      </c>
      <c r="L173" t="s">
        <v>1705</v>
      </c>
      <c r="M173">
        <v>210</v>
      </c>
      <c r="N173">
        <v>2000</v>
      </c>
      <c r="O173">
        <v>1997</v>
      </c>
      <c r="P173" t="s">
        <v>1744</v>
      </c>
      <c r="Q173" t="s">
        <v>1802</v>
      </c>
      <c r="T173" t="s">
        <v>2097</v>
      </c>
      <c r="X173">
        <v>1</v>
      </c>
      <c r="AA173">
        <v>0</v>
      </c>
    </row>
    <row r="174" spans="1:27">
      <c r="A174" s="1">
        <v>172</v>
      </c>
      <c r="B174">
        <v>57981</v>
      </c>
      <c r="C174" t="s">
        <v>203</v>
      </c>
      <c r="D174" t="s">
        <v>665</v>
      </c>
      <c r="E174" t="s">
        <v>1041</v>
      </c>
      <c r="G174">
        <f>"0743284550"</f>
        <v>0</v>
      </c>
      <c r="H174">
        <f>"9780743284554"</f>
        <v>0</v>
      </c>
      <c r="I174">
        <v>0</v>
      </c>
      <c r="J174">
        <v>3.54</v>
      </c>
      <c r="K174" t="s">
        <v>1469</v>
      </c>
      <c r="L174" t="s">
        <v>1705</v>
      </c>
      <c r="M174">
        <v>464</v>
      </c>
      <c r="N174">
        <v>2006</v>
      </c>
      <c r="O174">
        <v>1992</v>
      </c>
      <c r="Q174" t="s">
        <v>1802</v>
      </c>
      <c r="R174" t="s">
        <v>1820</v>
      </c>
      <c r="S174" t="s">
        <v>1942</v>
      </c>
      <c r="T174" t="s">
        <v>1820</v>
      </c>
      <c r="X174">
        <v>0</v>
      </c>
      <c r="AA174">
        <v>0</v>
      </c>
    </row>
    <row r="175" spans="1:27">
      <c r="A175" s="1">
        <v>173</v>
      </c>
      <c r="B175">
        <v>475</v>
      </c>
      <c r="C175" t="s">
        <v>204</v>
      </c>
      <c r="D175" t="s">
        <v>666</v>
      </c>
      <c r="E175" t="s">
        <v>1042</v>
      </c>
      <c r="G175">
        <f>"0143036556"</f>
        <v>0</v>
      </c>
      <c r="H175">
        <f>"9780143036555"</f>
        <v>0</v>
      </c>
      <c r="I175">
        <v>0</v>
      </c>
      <c r="J175">
        <v>3.93</v>
      </c>
      <c r="K175" t="s">
        <v>1553</v>
      </c>
      <c r="L175" t="s">
        <v>1705</v>
      </c>
      <c r="M175">
        <v>608</v>
      </c>
      <c r="N175">
        <v>2005</v>
      </c>
      <c r="O175">
        <v>2004</v>
      </c>
      <c r="Q175" t="s">
        <v>1802</v>
      </c>
      <c r="R175" t="s">
        <v>1820</v>
      </c>
      <c r="S175" t="s">
        <v>1943</v>
      </c>
      <c r="T175" t="s">
        <v>1820</v>
      </c>
      <c r="X175">
        <v>0</v>
      </c>
      <c r="AA175">
        <v>0</v>
      </c>
    </row>
    <row r="176" spans="1:27">
      <c r="A176" s="1">
        <v>174</v>
      </c>
      <c r="B176">
        <v>6289283</v>
      </c>
      <c r="C176" t="s">
        <v>205</v>
      </c>
      <c r="D176" t="s">
        <v>667</v>
      </c>
      <c r="E176" t="s">
        <v>1043</v>
      </c>
      <c r="G176">
        <f>"0307266303"</f>
        <v>0</v>
      </c>
      <c r="H176">
        <f>"9780307266309"</f>
        <v>0</v>
      </c>
      <c r="I176">
        <v>0</v>
      </c>
      <c r="J176">
        <v>4.29</v>
      </c>
      <c r="K176" t="s">
        <v>1554</v>
      </c>
      <c r="L176" t="s">
        <v>1707</v>
      </c>
      <c r="M176">
        <v>287</v>
      </c>
      <c r="N176">
        <v>2009</v>
      </c>
      <c r="O176">
        <v>2009</v>
      </c>
      <c r="Q176" t="s">
        <v>1802</v>
      </c>
      <c r="T176" t="s">
        <v>2097</v>
      </c>
      <c r="X176">
        <v>1</v>
      </c>
      <c r="AA176">
        <v>0</v>
      </c>
    </row>
    <row r="177" spans="1:27">
      <c r="A177" s="1">
        <v>175</v>
      </c>
      <c r="B177">
        <v>35133922</v>
      </c>
      <c r="C177" t="s">
        <v>206</v>
      </c>
      <c r="D177" t="s">
        <v>668</v>
      </c>
      <c r="E177" t="s">
        <v>1044</v>
      </c>
      <c r="G177">
        <f>"0399590501"</f>
        <v>0</v>
      </c>
      <c r="H177">
        <f>"9780399590504"</f>
        <v>0</v>
      </c>
      <c r="I177">
        <v>0</v>
      </c>
      <c r="J177">
        <v>4.47</v>
      </c>
      <c r="K177" t="s">
        <v>1476</v>
      </c>
      <c r="L177" t="s">
        <v>1707</v>
      </c>
      <c r="M177">
        <v>334</v>
      </c>
      <c r="N177">
        <v>2018</v>
      </c>
      <c r="O177">
        <v>2018</v>
      </c>
      <c r="Q177" t="s">
        <v>1802</v>
      </c>
      <c r="R177" t="s">
        <v>1820</v>
      </c>
      <c r="S177" t="s">
        <v>1944</v>
      </c>
      <c r="T177" t="s">
        <v>1820</v>
      </c>
      <c r="X177">
        <v>0</v>
      </c>
      <c r="AA177">
        <v>0</v>
      </c>
    </row>
    <row r="178" spans="1:27">
      <c r="A178" s="1">
        <v>176</v>
      </c>
      <c r="B178">
        <v>1842</v>
      </c>
      <c r="C178" t="s">
        <v>207</v>
      </c>
      <c r="D178" t="s">
        <v>666</v>
      </c>
      <c r="E178" t="s">
        <v>1042</v>
      </c>
      <c r="G178">
        <f>"0739467352"</f>
        <v>0</v>
      </c>
      <c r="H178">
        <f>"9780739467350"</f>
        <v>0</v>
      </c>
      <c r="I178">
        <v>0</v>
      </c>
      <c r="J178">
        <v>4.03</v>
      </c>
      <c r="K178" t="s">
        <v>1555</v>
      </c>
      <c r="L178" t="s">
        <v>1705</v>
      </c>
      <c r="M178">
        <v>425</v>
      </c>
      <c r="N178">
        <v>2005</v>
      </c>
      <c r="O178">
        <v>1997</v>
      </c>
      <c r="Q178" t="s">
        <v>1802</v>
      </c>
      <c r="R178" t="s">
        <v>1820</v>
      </c>
      <c r="S178" t="s">
        <v>1945</v>
      </c>
      <c r="T178" t="s">
        <v>1820</v>
      </c>
      <c r="X178">
        <v>0</v>
      </c>
      <c r="AA178">
        <v>0</v>
      </c>
    </row>
    <row r="179" spans="1:27">
      <c r="A179" s="1">
        <v>177</v>
      </c>
      <c r="B179">
        <v>1202</v>
      </c>
      <c r="C179" t="s">
        <v>208</v>
      </c>
      <c r="D179" t="s">
        <v>669</v>
      </c>
      <c r="E179" t="s">
        <v>1045</v>
      </c>
      <c r="F179" t="s">
        <v>1338</v>
      </c>
      <c r="G179">
        <f>"0061234001"</f>
        <v>0</v>
      </c>
      <c r="H179">
        <f>"9780061234002"</f>
        <v>0</v>
      </c>
      <c r="I179">
        <v>0</v>
      </c>
      <c r="J179">
        <v>3.97</v>
      </c>
      <c r="K179" t="s">
        <v>1467</v>
      </c>
      <c r="L179" t="s">
        <v>1707</v>
      </c>
      <c r="M179">
        <v>320</v>
      </c>
      <c r="N179">
        <v>2006</v>
      </c>
      <c r="O179">
        <v>2005</v>
      </c>
      <c r="Q179" t="s">
        <v>1802</v>
      </c>
      <c r="R179" t="s">
        <v>1820</v>
      </c>
      <c r="S179" t="s">
        <v>1946</v>
      </c>
      <c r="T179" t="s">
        <v>1820</v>
      </c>
      <c r="X179">
        <v>0</v>
      </c>
      <c r="AA179">
        <v>0</v>
      </c>
    </row>
    <row r="180" spans="1:27">
      <c r="A180" s="1">
        <v>178</v>
      </c>
      <c r="B180">
        <v>35167685</v>
      </c>
      <c r="C180" t="s">
        <v>209</v>
      </c>
      <c r="D180" t="s">
        <v>563</v>
      </c>
      <c r="E180" t="s">
        <v>938</v>
      </c>
      <c r="G180">
        <f>"0393355624"</f>
        <v>0</v>
      </c>
      <c r="H180">
        <f>"9780393355628"</f>
        <v>0</v>
      </c>
      <c r="I180">
        <v>0</v>
      </c>
      <c r="J180">
        <v>4.28</v>
      </c>
      <c r="K180" t="s">
        <v>1556</v>
      </c>
      <c r="L180" t="s">
        <v>1705</v>
      </c>
      <c r="M180">
        <v>400</v>
      </c>
      <c r="N180">
        <v>2018</v>
      </c>
      <c r="O180">
        <v>1985</v>
      </c>
      <c r="Q180" t="s">
        <v>1802</v>
      </c>
      <c r="R180" t="s">
        <v>1820</v>
      </c>
      <c r="S180" t="s">
        <v>1947</v>
      </c>
      <c r="T180" t="s">
        <v>1820</v>
      </c>
      <c r="X180">
        <v>0</v>
      </c>
      <c r="AA180">
        <v>0</v>
      </c>
    </row>
    <row r="181" spans="1:27">
      <c r="A181" s="1">
        <v>179</v>
      </c>
      <c r="B181">
        <v>168668</v>
      </c>
      <c r="C181" t="s">
        <v>210</v>
      </c>
      <c r="D181" t="s">
        <v>670</v>
      </c>
      <c r="E181" t="s">
        <v>1046</v>
      </c>
      <c r="G181">
        <f>"0684833395"</f>
        <v>0</v>
      </c>
      <c r="H181">
        <f>"9780684833392"</f>
        <v>0</v>
      </c>
      <c r="I181">
        <v>1</v>
      </c>
      <c r="J181">
        <v>3.98</v>
      </c>
      <c r="K181" t="s">
        <v>1557</v>
      </c>
      <c r="L181" t="s">
        <v>1705</v>
      </c>
      <c r="M181">
        <v>453</v>
      </c>
      <c r="N181">
        <v>2004</v>
      </c>
      <c r="O181">
        <v>1961</v>
      </c>
      <c r="Q181" t="s">
        <v>1772</v>
      </c>
      <c r="T181" t="s">
        <v>2097</v>
      </c>
      <c r="X181">
        <v>1</v>
      </c>
      <c r="AA181">
        <v>0</v>
      </c>
    </row>
    <row r="182" spans="1:27">
      <c r="A182" s="1">
        <v>180</v>
      </c>
      <c r="B182">
        <v>6772577</v>
      </c>
      <c r="C182" t="s">
        <v>211</v>
      </c>
      <c r="D182" t="s">
        <v>671</v>
      </c>
      <c r="E182" t="s">
        <v>1047</v>
      </c>
      <c r="G182">
        <f>"1933633913"</f>
        <v>0</v>
      </c>
      <c r="H182">
        <f>"9781933633916"</f>
        <v>0</v>
      </c>
      <c r="I182">
        <v>0</v>
      </c>
      <c r="J182">
        <v>3.9</v>
      </c>
      <c r="K182" t="s">
        <v>1558</v>
      </c>
      <c r="L182" t="s">
        <v>1707</v>
      </c>
      <c r="M182">
        <v>208</v>
      </c>
      <c r="N182">
        <v>2010</v>
      </c>
      <c r="O182">
        <v>2010</v>
      </c>
      <c r="Q182" t="s">
        <v>1801</v>
      </c>
      <c r="R182" t="s">
        <v>1820</v>
      </c>
      <c r="S182" t="s">
        <v>1948</v>
      </c>
      <c r="T182" t="s">
        <v>1820</v>
      </c>
      <c r="X182">
        <v>0</v>
      </c>
      <c r="AA182">
        <v>0</v>
      </c>
    </row>
    <row r="183" spans="1:27">
      <c r="A183" s="1">
        <v>181</v>
      </c>
      <c r="B183">
        <v>18122</v>
      </c>
      <c r="C183" t="s">
        <v>212</v>
      </c>
      <c r="D183" t="s">
        <v>672</v>
      </c>
      <c r="E183" t="s">
        <v>1048</v>
      </c>
      <c r="G183">
        <f>"0440238153"</f>
        <v>0</v>
      </c>
      <c r="H183">
        <f>"9780440238157"</f>
        <v>0</v>
      </c>
      <c r="I183">
        <v>0</v>
      </c>
      <c r="J183">
        <v>4.09</v>
      </c>
      <c r="K183" t="s">
        <v>1559</v>
      </c>
      <c r="L183" t="s">
        <v>1706</v>
      </c>
      <c r="M183">
        <v>467</v>
      </c>
      <c r="N183">
        <v>2003</v>
      </c>
      <c r="O183">
        <v>2000</v>
      </c>
      <c r="Q183" t="s">
        <v>1745</v>
      </c>
      <c r="T183" t="s">
        <v>2097</v>
      </c>
      <c r="X183">
        <v>1</v>
      </c>
      <c r="AA183">
        <v>0</v>
      </c>
    </row>
    <row r="184" spans="1:27">
      <c r="A184" s="1">
        <v>182</v>
      </c>
      <c r="B184">
        <v>119322</v>
      </c>
      <c r="C184" t="s">
        <v>213</v>
      </c>
      <c r="D184" t="s">
        <v>672</v>
      </c>
      <c r="E184" t="s">
        <v>1048</v>
      </c>
      <c r="G184">
        <f>"0679879242"</f>
        <v>0</v>
      </c>
      <c r="H184">
        <f>"9780679879244"</f>
        <v>0</v>
      </c>
      <c r="I184">
        <v>0</v>
      </c>
      <c r="J184">
        <v>3.98</v>
      </c>
      <c r="K184" t="s">
        <v>1560</v>
      </c>
      <c r="L184" t="s">
        <v>1707</v>
      </c>
      <c r="M184">
        <v>399</v>
      </c>
      <c r="N184">
        <v>1996</v>
      </c>
      <c r="O184">
        <v>1995</v>
      </c>
      <c r="Q184" t="s">
        <v>1745</v>
      </c>
      <c r="T184" t="s">
        <v>2097</v>
      </c>
      <c r="X184">
        <v>1</v>
      </c>
      <c r="AA184">
        <v>0</v>
      </c>
    </row>
    <row r="185" spans="1:27">
      <c r="A185" s="1">
        <v>183</v>
      </c>
      <c r="B185">
        <v>13324841</v>
      </c>
      <c r="C185" t="s">
        <v>214</v>
      </c>
      <c r="D185" t="s">
        <v>673</v>
      </c>
      <c r="E185" t="s">
        <v>1049</v>
      </c>
      <c r="G185">
        <f>"0547887205"</f>
        <v>0</v>
      </c>
      <c r="H185">
        <f>"9780547887203"</f>
        <v>0</v>
      </c>
      <c r="I185">
        <v>3</v>
      </c>
      <c r="J185">
        <v>3.99</v>
      </c>
      <c r="K185" t="s">
        <v>1561</v>
      </c>
      <c r="L185" t="s">
        <v>1707</v>
      </c>
      <c r="M185">
        <v>393</v>
      </c>
      <c r="N185">
        <v>2012</v>
      </c>
      <c r="O185">
        <v>2012</v>
      </c>
      <c r="P185" t="s">
        <v>1745</v>
      </c>
      <c r="Q185" t="s">
        <v>1773</v>
      </c>
      <c r="T185" t="s">
        <v>2097</v>
      </c>
      <c r="X185">
        <v>1</v>
      </c>
      <c r="AA185">
        <v>0</v>
      </c>
    </row>
    <row r="186" spans="1:27">
      <c r="A186" s="1">
        <v>184</v>
      </c>
      <c r="B186">
        <v>12931</v>
      </c>
      <c r="C186" t="s">
        <v>215</v>
      </c>
      <c r="D186" t="s">
        <v>673</v>
      </c>
      <c r="E186" t="s">
        <v>1049</v>
      </c>
      <c r="G186">
        <f>"0618685502"</f>
        <v>0</v>
      </c>
      <c r="H186">
        <f>"9780618685509"</f>
        <v>0</v>
      </c>
      <c r="I186">
        <v>0</v>
      </c>
      <c r="J186">
        <v>3.9</v>
      </c>
      <c r="K186" t="s">
        <v>1561</v>
      </c>
      <c r="L186" t="s">
        <v>1707</v>
      </c>
      <c r="M186">
        <v>144</v>
      </c>
      <c r="N186">
        <v>2006</v>
      </c>
      <c r="O186">
        <v>2006</v>
      </c>
      <c r="Q186" t="s">
        <v>1745</v>
      </c>
      <c r="T186" t="s">
        <v>2097</v>
      </c>
      <c r="X186">
        <v>1</v>
      </c>
      <c r="AA186">
        <v>0</v>
      </c>
    </row>
    <row r="187" spans="1:27">
      <c r="A187" s="1">
        <v>185</v>
      </c>
      <c r="B187">
        <v>37486540</v>
      </c>
      <c r="C187" t="s">
        <v>216</v>
      </c>
      <c r="D187" t="s">
        <v>674</v>
      </c>
      <c r="E187" t="s">
        <v>1050</v>
      </c>
      <c r="G187">
        <f>"0316523178"</f>
        <v>0</v>
      </c>
      <c r="H187">
        <f>"9780316523172"</f>
        <v>0</v>
      </c>
      <c r="I187">
        <v>0</v>
      </c>
      <c r="J187">
        <v>4.11</v>
      </c>
      <c r="K187" t="s">
        <v>1562</v>
      </c>
      <c r="L187" t="s">
        <v>1707</v>
      </c>
      <c r="M187">
        <v>384</v>
      </c>
      <c r="N187">
        <v>2018</v>
      </c>
      <c r="O187">
        <v>2018</v>
      </c>
      <c r="Q187" t="s">
        <v>1803</v>
      </c>
      <c r="R187" t="s">
        <v>1820</v>
      </c>
      <c r="S187" t="s">
        <v>1949</v>
      </c>
      <c r="T187" t="s">
        <v>1820</v>
      </c>
      <c r="X187">
        <v>0</v>
      </c>
      <c r="AA187">
        <v>0</v>
      </c>
    </row>
    <row r="188" spans="1:27">
      <c r="A188" s="1">
        <v>186</v>
      </c>
      <c r="B188">
        <v>2467227</v>
      </c>
      <c r="C188" t="s">
        <v>217</v>
      </c>
      <c r="D188" t="s">
        <v>675</v>
      </c>
      <c r="E188" t="s">
        <v>1051</v>
      </c>
      <c r="G188">
        <f>"0151010811"</f>
        <v>0</v>
      </c>
      <c r="H188">
        <f>"9780151010813"</f>
        <v>0</v>
      </c>
      <c r="I188">
        <v>3</v>
      </c>
      <c r="J188">
        <v>3.5</v>
      </c>
      <c r="K188" t="s">
        <v>1563</v>
      </c>
      <c r="L188" t="s">
        <v>1707</v>
      </c>
      <c r="M188">
        <v>388</v>
      </c>
      <c r="N188">
        <v>2008</v>
      </c>
      <c r="O188">
        <v>2008</v>
      </c>
      <c r="P188" t="s">
        <v>1746</v>
      </c>
      <c r="Q188" t="s">
        <v>1767</v>
      </c>
      <c r="T188" t="s">
        <v>2097</v>
      </c>
      <c r="U188" t="s">
        <v>2127</v>
      </c>
      <c r="X188">
        <v>1</v>
      </c>
      <c r="AA188">
        <v>0</v>
      </c>
    </row>
    <row r="189" spans="1:27">
      <c r="A189" s="1">
        <v>187</v>
      </c>
      <c r="B189">
        <v>11472345</v>
      </c>
      <c r="C189" t="s">
        <v>218</v>
      </c>
      <c r="D189" t="s">
        <v>676</v>
      </c>
      <c r="E189" t="s">
        <v>1052</v>
      </c>
      <c r="G189">
        <f>"0674055446"</f>
        <v>0</v>
      </c>
      <c r="H189">
        <f>"9780674055445"</f>
        <v>0</v>
      </c>
      <c r="I189">
        <v>0</v>
      </c>
      <c r="J189">
        <v>4.37</v>
      </c>
      <c r="K189" t="s">
        <v>1564</v>
      </c>
      <c r="L189" t="s">
        <v>1707</v>
      </c>
      <c r="M189">
        <v>928</v>
      </c>
      <c r="N189">
        <v>2011</v>
      </c>
      <c r="O189">
        <v>2011</v>
      </c>
      <c r="Q189" t="s">
        <v>1804</v>
      </c>
      <c r="R189" t="s">
        <v>1820</v>
      </c>
      <c r="S189" t="s">
        <v>1950</v>
      </c>
      <c r="T189" t="s">
        <v>1820</v>
      </c>
      <c r="X189">
        <v>0</v>
      </c>
      <c r="AA189">
        <v>0</v>
      </c>
    </row>
    <row r="190" spans="1:27">
      <c r="A190" s="1">
        <v>188</v>
      </c>
      <c r="B190">
        <v>18465875</v>
      </c>
      <c r="C190" t="s">
        <v>219</v>
      </c>
      <c r="D190" t="s">
        <v>677</v>
      </c>
      <c r="E190" t="s">
        <v>1053</v>
      </c>
      <c r="G190">
        <f>"077043617X"</f>
        <v>0</v>
      </c>
      <c r="H190">
        <f>"9780770436179"</f>
        <v>0</v>
      </c>
      <c r="I190">
        <v>5</v>
      </c>
      <c r="J190">
        <v>4.14</v>
      </c>
      <c r="K190" t="s">
        <v>1526</v>
      </c>
      <c r="L190" t="s">
        <v>1707</v>
      </c>
      <c r="M190">
        <v>406</v>
      </c>
      <c r="N190">
        <v>2014</v>
      </c>
      <c r="O190">
        <v>2014</v>
      </c>
      <c r="P190" t="s">
        <v>1747</v>
      </c>
      <c r="Q190" t="s">
        <v>1767</v>
      </c>
      <c r="T190" t="s">
        <v>2097</v>
      </c>
      <c r="U190" t="s">
        <v>2128</v>
      </c>
      <c r="X190">
        <v>1</v>
      </c>
      <c r="AA190">
        <v>0</v>
      </c>
    </row>
    <row r="191" spans="1:27">
      <c r="A191" s="1">
        <v>189</v>
      </c>
      <c r="B191">
        <v>25159062</v>
      </c>
      <c r="C191" t="s">
        <v>220</v>
      </c>
      <c r="D191" t="s">
        <v>678</v>
      </c>
      <c r="E191" t="s">
        <v>1054</v>
      </c>
      <c r="G191">
        <f>"1610395832"</f>
        <v>0</v>
      </c>
      <c r="H191">
        <f>"9781610395830"</f>
        <v>0</v>
      </c>
      <c r="I191">
        <v>0</v>
      </c>
      <c r="J191">
        <v>4.16</v>
      </c>
      <c r="K191" t="s">
        <v>1565</v>
      </c>
      <c r="L191" t="s">
        <v>1707</v>
      </c>
      <c r="M191">
        <v>288</v>
      </c>
      <c r="N191">
        <v>2016</v>
      </c>
      <c r="O191">
        <v>2016</v>
      </c>
      <c r="Q191" t="s">
        <v>1805</v>
      </c>
      <c r="R191" t="s">
        <v>1820</v>
      </c>
      <c r="S191" t="s">
        <v>1951</v>
      </c>
      <c r="T191" t="s">
        <v>1820</v>
      </c>
      <c r="X191">
        <v>0</v>
      </c>
      <c r="AA191">
        <v>0</v>
      </c>
    </row>
    <row r="192" spans="1:27">
      <c r="A192" s="1">
        <v>190</v>
      </c>
      <c r="B192">
        <v>1769709</v>
      </c>
      <c r="C192" t="s">
        <v>221</v>
      </c>
      <c r="D192" t="s">
        <v>679</v>
      </c>
      <c r="E192" t="s">
        <v>1055</v>
      </c>
      <c r="G192">
        <f>"1565843584"</f>
        <v>0</v>
      </c>
      <c r="H192">
        <f>"9781565843585"</f>
        <v>0</v>
      </c>
      <c r="I192">
        <v>0</v>
      </c>
      <c r="J192">
        <v>3.84</v>
      </c>
      <c r="K192" t="s">
        <v>1566</v>
      </c>
      <c r="L192" t="s">
        <v>1705</v>
      </c>
      <c r="M192">
        <v>978</v>
      </c>
      <c r="N192">
        <v>1997</v>
      </c>
      <c r="O192">
        <v>1947</v>
      </c>
      <c r="Q192" t="s">
        <v>1806</v>
      </c>
      <c r="R192" t="s">
        <v>1820</v>
      </c>
      <c r="S192" t="s">
        <v>1952</v>
      </c>
      <c r="T192" t="s">
        <v>1820</v>
      </c>
      <c r="X192">
        <v>0</v>
      </c>
      <c r="AA192">
        <v>0</v>
      </c>
    </row>
    <row r="193" spans="1:27">
      <c r="A193" s="1">
        <v>191</v>
      </c>
      <c r="B193">
        <v>849480</v>
      </c>
      <c r="C193" t="s">
        <v>222</v>
      </c>
      <c r="D193" t="s">
        <v>679</v>
      </c>
      <c r="E193" t="s">
        <v>1055</v>
      </c>
      <c r="G193">
        <f>"0060116889"</f>
        <v>0</v>
      </c>
      <c r="H193">
        <f>"9780060116880"</f>
        <v>0</v>
      </c>
      <c r="I193">
        <v>0</v>
      </c>
      <c r="J193">
        <v>3.87</v>
      </c>
      <c r="K193" t="s">
        <v>1567</v>
      </c>
      <c r="L193" t="s">
        <v>1707</v>
      </c>
      <c r="M193">
        <v>610</v>
      </c>
      <c r="N193">
        <v>1967</v>
      </c>
      <c r="O193">
        <v>1967</v>
      </c>
      <c r="Q193" t="s">
        <v>1806</v>
      </c>
      <c r="R193" t="s">
        <v>1820</v>
      </c>
      <c r="S193" t="s">
        <v>1953</v>
      </c>
      <c r="T193" t="s">
        <v>1820</v>
      </c>
      <c r="X193">
        <v>0</v>
      </c>
      <c r="AA193">
        <v>0</v>
      </c>
    </row>
    <row r="194" spans="1:27">
      <c r="A194" s="1">
        <v>192</v>
      </c>
      <c r="B194">
        <v>2968922</v>
      </c>
      <c r="C194" t="s">
        <v>223</v>
      </c>
      <c r="D194" t="s">
        <v>679</v>
      </c>
      <c r="E194" t="s">
        <v>1055</v>
      </c>
      <c r="G194">
        <f>"0836981979"</f>
        <v>0</v>
      </c>
      <c r="H194">
        <f>"9780836981971"</f>
        <v>0</v>
      </c>
      <c r="I194">
        <v>0</v>
      </c>
      <c r="J194">
        <v>3.69</v>
      </c>
      <c r="K194" t="s">
        <v>1568</v>
      </c>
      <c r="L194" t="s">
        <v>1707</v>
      </c>
      <c r="M194">
        <v>952</v>
      </c>
      <c r="N194">
        <v>1987</v>
      </c>
      <c r="O194">
        <v>1955</v>
      </c>
      <c r="Q194" t="s">
        <v>1806</v>
      </c>
      <c r="R194" t="s">
        <v>1820</v>
      </c>
      <c r="S194" t="s">
        <v>1954</v>
      </c>
      <c r="T194" t="s">
        <v>1820</v>
      </c>
      <c r="X194">
        <v>0</v>
      </c>
      <c r="AA194">
        <v>0</v>
      </c>
    </row>
    <row r="195" spans="1:27">
      <c r="A195" s="1">
        <v>193</v>
      </c>
      <c r="B195">
        <v>1868892</v>
      </c>
      <c r="C195" t="s">
        <v>224</v>
      </c>
      <c r="D195" t="s">
        <v>679</v>
      </c>
      <c r="E195" t="s">
        <v>1055</v>
      </c>
      <c r="G195">
        <f>""</f>
        <v>0</v>
      </c>
      <c r="H195">
        <f>""</f>
        <v>0</v>
      </c>
      <c r="I195">
        <v>0</v>
      </c>
      <c r="J195">
        <v>4</v>
      </c>
      <c r="K195" t="s">
        <v>1569</v>
      </c>
      <c r="L195" t="s">
        <v>1707</v>
      </c>
      <c r="M195">
        <v>606</v>
      </c>
      <c r="N195">
        <v>1940</v>
      </c>
      <c r="O195">
        <v>1933</v>
      </c>
      <c r="Q195" t="s">
        <v>1806</v>
      </c>
      <c r="R195" t="s">
        <v>1820</v>
      </c>
      <c r="S195" t="s">
        <v>1955</v>
      </c>
      <c r="T195" t="s">
        <v>1820</v>
      </c>
      <c r="X195">
        <v>0</v>
      </c>
      <c r="AA195">
        <v>0</v>
      </c>
    </row>
    <row r="196" spans="1:27">
      <c r="A196" s="1">
        <v>194</v>
      </c>
      <c r="B196">
        <v>2232250</v>
      </c>
      <c r="C196" t="s">
        <v>225</v>
      </c>
      <c r="D196" t="s">
        <v>679</v>
      </c>
      <c r="E196" t="s">
        <v>1055</v>
      </c>
      <c r="G196">
        <f>"1931541094"</f>
        <v>0</v>
      </c>
      <c r="H196">
        <f>"9781931541091"</f>
        <v>0</v>
      </c>
      <c r="I196">
        <v>0</v>
      </c>
      <c r="J196">
        <v>3.71</v>
      </c>
      <c r="K196" t="s">
        <v>1570</v>
      </c>
      <c r="L196" t="s">
        <v>1705</v>
      </c>
      <c r="M196">
        <v>659</v>
      </c>
      <c r="N196">
        <v>2001</v>
      </c>
      <c r="O196">
        <v>1939</v>
      </c>
      <c r="Q196" t="s">
        <v>1806</v>
      </c>
      <c r="R196" t="s">
        <v>1820</v>
      </c>
      <c r="S196" t="s">
        <v>1956</v>
      </c>
      <c r="T196" t="s">
        <v>1820</v>
      </c>
      <c r="X196">
        <v>0</v>
      </c>
      <c r="AA196">
        <v>0</v>
      </c>
    </row>
    <row r="197" spans="1:27">
      <c r="A197" s="1">
        <v>195</v>
      </c>
      <c r="B197">
        <v>5635849</v>
      </c>
      <c r="C197" t="s">
        <v>226</v>
      </c>
      <c r="D197" t="s">
        <v>680</v>
      </c>
      <c r="E197" t="s">
        <v>1056</v>
      </c>
      <c r="F197" t="s">
        <v>1339</v>
      </c>
      <c r="G197">
        <f>"0702233102"</f>
        <v>0</v>
      </c>
      <c r="H197">
        <f>"9780702233104"</f>
        <v>0</v>
      </c>
      <c r="I197">
        <v>0</v>
      </c>
      <c r="J197">
        <v>3.91</v>
      </c>
      <c r="K197" t="s">
        <v>1571</v>
      </c>
      <c r="L197" t="s">
        <v>1705</v>
      </c>
      <c r="M197">
        <v>186</v>
      </c>
      <c r="N197">
        <v>2002</v>
      </c>
      <c r="O197">
        <v>1958</v>
      </c>
      <c r="Q197" t="s">
        <v>1807</v>
      </c>
      <c r="R197" t="s">
        <v>1820</v>
      </c>
      <c r="S197" t="s">
        <v>1957</v>
      </c>
      <c r="T197" t="s">
        <v>1820</v>
      </c>
      <c r="X197">
        <v>0</v>
      </c>
      <c r="AA197">
        <v>0</v>
      </c>
    </row>
    <row r="198" spans="1:27">
      <c r="A198" s="1">
        <v>196</v>
      </c>
      <c r="B198">
        <v>544053</v>
      </c>
      <c r="C198" t="s">
        <v>227</v>
      </c>
      <c r="D198" t="s">
        <v>681</v>
      </c>
      <c r="E198" t="s">
        <v>1057</v>
      </c>
      <c r="G198">
        <f>"0156180359"</f>
        <v>0</v>
      </c>
      <c r="H198">
        <f>"9780156180351"</f>
        <v>0</v>
      </c>
      <c r="I198">
        <v>0</v>
      </c>
      <c r="J198">
        <v>4.09</v>
      </c>
      <c r="K198" t="s">
        <v>1468</v>
      </c>
      <c r="L198" t="s">
        <v>1705</v>
      </c>
      <c r="M198">
        <v>784</v>
      </c>
      <c r="N198">
        <v>1968</v>
      </c>
      <c r="O198">
        <v>1961</v>
      </c>
      <c r="Q198" t="s">
        <v>1808</v>
      </c>
      <c r="R198" t="s">
        <v>1820</v>
      </c>
      <c r="S198" t="s">
        <v>1958</v>
      </c>
      <c r="T198" t="s">
        <v>1820</v>
      </c>
      <c r="X198">
        <v>0</v>
      </c>
      <c r="AA198">
        <v>0</v>
      </c>
    </row>
    <row r="199" spans="1:27">
      <c r="A199" s="1">
        <v>197</v>
      </c>
      <c r="B199">
        <v>44142112</v>
      </c>
      <c r="C199" t="s">
        <v>228</v>
      </c>
      <c r="D199" t="s">
        <v>682</v>
      </c>
      <c r="E199" t="s">
        <v>1058</v>
      </c>
      <c r="G199">
        <f>"1119564816"</f>
        <v>0</v>
      </c>
      <c r="H199">
        <f>"9781119564812"</f>
        <v>0</v>
      </c>
      <c r="I199">
        <v>0</v>
      </c>
      <c r="J199">
        <v>4.35</v>
      </c>
      <c r="K199" t="s">
        <v>1572</v>
      </c>
      <c r="L199" t="s">
        <v>1707</v>
      </c>
      <c r="M199">
        <v>256</v>
      </c>
      <c r="N199">
        <v>2019</v>
      </c>
      <c r="Q199" t="s">
        <v>1808</v>
      </c>
      <c r="R199" t="s">
        <v>1820</v>
      </c>
      <c r="S199" t="s">
        <v>1959</v>
      </c>
      <c r="T199" t="s">
        <v>1820</v>
      </c>
      <c r="X199">
        <v>0</v>
      </c>
      <c r="AA199">
        <v>0</v>
      </c>
    </row>
    <row r="200" spans="1:27">
      <c r="A200" s="1">
        <v>198</v>
      </c>
      <c r="B200">
        <v>47281</v>
      </c>
      <c r="C200" t="s">
        <v>229</v>
      </c>
      <c r="D200" t="s">
        <v>673</v>
      </c>
      <c r="E200" t="s">
        <v>1049</v>
      </c>
      <c r="G200">
        <f>"0440227534"</f>
        <v>0</v>
      </c>
      <c r="H200">
        <f>"9780440227533"</f>
        <v>0</v>
      </c>
      <c r="I200">
        <v>0</v>
      </c>
      <c r="J200">
        <v>4.15</v>
      </c>
      <c r="K200" t="s">
        <v>1559</v>
      </c>
      <c r="L200" t="s">
        <v>1706</v>
      </c>
      <c r="M200">
        <v>137</v>
      </c>
      <c r="N200">
        <v>1998</v>
      </c>
      <c r="O200">
        <v>1989</v>
      </c>
      <c r="Q200" t="s">
        <v>1809</v>
      </c>
      <c r="T200" t="s">
        <v>2097</v>
      </c>
      <c r="X200">
        <v>1</v>
      </c>
      <c r="AA200">
        <v>0</v>
      </c>
    </row>
    <row r="201" spans="1:27">
      <c r="A201" s="1">
        <v>199</v>
      </c>
      <c r="B201">
        <v>37190</v>
      </c>
      <c r="C201" t="s">
        <v>230</v>
      </c>
      <c r="D201" t="s">
        <v>683</v>
      </c>
      <c r="E201" t="s">
        <v>1059</v>
      </c>
      <c r="F201" t="s">
        <v>1340</v>
      </c>
      <c r="G201">
        <f>"0763625299"</f>
        <v>0</v>
      </c>
      <c r="H201">
        <f>"9780763625290"</f>
        <v>0</v>
      </c>
      <c r="I201">
        <v>0</v>
      </c>
      <c r="J201">
        <v>4.04</v>
      </c>
      <c r="K201" t="s">
        <v>1573</v>
      </c>
      <c r="L201" t="s">
        <v>1705</v>
      </c>
      <c r="M201">
        <v>267</v>
      </c>
      <c r="N201">
        <v>2008</v>
      </c>
      <c r="O201">
        <v>2003</v>
      </c>
      <c r="Q201" t="s">
        <v>1809</v>
      </c>
      <c r="T201" t="s">
        <v>2097</v>
      </c>
      <c r="X201">
        <v>1</v>
      </c>
      <c r="AA201">
        <v>0</v>
      </c>
    </row>
    <row r="202" spans="1:27">
      <c r="A202" s="1">
        <v>200</v>
      </c>
      <c r="B202">
        <v>307791</v>
      </c>
      <c r="C202" t="s">
        <v>231</v>
      </c>
      <c r="D202" t="s">
        <v>684</v>
      </c>
      <c r="E202" t="s">
        <v>1060</v>
      </c>
      <c r="G202">
        <f>"0375822747"</f>
        <v>0</v>
      </c>
      <c r="H202">
        <f>"9780375822742"</f>
        <v>0</v>
      </c>
      <c r="I202">
        <v>0</v>
      </c>
      <c r="J202">
        <v>3.86</v>
      </c>
      <c r="K202" t="s">
        <v>1574</v>
      </c>
      <c r="L202" t="s">
        <v>1705</v>
      </c>
      <c r="M202">
        <v>270</v>
      </c>
      <c r="N202">
        <v>2003</v>
      </c>
      <c r="O202">
        <v>2003</v>
      </c>
      <c r="Q202" t="s">
        <v>1809</v>
      </c>
      <c r="T202" t="s">
        <v>2097</v>
      </c>
      <c r="X202">
        <v>1</v>
      </c>
      <c r="AA202">
        <v>0</v>
      </c>
    </row>
    <row r="203" spans="1:27">
      <c r="A203" s="1">
        <v>201</v>
      </c>
      <c r="B203">
        <v>10264047</v>
      </c>
      <c r="C203" t="s">
        <v>232</v>
      </c>
      <c r="D203" t="s">
        <v>685</v>
      </c>
      <c r="E203" t="s">
        <v>1061</v>
      </c>
      <c r="G203">
        <f>""</f>
        <v>0</v>
      </c>
      <c r="H203">
        <f>""</f>
        <v>0</v>
      </c>
      <c r="I203">
        <v>0</v>
      </c>
      <c r="J203">
        <v>3.76</v>
      </c>
      <c r="K203" t="s">
        <v>1575</v>
      </c>
      <c r="N203">
        <v>1979</v>
      </c>
      <c r="O203">
        <v>1979</v>
      </c>
      <c r="Q203" t="s">
        <v>1810</v>
      </c>
      <c r="R203" t="s">
        <v>1820</v>
      </c>
      <c r="S203" t="s">
        <v>1960</v>
      </c>
      <c r="T203" t="s">
        <v>1820</v>
      </c>
      <c r="X203">
        <v>0</v>
      </c>
      <c r="AA203">
        <v>0</v>
      </c>
    </row>
    <row r="204" spans="1:27">
      <c r="A204" s="1">
        <v>202</v>
      </c>
      <c r="B204">
        <v>64280</v>
      </c>
      <c r="C204" t="s">
        <v>233</v>
      </c>
      <c r="D204" t="s">
        <v>686</v>
      </c>
      <c r="E204" t="s">
        <v>1062</v>
      </c>
      <c r="F204" t="s">
        <v>1341</v>
      </c>
      <c r="G204">
        <f>"0877854769"</f>
        <v>0</v>
      </c>
      <c r="H204">
        <f>"9780877854760"</f>
        <v>0</v>
      </c>
      <c r="I204">
        <v>0</v>
      </c>
      <c r="J204">
        <v>3.98</v>
      </c>
      <c r="K204" t="s">
        <v>1576</v>
      </c>
      <c r="L204" t="s">
        <v>1705</v>
      </c>
      <c r="M204">
        <v>544</v>
      </c>
      <c r="N204">
        <v>2000</v>
      </c>
      <c r="O204">
        <v>1758</v>
      </c>
      <c r="Q204" t="s">
        <v>1811</v>
      </c>
      <c r="R204" t="s">
        <v>1820</v>
      </c>
      <c r="S204" t="s">
        <v>1961</v>
      </c>
      <c r="T204" t="s">
        <v>1820</v>
      </c>
      <c r="X204">
        <v>0</v>
      </c>
      <c r="AA204">
        <v>0</v>
      </c>
    </row>
    <row r="205" spans="1:27">
      <c r="A205" s="1">
        <v>203</v>
      </c>
      <c r="B205">
        <v>11294070</v>
      </c>
      <c r="C205" t="s">
        <v>234</v>
      </c>
      <c r="D205" t="s">
        <v>687</v>
      </c>
      <c r="E205" t="s">
        <v>1063</v>
      </c>
      <c r="G205">
        <f>"1442204796"</f>
        <v>0</v>
      </c>
      <c r="H205">
        <f>"9781442204799"</f>
        <v>0</v>
      </c>
      <c r="I205">
        <v>0</v>
      </c>
      <c r="J205">
        <v>3.92</v>
      </c>
      <c r="K205" t="s">
        <v>1577</v>
      </c>
      <c r="L205" t="s">
        <v>1707</v>
      </c>
      <c r="M205">
        <v>211</v>
      </c>
      <c r="N205">
        <v>2011</v>
      </c>
      <c r="O205">
        <v>2011</v>
      </c>
      <c r="Q205" t="s">
        <v>1811</v>
      </c>
      <c r="R205" t="s">
        <v>1820</v>
      </c>
      <c r="S205" t="s">
        <v>1962</v>
      </c>
      <c r="T205" t="s">
        <v>1820</v>
      </c>
      <c r="X205">
        <v>0</v>
      </c>
      <c r="AA205">
        <v>0</v>
      </c>
    </row>
    <row r="206" spans="1:27">
      <c r="A206" s="1">
        <v>204</v>
      </c>
      <c r="B206">
        <v>18693910</v>
      </c>
      <c r="C206" t="s">
        <v>235</v>
      </c>
      <c r="D206" t="s">
        <v>688</v>
      </c>
      <c r="E206" t="s">
        <v>1064</v>
      </c>
      <c r="G206">
        <f>"1594203474"</f>
        <v>0</v>
      </c>
      <c r="H206">
        <f>"9781594203473"</f>
        <v>0</v>
      </c>
      <c r="I206">
        <v>0</v>
      </c>
      <c r="J206">
        <v>4.22</v>
      </c>
      <c r="K206" t="s">
        <v>1474</v>
      </c>
      <c r="L206" t="s">
        <v>1707</v>
      </c>
      <c r="M206">
        <v>447</v>
      </c>
      <c r="N206">
        <v>2015</v>
      </c>
      <c r="O206">
        <v>2015</v>
      </c>
      <c r="Q206" t="s">
        <v>1811</v>
      </c>
      <c r="R206" t="s">
        <v>1820</v>
      </c>
      <c r="S206" t="s">
        <v>1963</v>
      </c>
      <c r="T206" t="s">
        <v>1820</v>
      </c>
      <c r="X206">
        <v>0</v>
      </c>
      <c r="AA206">
        <v>0</v>
      </c>
    </row>
    <row r="207" spans="1:27">
      <c r="A207" s="1">
        <v>205</v>
      </c>
      <c r="B207">
        <v>91360</v>
      </c>
      <c r="C207" t="s">
        <v>236</v>
      </c>
      <c r="D207" t="s">
        <v>689</v>
      </c>
      <c r="E207" t="s">
        <v>1065</v>
      </c>
      <c r="G207">
        <f>"0452281806"</f>
        <v>0</v>
      </c>
      <c r="H207">
        <f>"9780452281806"</f>
        <v>0</v>
      </c>
      <c r="I207">
        <v>0</v>
      </c>
      <c r="J207">
        <v>3.95</v>
      </c>
      <c r="K207" t="s">
        <v>1578</v>
      </c>
      <c r="L207" t="s">
        <v>1705</v>
      </c>
      <c r="M207">
        <v>400</v>
      </c>
      <c r="N207">
        <v>2000</v>
      </c>
      <c r="O207">
        <v>1996</v>
      </c>
      <c r="Q207" t="s">
        <v>1811</v>
      </c>
      <c r="R207" t="s">
        <v>1820</v>
      </c>
      <c r="S207" t="s">
        <v>1964</v>
      </c>
      <c r="T207" t="s">
        <v>1820</v>
      </c>
      <c r="X207">
        <v>0</v>
      </c>
      <c r="AA207">
        <v>0</v>
      </c>
    </row>
    <row r="208" spans="1:27">
      <c r="A208" s="1">
        <v>206</v>
      </c>
      <c r="B208">
        <v>17125</v>
      </c>
      <c r="C208" t="s">
        <v>237</v>
      </c>
      <c r="D208" t="s">
        <v>690</v>
      </c>
      <c r="E208" t="s">
        <v>1066</v>
      </c>
      <c r="F208" t="s">
        <v>1342</v>
      </c>
      <c r="G208">
        <f>"0374529523"</f>
        <v>0</v>
      </c>
      <c r="H208">
        <f>"9780374529529"</f>
        <v>0</v>
      </c>
      <c r="I208">
        <v>5</v>
      </c>
      <c r="J208">
        <v>3.95</v>
      </c>
      <c r="K208" t="s">
        <v>1438</v>
      </c>
      <c r="L208" t="s">
        <v>1705</v>
      </c>
      <c r="M208">
        <v>182</v>
      </c>
      <c r="N208">
        <v>2005</v>
      </c>
      <c r="O208">
        <v>1962</v>
      </c>
      <c r="P208" t="s">
        <v>1748</v>
      </c>
      <c r="Q208" t="s">
        <v>1767</v>
      </c>
      <c r="T208" t="s">
        <v>2097</v>
      </c>
      <c r="U208" t="s">
        <v>2129</v>
      </c>
      <c r="X208">
        <v>1</v>
      </c>
      <c r="AA208">
        <v>0</v>
      </c>
    </row>
    <row r="209" spans="1:27">
      <c r="A209" s="1">
        <v>207</v>
      </c>
      <c r="B209">
        <v>146274</v>
      </c>
      <c r="C209" t="s">
        <v>238</v>
      </c>
      <c r="D209" t="s">
        <v>691</v>
      </c>
      <c r="E209" t="s">
        <v>1067</v>
      </c>
      <c r="G209">
        <f>"0060518502"</f>
        <v>0</v>
      </c>
      <c r="H209">
        <f>"9780060518509"</f>
        <v>0</v>
      </c>
      <c r="I209">
        <v>0</v>
      </c>
      <c r="J209">
        <v>4.13</v>
      </c>
      <c r="K209" t="s">
        <v>1517</v>
      </c>
      <c r="L209" t="s">
        <v>1705</v>
      </c>
      <c r="M209">
        <v>434</v>
      </c>
      <c r="N209">
        <v>2007</v>
      </c>
      <c r="O209">
        <v>2006</v>
      </c>
      <c r="Q209" t="s">
        <v>1812</v>
      </c>
      <c r="R209" t="s">
        <v>1820</v>
      </c>
      <c r="S209" t="s">
        <v>1965</v>
      </c>
      <c r="T209" t="s">
        <v>1820</v>
      </c>
      <c r="X209">
        <v>0</v>
      </c>
      <c r="AA209">
        <v>0</v>
      </c>
    </row>
    <row r="210" spans="1:27">
      <c r="A210" s="1">
        <v>208</v>
      </c>
      <c r="B210">
        <v>331344</v>
      </c>
      <c r="C210" t="s">
        <v>239</v>
      </c>
      <c r="D210" t="s">
        <v>692</v>
      </c>
      <c r="E210" t="s">
        <v>1068</v>
      </c>
      <c r="F210" t="s">
        <v>1343</v>
      </c>
      <c r="G210">
        <f>"0938077007"</f>
        <v>0</v>
      </c>
      <c r="H210">
        <f>"9780938077008"</f>
        <v>0</v>
      </c>
      <c r="I210">
        <v>2</v>
      </c>
      <c r="J210">
        <v>4.35</v>
      </c>
      <c r="K210" t="s">
        <v>1579</v>
      </c>
      <c r="L210" t="s">
        <v>1705</v>
      </c>
      <c r="M210">
        <v>115</v>
      </c>
      <c r="N210">
        <v>1988</v>
      </c>
      <c r="O210">
        <v>1987</v>
      </c>
      <c r="Q210" t="s">
        <v>1773</v>
      </c>
      <c r="T210" t="s">
        <v>2097</v>
      </c>
      <c r="X210">
        <v>1</v>
      </c>
      <c r="AA210">
        <v>0</v>
      </c>
    </row>
    <row r="211" spans="1:27">
      <c r="A211" s="1">
        <v>209</v>
      </c>
      <c r="B211">
        <v>10975</v>
      </c>
      <c r="C211" t="s">
        <v>240</v>
      </c>
      <c r="D211" t="s">
        <v>693</v>
      </c>
      <c r="E211" t="s">
        <v>1069</v>
      </c>
      <c r="G211">
        <f>""</f>
        <v>0</v>
      </c>
      <c r="H211">
        <f>""</f>
        <v>0</v>
      </c>
      <c r="I211">
        <v>3</v>
      </c>
      <c r="J211">
        <v>3.86</v>
      </c>
      <c r="K211" t="s">
        <v>1580</v>
      </c>
      <c r="L211" t="s">
        <v>1705</v>
      </c>
      <c r="M211">
        <v>366</v>
      </c>
      <c r="N211">
        <v>1990</v>
      </c>
      <c r="O211">
        <v>1929</v>
      </c>
      <c r="Q211" t="s">
        <v>1773</v>
      </c>
      <c r="T211" t="s">
        <v>2097</v>
      </c>
      <c r="X211">
        <v>1</v>
      </c>
      <c r="AA211">
        <v>0</v>
      </c>
    </row>
    <row r="212" spans="1:27">
      <c r="A212" s="1">
        <v>210</v>
      </c>
      <c r="B212">
        <v>5129</v>
      </c>
      <c r="C212" t="s">
        <v>241</v>
      </c>
      <c r="D212" t="s">
        <v>694</v>
      </c>
      <c r="E212" t="s">
        <v>1070</v>
      </c>
      <c r="G212">
        <f>"0060929871"</f>
        <v>0</v>
      </c>
      <c r="H212">
        <f>"9780060929879"</f>
        <v>0</v>
      </c>
      <c r="I212">
        <v>4</v>
      </c>
      <c r="J212">
        <v>3.99</v>
      </c>
      <c r="K212" t="s">
        <v>1581</v>
      </c>
      <c r="L212" t="s">
        <v>1705</v>
      </c>
      <c r="M212">
        <v>288</v>
      </c>
      <c r="N212">
        <v>1998</v>
      </c>
      <c r="O212">
        <v>1932</v>
      </c>
      <c r="Q212" t="s">
        <v>1813</v>
      </c>
      <c r="T212" t="s">
        <v>2097</v>
      </c>
      <c r="X212">
        <v>1</v>
      </c>
      <c r="AA212">
        <v>0</v>
      </c>
    </row>
    <row r="213" spans="1:27">
      <c r="A213" s="1">
        <v>211</v>
      </c>
      <c r="B213">
        <v>711901</v>
      </c>
      <c r="C213" t="s">
        <v>242</v>
      </c>
      <c r="D213" t="s">
        <v>695</v>
      </c>
      <c r="E213" t="s">
        <v>1071</v>
      </c>
      <c r="F213" t="s">
        <v>1344</v>
      </c>
      <c r="G213">
        <f>"0316067598"</f>
        <v>0</v>
      </c>
      <c r="H213">
        <f>"9780316067591"</f>
        <v>0</v>
      </c>
      <c r="I213">
        <v>3</v>
      </c>
      <c r="J213">
        <v>4.35</v>
      </c>
      <c r="K213" t="s">
        <v>1562</v>
      </c>
      <c r="L213" t="s">
        <v>1707</v>
      </c>
      <c r="M213">
        <v>390</v>
      </c>
      <c r="N213">
        <v>2007</v>
      </c>
      <c r="O213">
        <v>2006</v>
      </c>
      <c r="Q213" t="s">
        <v>1773</v>
      </c>
      <c r="T213" t="s">
        <v>2097</v>
      </c>
      <c r="X213">
        <v>1</v>
      </c>
      <c r="AA213">
        <v>0</v>
      </c>
    </row>
    <row r="214" spans="1:27">
      <c r="A214" s="1">
        <v>212</v>
      </c>
      <c r="B214">
        <v>22034</v>
      </c>
      <c r="C214" t="s">
        <v>243</v>
      </c>
      <c r="D214" t="s">
        <v>696</v>
      </c>
      <c r="E214" t="s">
        <v>1072</v>
      </c>
      <c r="F214" t="s">
        <v>1345</v>
      </c>
      <c r="G214">
        <f>""</f>
        <v>0</v>
      </c>
      <c r="H214">
        <f>""</f>
        <v>0</v>
      </c>
      <c r="I214">
        <v>5</v>
      </c>
      <c r="J214">
        <v>4.37</v>
      </c>
      <c r="K214" t="s">
        <v>1582</v>
      </c>
      <c r="L214" t="s">
        <v>1705</v>
      </c>
      <c r="M214">
        <v>448</v>
      </c>
      <c r="N214">
        <v>2002</v>
      </c>
      <c r="O214">
        <v>1969</v>
      </c>
      <c r="Q214" t="s">
        <v>1773</v>
      </c>
      <c r="T214" t="s">
        <v>2097</v>
      </c>
      <c r="X214">
        <v>1</v>
      </c>
      <c r="AA214">
        <v>0</v>
      </c>
    </row>
    <row r="215" spans="1:27">
      <c r="A215" s="1">
        <v>213</v>
      </c>
      <c r="B215">
        <v>12067799</v>
      </c>
      <c r="C215" t="s">
        <v>244</v>
      </c>
      <c r="D215" t="s">
        <v>697</v>
      </c>
      <c r="E215" t="s">
        <v>1073</v>
      </c>
      <c r="G215">
        <f>"019976641X"</f>
        <v>0</v>
      </c>
      <c r="H215">
        <f>"9780199766413"</f>
        <v>0</v>
      </c>
      <c r="I215">
        <v>4</v>
      </c>
      <c r="J215">
        <v>3.58</v>
      </c>
      <c r="K215" t="s">
        <v>1530</v>
      </c>
      <c r="L215" t="s">
        <v>1707</v>
      </c>
      <c r="M215">
        <v>267</v>
      </c>
      <c r="N215">
        <v>2011</v>
      </c>
      <c r="O215">
        <v>2011</v>
      </c>
      <c r="Q215" t="s">
        <v>1773</v>
      </c>
      <c r="T215" t="s">
        <v>2097</v>
      </c>
      <c r="X215">
        <v>1</v>
      </c>
      <c r="AA215">
        <v>0</v>
      </c>
    </row>
    <row r="216" spans="1:27">
      <c r="A216" s="1">
        <v>214</v>
      </c>
      <c r="B216">
        <v>13030270</v>
      </c>
      <c r="C216" t="s">
        <v>245</v>
      </c>
      <c r="D216" t="s">
        <v>698</v>
      </c>
      <c r="E216" t="s">
        <v>1074</v>
      </c>
      <c r="G216">
        <f>""</f>
        <v>0</v>
      </c>
      <c r="H216">
        <f>""</f>
        <v>0</v>
      </c>
      <c r="I216">
        <v>4</v>
      </c>
      <c r="J216">
        <v>4.02</v>
      </c>
      <c r="K216" t="s">
        <v>1583</v>
      </c>
      <c r="L216" t="s">
        <v>1705</v>
      </c>
      <c r="M216">
        <v>199</v>
      </c>
      <c r="N216">
        <v>2011</v>
      </c>
      <c r="O216">
        <v>2011</v>
      </c>
      <c r="Q216" t="s">
        <v>1773</v>
      </c>
      <c r="T216" t="s">
        <v>2097</v>
      </c>
      <c r="X216">
        <v>1</v>
      </c>
      <c r="AA216">
        <v>0</v>
      </c>
    </row>
    <row r="217" spans="1:27">
      <c r="A217" s="1">
        <v>215</v>
      </c>
      <c r="B217">
        <v>2956</v>
      </c>
      <c r="C217" t="s">
        <v>246</v>
      </c>
      <c r="D217" t="s">
        <v>608</v>
      </c>
      <c r="E217" t="s">
        <v>984</v>
      </c>
      <c r="F217" t="s">
        <v>1346</v>
      </c>
      <c r="G217">
        <f>"0142437174"</f>
        <v>0</v>
      </c>
      <c r="H217">
        <f>"9780142437179"</f>
        <v>0</v>
      </c>
      <c r="I217">
        <v>4</v>
      </c>
      <c r="J217">
        <v>3.82</v>
      </c>
      <c r="K217" t="s">
        <v>1449</v>
      </c>
      <c r="L217" t="s">
        <v>1705</v>
      </c>
      <c r="M217">
        <v>327</v>
      </c>
      <c r="N217">
        <v>2002</v>
      </c>
      <c r="O217">
        <v>1884</v>
      </c>
      <c r="Q217" t="s">
        <v>1773</v>
      </c>
      <c r="T217" t="s">
        <v>2097</v>
      </c>
      <c r="X217">
        <v>1</v>
      </c>
      <c r="AA217">
        <v>0</v>
      </c>
    </row>
    <row r="218" spans="1:27">
      <c r="A218" s="1">
        <v>216</v>
      </c>
      <c r="B218">
        <v>40604658</v>
      </c>
      <c r="C218" t="s">
        <v>247</v>
      </c>
      <c r="D218" t="s">
        <v>699</v>
      </c>
      <c r="E218" t="s">
        <v>1075</v>
      </c>
      <c r="G218">
        <f>""</f>
        <v>0</v>
      </c>
      <c r="H218">
        <f>""</f>
        <v>0</v>
      </c>
      <c r="I218">
        <v>4</v>
      </c>
      <c r="J218">
        <v>4.03</v>
      </c>
      <c r="K218" t="s">
        <v>1475</v>
      </c>
      <c r="L218" t="s">
        <v>1708</v>
      </c>
      <c r="M218">
        <v>466</v>
      </c>
      <c r="N218">
        <v>2012</v>
      </c>
      <c r="O218">
        <v>1990</v>
      </c>
      <c r="Q218" t="s">
        <v>1773</v>
      </c>
      <c r="T218" t="s">
        <v>2097</v>
      </c>
      <c r="X218">
        <v>1</v>
      </c>
      <c r="AA218">
        <v>0</v>
      </c>
    </row>
    <row r="219" spans="1:27">
      <c r="A219" s="1">
        <v>217</v>
      </c>
      <c r="B219">
        <v>8650</v>
      </c>
      <c r="C219" t="s">
        <v>248</v>
      </c>
      <c r="D219" t="s">
        <v>699</v>
      </c>
      <c r="E219" t="s">
        <v>1075</v>
      </c>
      <c r="G219">
        <f>"0752224417"</f>
        <v>0</v>
      </c>
      <c r="H219">
        <f>"9780752224411"</f>
        <v>0</v>
      </c>
      <c r="I219">
        <v>4</v>
      </c>
      <c r="J219">
        <v>3.78</v>
      </c>
      <c r="K219" t="s">
        <v>1584</v>
      </c>
      <c r="L219" t="s">
        <v>1706</v>
      </c>
      <c r="M219">
        <v>448</v>
      </c>
      <c r="N219">
        <v>1995</v>
      </c>
      <c r="O219">
        <v>1995</v>
      </c>
      <c r="Q219" t="s">
        <v>1773</v>
      </c>
      <c r="T219" t="s">
        <v>2097</v>
      </c>
      <c r="X219">
        <v>1</v>
      </c>
      <c r="AA219">
        <v>0</v>
      </c>
    </row>
    <row r="220" spans="1:27">
      <c r="A220" s="1">
        <v>218</v>
      </c>
      <c r="B220">
        <v>229281</v>
      </c>
      <c r="C220" t="s">
        <v>249</v>
      </c>
      <c r="D220" t="s">
        <v>700</v>
      </c>
      <c r="E220" t="s">
        <v>1076</v>
      </c>
      <c r="G220">
        <f>"0486296725"</f>
        <v>0</v>
      </c>
      <c r="H220">
        <f>"9780486296722"</f>
        <v>0</v>
      </c>
      <c r="I220">
        <v>2</v>
      </c>
      <c r="J220">
        <v>3.57</v>
      </c>
      <c r="K220" t="s">
        <v>1439</v>
      </c>
      <c r="L220" t="s">
        <v>1705</v>
      </c>
      <c r="M220">
        <v>288</v>
      </c>
      <c r="N220">
        <v>1997</v>
      </c>
      <c r="O220">
        <v>1970</v>
      </c>
      <c r="Q220" t="s">
        <v>1773</v>
      </c>
      <c r="T220" t="s">
        <v>2097</v>
      </c>
      <c r="X220">
        <v>1</v>
      </c>
      <c r="AA220">
        <v>0</v>
      </c>
    </row>
    <row r="221" spans="1:27">
      <c r="A221" s="1">
        <v>219</v>
      </c>
      <c r="B221">
        <v>36064445</v>
      </c>
      <c r="C221" t="s">
        <v>250</v>
      </c>
      <c r="D221" t="s">
        <v>701</v>
      </c>
      <c r="E221" t="s">
        <v>1077</v>
      </c>
      <c r="G221">
        <f>"0241300657"</f>
        <v>0</v>
      </c>
      <c r="H221">
        <f>"9780241300657"</f>
        <v>0</v>
      </c>
      <c r="I221">
        <v>5</v>
      </c>
      <c r="J221">
        <v>3.86</v>
      </c>
      <c r="K221" t="s">
        <v>1585</v>
      </c>
      <c r="L221" t="s">
        <v>1705</v>
      </c>
      <c r="M221">
        <v>272</v>
      </c>
      <c r="N221">
        <v>2018</v>
      </c>
      <c r="O221">
        <v>2018</v>
      </c>
      <c r="Q221" t="s">
        <v>1773</v>
      </c>
      <c r="T221" t="s">
        <v>2097</v>
      </c>
      <c r="X221">
        <v>1</v>
      </c>
      <c r="AA221">
        <v>0</v>
      </c>
    </row>
    <row r="222" spans="1:27">
      <c r="A222" s="1">
        <v>220</v>
      </c>
      <c r="B222">
        <v>4778436</v>
      </c>
      <c r="C222" t="s">
        <v>251</v>
      </c>
      <c r="D222" t="s">
        <v>702</v>
      </c>
      <c r="E222" t="s">
        <v>1078</v>
      </c>
      <c r="G222">
        <f>"0618858679"</f>
        <v>0</v>
      </c>
      <c r="H222">
        <f>"9780618858675"</f>
        <v>0</v>
      </c>
      <c r="I222">
        <v>4</v>
      </c>
      <c r="J222">
        <v>4.21</v>
      </c>
      <c r="K222" t="s">
        <v>1586</v>
      </c>
      <c r="L222" t="s">
        <v>1707</v>
      </c>
      <c r="M222">
        <v>390</v>
      </c>
      <c r="N222">
        <v>2009</v>
      </c>
      <c r="O222">
        <v>2009</v>
      </c>
      <c r="Q222" t="s">
        <v>1773</v>
      </c>
      <c r="T222" t="s">
        <v>2097</v>
      </c>
      <c r="X222">
        <v>1</v>
      </c>
      <c r="AA222">
        <v>0</v>
      </c>
    </row>
    <row r="223" spans="1:27">
      <c r="A223" s="1">
        <v>221</v>
      </c>
      <c r="B223">
        <v>28381</v>
      </c>
      <c r="C223" t="s">
        <v>252</v>
      </c>
      <c r="D223" t="s">
        <v>703</v>
      </c>
      <c r="E223" t="s">
        <v>1079</v>
      </c>
      <c r="F223" t="s">
        <v>1347</v>
      </c>
      <c r="G223">
        <f>"0140448071"</f>
        <v>0</v>
      </c>
      <c r="H223">
        <f>"9780140448078"</f>
        <v>0</v>
      </c>
      <c r="I223">
        <v>3</v>
      </c>
      <c r="J223">
        <v>3.99</v>
      </c>
      <c r="K223" t="s">
        <v>1449</v>
      </c>
      <c r="L223" t="s">
        <v>1705</v>
      </c>
      <c r="M223">
        <v>464</v>
      </c>
      <c r="N223">
        <v>2004</v>
      </c>
      <c r="O223">
        <v>1842</v>
      </c>
      <c r="Q223" t="s">
        <v>1773</v>
      </c>
      <c r="T223" t="s">
        <v>2097</v>
      </c>
      <c r="X223">
        <v>1</v>
      </c>
      <c r="AA223">
        <v>0</v>
      </c>
    </row>
    <row r="224" spans="1:27">
      <c r="A224" s="1">
        <v>222</v>
      </c>
      <c r="B224">
        <v>253984</v>
      </c>
      <c r="C224" t="s">
        <v>253</v>
      </c>
      <c r="D224" t="s">
        <v>592</v>
      </c>
      <c r="E224" t="s">
        <v>968</v>
      </c>
      <c r="F224" t="s">
        <v>1307</v>
      </c>
      <c r="G224">
        <f>"1590171659"</f>
        <v>0</v>
      </c>
      <c r="H224">
        <f>"9781590171653"</f>
        <v>0</v>
      </c>
      <c r="I224">
        <v>3</v>
      </c>
      <c r="J224">
        <v>4.06</v>
      </c>
      <c r="K224" t="s">
        <v>1491</v>
      </c>
      <c r="L224" t="s">
        <v>1705</v>
      </c>
      <c r="M224">
        <v>321</v>
      </c>
      <c r="N224">
        <v>2005</v>
      </c>
      <c r="O224">
        <v>1977</v>
      </c>
      <c r="Q224" t="s">
        <v>1773</v>
      </c>
      <c r="T224" t="s">
        <v>2097</v>
      </c>
      <c r="X224">
        <v>1</v>
      </c>
      <c r="AA224">
        <v>0</v>
      </c>
    </row>
    <row r="225" spans="1:27">
      <c r="A225" s="1">
        <v>223</v>
      </c>
      <c r="B225">
        <v>39644250</v>
      </c>
      <c r="C225" t="s">
        <v>254</v>
      </c>
      <c r="D225" t="s">
        <v>704</v>
      </c>
      <c r="E225" t="s">
        <v>1080</v>
      </c>
      <c r="G225">
        <f>"0262535955"</f>
        <v>0</v>
      </c>
      <c r="H225">
        <f>"9780262535953"</f>
        <v>0</v>
      </c>
      <c r="I225">
        <v>3</v>
      </c>
      <c r="J225">
        <v>3.75</v>
      </c>
      <c r="K225" t="s">
        <v>1587</v>
      </c>
      <c r="L225" t="s">
        <v>1705</v>
      </c>
      <c r="M225">
        <v>232</v>
      </c>
      <c r="N225">
        <v>2018</v>
      </c>
      <c r="Q225" t="s">
        <v>1773</v>
      </c>
      <c r="T225" t="s">
        <v>2097</v>
      </c>
      <c r="X225">
        <v>1</v>
      </c>
      <c r="AA225">
        <v>0</v>
      </c>
    </row>
    <row r="226" spans="1:27">
      <c r="A226" s="1">
        <v>224</v>
      </c>
      <c r="B226">
        <v>7713461</v>
      </c>
      <c r="C226" t="s">
        <v>255</v>
      </c>
      <c r="D226" t="s">
        <v>705</v>
      </c>
      <c r="E226" t="s">
        <v>1081</v>
      </c>
      <c r="G226">
        <f>"143918903X"</f>
        <v>0</v>
      </c>
      <c r="H226">
        <f>"9781439189030"</f>
        <v>0</v>
      </c>
      <c r="I226">
        <v>3</v>
      </c>
      <c r="J226">
        <v>4.15</v>
      </c>
      <c r="K226" t="s">
        <v>1588</v>
      </c>
      <c r="L226" t="s">
        <v>1707</v>
      </c>
      <c r="M226">
        <v>352</v>
      </c>
      <c r="N226">
        <v>2010</v>
      </c>
      <c r="O226">
        <v>2010</v>
      </c>
      <c r="Q226" t="s">
        <v>1773</v>
      </c>
      <c r="T226" t="s">
        <v>2097</v>
      </c>
      <c r="X226">
        <v>1</v>
      </c>
      <c r="AA226">
        <v>0</v>
      </c>
    </row>
    <row r="227" spans="1:27">
      <c r="A227" s="1">
        <v>225</v>
      </c>
      <c r="B227">
        <v>21192565</v>
      </c>
      <c r="C227" t="s">
        <v>256</v>
      </c>
      <c r="D227" t="s">
        <v>706</v>
      </c>
      <c r="E227" t="s">
        <v>1082</v>
      </c>
      <c r="G227">
        <f>""</f>
        <v>0</v>
      </c>
      <c r="H227">
        <f>""</f>
        <v>0</v>
      </c>
      <c r="I227">
        <v>3</v>
      </c>
      <c r="J227">
        <v>4.33</v>
      </c>
      <c r="K227" t="s">
        <v>1589</v>
      </c>
      <c r="L227" t="s">
        <v>1708</v>
      </c>
      <c r="M227">
        <v>208</v>
      </c>
      <c r="N227">
        <v>2014</v>
      </c>
      <c r="O227">
        <v>2014</v>
      </c>
      <c r="Q227" t="s">
        <v>1773</v>
      </c>
      <c r="T227" t="s">
        <v>2097</v>
      </c>
      <c r="X227">
        <v>1</v>
      </c>
      <c r="AA227">
        <v>0</v>
      </c>
    </row>
    <row r="228" spans="1:27">
      <c r="A228" s="1">
        <v>226</v>
      </c>
      <c r="B228">
        <v>295</v>
      </c>
      <c r="C228" t="s">
        <v>257</v>
      </c>
      <c r="D228" t="s">
        <v>707</v>
      </c>
      <c r="E228" t="s">
        <v>1083</v>
      </c>
      <c r="G228">
        <f>"0753453800"</f>
        <v>0</v>
      </c>
      <c r="H228">
        <f>"9780753453803"</f>
        <v>0</v>
      </c>
      <c r="I228">
        <v>5</v>
      </c>
      <c r="J228">
        <v>3.83</v>
      </c>
      <c r="K228" t="s">
        <v>1590</v>
      </c>
      <c r="L228" t="s">
        <v>1707</v>
      </c>
      <c r="M228">
        <v>311</v>
      </c>
      <c r="N228">
        <v>2001</v>
      </c>
      <c r="O228">
        <v>1883</v>
      </c>
      <c r="Q228" t="s">
        <v>1773</v>
      </c>
      <c r="T228" t="s">
        <v>2097</v>
      </c>
      <c r="X228">
        <v>1</v>
      </c>
      <c r="AA228">
        <v>0</v>
      </c>
    </row>
    <row r="229" spans="1:27">
      <c r="A229" s="1">
        <v>227</v>
      </c>
      <c r="B229">
        <v>9526993</v>
      </c>
      <c r="C229" t="s">
        <v>258</v>
      </c>
      <c r="D229" t="s">
        <v>708</v>
      </c>
      <c r="E229" t="s">
        <v>1084</v>
      </c>
      <c r="G229">
        <f>""</f>
        <v>0</v>
      </c>
      <c r="H229">
        <f>""</f>
        <v>0</v>
      </c>
      <c r="I229">
        <v>4</v>
      </c>
      <c r="J229">
        <v>3.99</v>
      </c>
      <c r="L229" t="s">
        <v>1708</v>
      </c>
      <c r="M229">
        <v>450</v>
      </c>
      <c r="O229">
        <v>1999</v>
      </c>
      <c r="Q229" t="s">
        <v>1773</v>
      </c>
      <c r="T229" t="s">
        <v>2097</v>
      </c>
      <c r="X229">
        <v>1</v>
      </c>
      <c r="AA229">
        <v>0</v>
      </c>
    </row>
    <row r="230" spans="1:27">
      <c r="A230" s="1">
        <v>228</v>
      </c>
      <c r="B230">
        <v>1530924</v>
      </c>
      <c r="C230" t="s">
        <v>259</v>
      </c>
      <c r="D230" t="s">
        <v>709</v>
      </c>
      <c r="E230" t="s">
        <v>1085</v>
      </c>
      <c r="G230">
        <f>"0940149451"</f>
        <v>0</v>
      </c>
      <c r="H230">
        <f>"9780940149458"</f>
        <v>0</v>
      </c>
      <c r="I230">
        <v>4</v>
      </c>
      <c r="J230">
        <v>3.83</v>
      </c>
      <c r="K230" t="s">
        <v>1591</v>
      </c>
      <c r="L230" t="s">
        <v>1714</v>
      </c>
      <c r="M230">
        <v>213</v>
      </c>
      <c r="N230">
        <v>2003</v>
      </c>
      <c r="O230">
        <v>1987</v>
      </c>
      <c r="Q230" t="s">
        <v>1773</v>
      </c>
      <c r="T230" t="s">
        <v>2097</v>
      </c>
      <c r="X230">
        <v>1</v>
      </c>
      <c r="AA230">
        <v>0</v>
      </c>
    </row>
    <row r="231" spans="1:27">
      <c r="A231" s="1">
        <v>229</v>
      </c>
      <c r="B231">
        <v>1724560</v>
      </c>
      <c r="C231" t="s">
        <v>260</v>
      </c>
      <c r="D231" t="s">
        <v>710</v>
      </c>
      <c r="E231" t="s">
        <v>1086</v>
      </c>
      <c r="G231">
        <f>"0300126255"</f>
        <v>0</v>
      </c>
      <c r="H231">
        <f>"9780300126259"</f>
        <v>0</v>
      </c>
      <c r="I231">
        <v>5</v>
      </c>
      <c r="J231">
        <v>4.06</v>
      </c>
      <c r="K231" t="s">
        <v>1592</v>
      </c>
      <c r="L231" t="s">
        <v>1707</v>
      </c>
      <c r="M231">
        <v>608</v>
      </c>
      <c r="N231">
        <v>2007</v>
      </c>
      <c r="O231">
        <v>2007</v>
      </c>
      <c r="Q231" t="s">
        <v>1773</v>
      </c>
      <c r="T231" t="s">
        <v>2097</v>
      </c>
      <c r="X231">
        <v>1</v>
      </c>
      <c r="AA231">
        <v>0</v>
      </c>
    </row>
    <row r="232" spans="1:27">
      <c r="A232" s="1">
        <v>230</v>
      </c>
      <c r="B232">
        <v>32669</v>
      </c>
      <c r="C232" t="s">
        <v>261</v>
      </c>
      <c r="D232" t="s">
        <v>711</v>
      </c>
      <c r="E232" t="s">
        <v>1087</v>
      </c>
      <c r="G232">
        <f>"0425144372"</f>
        <v>0</v>
      </c>
      <c r="H232">
        <f>"9780425144374"</f>
        <v>0</v>
      </c>
      <c r="I232">
        <v>4</v>
      </c>
      <c r="J232">
        <v>4.11</v>
      </c>
      <c r="K232" t="s">
        <v>1593</v>
      </c>
      <c r="L232" t="s">
        <v>1706</v>
      </c>
      <c r="M232">
        <v>688</v>
      </c>
      <c r="N232">
        <v>1994</v>
      </c>
      <c r="O232">
        <v>1989</v>
      </c>
      <c r="Q232" t="s">
        <v>1773</v>
      </c>
      <c r="T232" t="s">
        <v>2097</v>
      </c>
      <c r="X232">
        <v>1</v>
      </c>
      <c r="AA232">
        <v>0</v>
      </c>
    </row>
    <row r="233" spans="1:27">
      <c r="A233" s="1">
        <v>231</v>
      </c>
      <c r="B233">
        <v>19670</v>
      </c>
      <c r="C233" t="s">
        <v>262</v>
      </c>
      <c r="D233" t="s">
        <v>711</v>
      </c>
      <c r="E233" t="s">
        <v>1087</v>
      </c>
      <c r="G233">
        <f>"0425147584"</f>
        <v>0</v>
      </c>
      <c r="H233">
        <f>"9780425147580"</f>
        <v>0</v>
      </c>
      <c r="I233">
        <v>4</v>
      </c>
      <c r="J233">
        <v>4.05</v>
      </c>
      <c r="K233" t="s">
        <v>1593</v>
      </c>
      <c r="L233" t="s">
        <v>1705</v>
      </c>
      <c r="M233">
        <v>990</v>
      </c>
      <c r="N233">
        <v>1995</v>
      </c>
      <c r="O233">
        <v>1994</v>
      </c>
      <c r="Q233" t="s">
        <v>1773</v>
      </c>
      <c r="T233" t="s">
        <v>2097</v>
      </c>
      <c r="X233">
        <v>1</v>
      </c>
      <c r="AA233">
        <v>0</v>
      </c>
    </row>
    <row r="234" spans="1:27">
      <c r="A234" s="1">
        <v>232</v>
      </c>
      <c r="B234">
        <v>24280</v>
      </c>
      <c r="C234" t="s">
        <v>263</v>
      </c>
      <c r="D234" t="s">
        <v>712</v>
      </c>
      <c r="E234" t="s">
        <v>1088</v>
      </c>
      <c r="F234" t="s">
        <v>1348</v>
      </c>
      <c r="G234">
        <f>""</f>
        <v>0</v>
      </c>
      <c r="H234">
        <f>""</f>
        <v>0</v>
      </c>
      <c r="I234">
        <v>4</v>
      </c>
      <c r="J234">
        <v>4.17</v>
      </c>
      <c r="K234" t="s">
        <v>1594</v>
      </c>
      <c r="L234" t="s">
        <v>1706</v>
      </c>
      <c r="M234">
        <v>1463</v>
      </c>
      <c r="N234">
        <v>1987</v>
      </c>
      <c r="O234">
        <v>1862</v>
      </c>
      <c r="Q234" t="s">
        <v>1773</v>
      </c>
      <c r="T234" t="s">
        <v>2097</v>
      </c>
      <c r="X234">
        <v>1</v>
      </c>
      <c r="AA234">
        <v>0</v>
      </c>
    </row>
    <row r="235" spans="1:27">
      <c r="A235" s="1">
        <v>233</v>
      </c>
      <c r="B235">
        <v>34684622</v>
      </c>
      <c r="C235" t="s">
        <v>264</v>
      </c>
      <c r="D235" t="s">
        <v>560</v>
      </c>
      <c r="E235" t="s">
        <v>935</v>
      </c>
      <c r="G235">
        <f>"1501139150"</f>
        <v>0</v>
      </c>
      <c r="H235">
        <f>"9781501139154"</f>
        <v>0</v>
      </c>
      <c r="I235">
        <v>3</v>
      </c>
      <c r="J235">
        <v>4.18</v>
      </c>
      <c r="K235" t="s">
        <v>1459</v>
      </c>
      <c r="L235" t="s">
        <v>1707</v>
      </c>
      <c r="M235">
        <v>600</v>
      </c>
      <c r="N235">
        <v>2017</v>
      </c>
      <c r="O235">
        <v>2017</v>
      </c>
      <c r="Q235" t="s">
        <v>1773</v>
      </c>
      <c r="T235" t="s">
        <v>2097</v>
      </c>
      <c r="X235">
        <v>1</v>
      </c>
      <c r="AA235">
        <v>0</v>
      </c>
    </row>
    <row r="236" spans="1:27">
      <c r="A236" s="1">
        <v>234</v>
      </c>
      <c r="B236">
        <v>670302</v>
      </c>
      <c r="C236" t="s">
        <v>265</v>
      </c>
      <c r="D236" t="s">
        <v>586</v>
      </c>
      <c r="E236" t="s">
        <v>961</v>
      </c>
      <c r="G236">
        <f>"0006551009"</f>
        <v>0</v>
      </c>
      <c r="H236">
        <f>"9780006551003"</f>
        <v>0</v>
      </c>
      <c r="I236">
        <v>3</v>
      </c>
      <c r="J236">
        <v>3.8</v>
      </c>
      <c r="K236" t="s">
        <v>1595</v>
      </c>
      <c r="L236" t="s">
        <v>1705</v>
      </c>
      <c r="M236">
        <v>192</v>
      </c>
      <c r="N236">
        <v>2000</v>
      </c>
      <c r="O236">
        <v>1998</v>
      </c>
      <c r="Q236" t="s">
        <v>1773</v>
      </c>
      <c r="T236" t="s">
        <v>2097</v>
      </c>
      <c r="X236">
        <v>1</v>
      </c>
      <c r="AA236">
        <v>0</v>
      </c>
    </row>
    <row r="237" spans="1:27">
      <c r="A237" s="1">
        <v>235</v>
      </c>
      <c r="B237">
        <v>22237142</v>
      </c>
      <c r="C237" t="s">
        <v>266</v>
      </c>
      <c r="D237" t="s">
        <v>713</v>
      </c>
      <c r="E237" t="s">
        <v>1089</v>
      </c>
      <c r="G237">
        <f>"0374117268"</f>
        <v>0</v>
      </c>
      <c r="H237">
        <f>"9780374117269"</f>
        <v>0</v>
      </c>
      <c r="I237">
        <v>3</v>
      </c>
      <c r="J237">
        <v>3.33</v>
      </c>
      <c r="K237" t="s">
        <v>1596</v>
      </c>
      <c r="L237" t="s">
        <v>1705</v>
      </c>
      <c r="M237">
        <v>296</v>
      </c>
      <c r="N237">
        <v>2016</v>
      </c>
      <c r="O237">
        <v>2015</v>
      </c>
      <c r="P237" t="s">
        <v>1749</v>
      </c>
      <c r="Q237" t="s">
        <v>1767</v>
      </c>
      <c r="T237" t="s">
        <v>2097</v>
      </c>
      <c r="U237" t="s">
        <v>2130</v>
      </c>
      <c r="X237">
        <v>1</v>
      </c>
      <c r="AA237">
        <v>0</v>
      </c>
    </row>
    <row r="238" spans="1:27">
      <c r="A238" s="1">
        <v>236</v>
      </c>
      <c r="B238">
        <v>815854</v>
      </c>
      <c r="C238" t="s">
        <v>267</v>
      </c>
      <c r="D238" t="s">
        <v>714</v>
      </c>
      <c r="E238" t="s">
        <v>1090</v>
      </c>
      <c r="G238">
        <f>"1557504466"</f>
        <v>0</v>
      </c>
      <c r="H238">
        <f>"9781557504463"</f>
        <v>0</v>
      </c>
      <c r="I238">
        <v>0</v>
      </c>
      <c r="J238">
        <v>4.24</v>
      </c>
      <c r="K238" t="s">
        <v>1597</v>
      </c>
      <c r="L238" t="s">
        <v>1705</v>
      </c>
      <c r="M238">
        <v>602</v>
      </c>
      <c r="N238">
        <v>2001</v>
      </c>
      <c r="O238">
        <v>1962</v>
      </c>
      <c r="Q238" t="s">
        <v>1814</v>
      </c>
      <c r="R238" t="s">
        <v>1820</v>
      </c>
      <c r="S238" t="s">
        <v>1966</v>
      </c>
      <c r="T238" t="s">
        <v>1820</v>
      </c>
      <c r="X238">
        <v>0</v>
      </c>
      <c r="AA238">
        <v>0</v>
      </c>
    </row>
    <row r="239" spans="1:27">
      <c r="A239" s="1">
        <v>237</v>
      </c>
      <c r="B239">
        <v>419510</v>
      </c>
      <c r="C239" t="s">
        <v>268</v>
      </c>
      <c r="D239" t="s">
        <v>715</v>
      </c>
      <c r="E239" t="s">
        <v>1091</v>
      </c>
      <c r="F239" t="s">
        <v>1349</v>
      </c>
      <c r="G239">
        <f>"0375760717"</f>
        <v>0</v>
      </c>
      <c r="H239">
        <f>"9780375760716"</f>
        <v>0</v>
      </c>
      <c r="I239">
        <v>0</v>
      </c>
      <c r="J239">
        <v>3.83</v>
      </c>
      <c r="K239" t="s">
        <v>1598</v>
      </c>
      <c r="L239" t="s">
        <v>1705</v>
      </c>
      <c r="M239">
        <v>384</v>
      </c>
      <c r="N239">
        <v>2005</v>
      </c>
      <c r="O239">
        <v>2004</v>
      </c>
      <c r="Q239" t="s">
        <v>1815</v>
      </c>
      <c r="R239" t="s">
        <v>1820</v>
      </c>
      <c r="S239" t="s">
        <v>1967</v>
      </c>
      <c r="T239" t="s">
        <v>1820</v>
      </c>
      <c r="X239">
        <v>0</v>
      </c>
      <c r="AA239">
        <v>0</v>
      </c>
    </row>
    <row r="240" spans="1:27">
      <c r="A240" s="1">
        <v>238</v>
      </c>
      <c r="B240">
        <v>921455</v>
      </c>
      <c r="C240" t="s">
        <v>269</v>
      </c>
      <c r="D240" t="s">
        <v>716</v>
      </c>
      <c r="E240" t="s">
        <v>1092</v>
      </c>
      <c r="G240">
        <f>"0486226824"</f>
        <v>0</v>
      </c>
      <c r="H240">
        <f>"9780486226828"</f>
        <v>0</v>
      </c>
      <c r="I240">
        <v>5</v>
      </c>
      <c r="J240">
        <v>4.12</v>
      </c>
      <c r="K240" t="s">
        <v>1439</v>
      </c>
      <c r="L240" t="s">
        <v>1705</v>
      </c>
      <c r="M240">
        <v>368</v>
      </c>
      <c r="N240">
        <v>1971</v>
      </c>
      <c r="O240">
        <v>1929</v>
      </c>
      <c r="P240" t="s">
        <v>1750</v>
      </c>
      <c r="Q240" t="s">
        <v>1767</v>
      </c>
      <c r="T240" t="s">
        <v>2097</v>
      </c>
      <c r="U240" t="s">
        <v>2131</v>
      </c>
      <c r="X240">
        <v>1</v>
      </c>
      <c r="AA240">
        <v>0</v>
      </c>
    </row>
    <row r="241" spans="1:27">
      <c r="A241" s="1">
        <v>239</v>
      </c>
      <c r="B241">
        <v>2998</v>
      </c>
      <c r="C241" t="s">
        <v>270</v>
      </c>
      <c r="D241" t="s">
        <v>717</v>
      </c>
      <c r="E241" t="s">
        <v>1093</v>
      </c>
      <c r="G241">
        <f>"0517189607"</f>
        <v>0</v>
      </c>
      <c r="H241">
        <f>"9780517189603"</f>
        <v>0</v>
      </c>
      <c r="I241">
        <v>0</v>
      </c>
      <c r="J241">
        <v>4.14</v>
      </c>
      <c r="K241" t="s">
        <v>1599</v>
      </c>
      <c r="L241" t="s">
        <v>1707</v>
      </c>
      <c r="M241">
        <v>331</v>
      </c>
      <c r="N241">
        <v>1998</v>
      </c>
      <c r="O241">
        <v>1910</v>
      </c>
      <c r="Q241" t="s">
        <v>1813</v>
      </c>
      <c r="R241" t="s">
        <v>1820</v>
      </c>
      <c r="S241" t="s">
        <v>1968</v>
      </c>
      <c r="T241" t="s">
        <v>1820</v>
      </c>
      <c r="X241">
        <v>0</v>
      </c>
      <c r="AA241">
        <v>0</v>
      </c>
    </row>
    <row r="242" spans="1:27">
      <c r="A242" s="1">
        <v>240</v>
      </c>
      <c r="B242">
        <v>33640229</v>
      </c>
      <c r="C242" t="s">
        <v>271</v>
      </c>
      <c r="D242" t="s">
        <v>718</v>
      </c>
      <c r="E242" t="s">
        <v>1094</v>
      </c>
      <c r="G242">
        <f>"0062367870"</f>
        <v>0</v>
      </c>
      <c r="H242">
        <f>"9780062367877"</f>
        <v>0</v>
      </c>
      <c r="I242">
        <v>0</v>
      </c>
      <c r="J242">
        <v>4.16</v>
      </c>
      <c r="K242" t="s">
        <v>1456</v>
      </c>
      <c r="L242" t="s">
        <v>1709</v>
      </c>
      <c r="M242">
        <v>368</v>
      </c>
      <c r="N242">
        <v>2017</v>
      </c>
      <c r="O242">
        <v>2017</v>
      </c>
      <c r="Q242" t="s">
        <v>1813</v>
      </c>
      <c r="R242" t="s">
        <v>1820</v>
      </c>
      <c r="S242" t="s">
        <v>1969</v>
      </c>
      <c r="T242" t="s">
        <v>1820</v>
      </c>
      <c r="X242">
        <v>0</v>
      </c>
      <c r="AA242">
        <v>0</v>
      </c>
    </row>
    <row r="243" spans="1:27">
      <c r="A243" s="1">
        <v>241</v>
      </c>
      <c r="B243">
        <v>10483171</v>
      </c>
      <c r="C243" t="s">
        <v>272</v>
      </c>
      <c r="D243" t="s">
        <v>719</v>
      </c>
      <c r="E243" t="s">
        <v>1095</v>
      </c>
      <c r="G243">
        <f>"0670022756"</f>
        <v>0</v>
      </c>
      <c r="H243">
        <f>"9780670022755"</f>
        <v>0</v>
      </c>
      <c r="I243">
        <v>0</v>
      </c>
      <c r="J243">
        <v>4.12</v>
      </c>
      <c r="K243" t="s">
        <v>1600</v>
      </c>
      <c r="L243" t="s">
        <v>1707</v>
      </c>
      <c r="M243">
        <v>487</v>
      </c>
      <c r="N243">
        <v>2011</v>
      </c>
      <c r="O243">
        <v>2011</v>
      </c>
      <c r="Q243" t="s">
        <v>1816</v>
      </c>
      <c r="R243" t="s">
        <v>1820</v>
      </c>
      <c r="S243" t="s">
        <v>1970</v>
      </c>
      <c r="T243" t="s">
        <v>1820</v>
      </c>
      <c r="X243">
        <v>0</v>
      </c>
      <c r="AA243">
        <v>0</v>
      </c>
    </row>
    <row r="244" spans="1:27">
      <c r="A244" s="1">
        <v>242</v>
      </c>
      <c r="B244">
        <v>1146081</v>
      </c>
      <c r="C244" t="s">
        <v>273</v>
      </c>
      <c r="D244" t="s">
        <v>720</v>
      </c>
      <c r="E244" t="s">
        <v>1096</v>
      </c>
      <c r="G244">
        <f>"0684855313"</f>
        <v>0</v>
      </c>
      <c r="H244">
        <f>"9780684855318"</f>
        <v>0</v>
      </c>
      <c r="I244">
        <v>0</v>
      </c>
      <c r="J244">
        <v>3.7</v>
      </c>
      <c r="K244" t="s">
        <v>1469</v>
      </c>
      <c r="L244" t="s">
        <v>1705</v>
      </c>
      <c r="M244">
        <v>528</v>
      </c>
      <c r="N244">
        <v>1998</v>
      </c>
      <c r="O244">
        <v>1995</v>
      </c>
      <c r="Q244" t="s">
        <v>1817</v>
      </c>
      <c r="R244" t="s">
        <v>1820</v>
      </c>
      <c r="S244" t="s">
        <v>1971</v>
      </c>
      <c r="T244" t="s">
        <v>1820</v>
      </c>
      <c r="X244">
        <v>0</v>
      </c>
      <c r="AA244">
        <v>0</v>
      </c>
    </row>
    <row r="245" spans="1:27">
      <c r="A245" s="1">
        <v>243</v>
      </c>
      <c r="B245">
        <v>39286438</v>
      </c>
      <c r="C245" t="s">
        <v>274</v>
      </c>
      <c r="D245" t="s">
        <v>721</v>
      </c>
      <c r="E245" t="s">
        <v>1097</v>
      </c>
      <c r="G245">
        <f>""</f>
        <v>0</v>
      </c>
      <c r="H245">
        <f>""</f>
        <v>0</v>
      </c>
      <c r="I245">
        <v>0</v>
      </c>
      <c r="J245">
        <v>4.28</v>
      </c>
      <c r="K245" t="s">
        <v>1601</v>
      </c>
      <c r="L245" t="s">
        <v>1708</v>
      </c>
      <c r="M245">
        <v>217</v>
      </c>
      <c r="N245">
        <v>2018</v>
      </c>
      <c r="Q245" t="s">
        <v>1817</v>
      </c>
      <c r="R245" t="s">
        <v>1820</v>
      </c>
      <c r="S245" t="s">
        <v>1972</v>
      </c>
      <c r="T245" t="s">
        <v>1820</v>
      </c>
      <c r="X245">
        <v>0</v>
      </c>
      <c r="AA245">
        <v>0</v>
      </c>
    </row>
    <row r="246" spans="1:27">
      <c r="A246" s="1">
        <v>244</v>
      </c>
      <c r="B246">
        <v>22529381</v>
      </c>
      <c r="C246" t="s">
        <v>275</v>
      </c>
      <c r="D246" t="s">
        <v>722</v>
      </c>
      <c r="E246" t="s">
        <v>1098</v>
      </c>
      <c r="G246">
        <f>"1620402505"</f>
        <v>0</v>
      </c>
      <c r="H246">
        <f>"9781620402504"</f>
        <v>0</v>
      </c>
      <c r="I246">
        <v>0</v>
      </c>
      <c r="J246">
        <v>4.25</v>
      </c>
      <c r="K246" t="s">
        <v>1602</v>
      </c>
      <c r="L246" t="s">
        <v>1707</v>
      </c>
      <c r="M246">
        <v>384</v>
      </c>
      <c r="N246">
        <v>2015</v>
      </c>
      <c r="O246">
        <v>2015</v>
      </c>
      <c r="Q246" t="s">
        <v>1817</v>
      </c>
      <c r="R246" t="s">
        <v>1820</v>
      </c>
      <c r="S246" t="s">
        <v>1973</v>
      </c>
      <c r="T246" t="s">
        <v>1820</v>
      </c>
      <c r="X246">
        <v>0</v>
      </c>
      <c r="AA246">
        <v>0</v>
      </c>
    </row>
    <row r="247" spans="1:27">
      <c r="A247" s="1">
        <v>245</v>
      </c>
      <c r="B247">
        <v>22891</v>
      </c>
      <c r="C247" t="s">
        <v>276</v>
      </c>
      <c r="D247" t="s">
        <v>723</v>
      </c>
      <c r="E247" t="s">
        <v>1099</v>
      </c>
      <c r="G247">
        <f>"0231126999"</f>
        <v>0</v>
      </c>
      <c r="H247">
        <f>"9780231126991"</f>
        <v>0</v>
      </c>
      <c r="I247">
        <v>0</v>
      </c>
      <c r="J247">
        <v>3.94</v>
      </c>
      <c r="K247" t="s">
        <v>1603</v>
      </c>
      <c r="L247" t="s">
        <v>1705</v>
      </c>
      <c r="M247">
        <v>432</v>
      </c>
      <c r="N247">
        <v>2006</v>
      </c>
      <c r="O247">
        <v>1998</v>
      </c>
      <c r="Q247" t="s">
        <v>1817</v>
      </c>
      <c r="R247" t="s">
        <v>1820</v>
      </c>
      <c r="S247" t="s">
        <v>1974</v>
      </c>
      <c r="T247" t="s">
        <v>1820</v>
      </c>
      <c r="X247">
        <v>0</v>
      </c>
      <c r="AA247">
        <v>0</v>
      </c>
    </row>
    <row r="248" spans="1:27">
      <c r="A248" s="1">
        <v>246</v>
      </c>
      <c r="B248">
        <v>11797471</v>
      </c>
      <c r="C248" t="s">
        <v>277</v>
      </c>
      <c r="D248" t="s">
        <v>724</v>
      </c>
      <c r="E248" t="s">
        <v>1100</v>
      </c>
      <c r="G248">
        <f>"1594203288"</f>
        <v>0</v>
      </c>
      <c r="H248">
        <f>"9781594203282"</f>
        <v>0</v>
      </c>
      <c r="I248">
        <v>0</v>
      </c>
      <c r="J248">
        <v>4.17</v>
      </c>
      <c r="K248" t="s">
        <v>1474</v>
      </c>
      <c r="L248" t="s">
        <v>1707</v>
      </c>
      <c r="M248">
        <v>432</v>
      </c>
      <c r="N248">
        <v>2012</v>
      </c>
      <c r="O248">
        <v>2012</v>
      </c>
      <c r="Q248" t="s">
        <v>1817</v>
      </c>
      <c r="R248" t="s">
        <v>1820</v>
      </c>
      <c r="S248" t="s">
        <v>1975</v>
      </c>
      <c r="T248" t="s">
        <v>1820</v>
      </c>
      <c r="X248">
        <v>0</v>
      </c>
      <c r="AA248">
        <v>0</v>
      </c>
    </row>
    <row r="249" spans="1:27">
      <c r="A249" s="1">
        <v>247</v>
      </c>
      <c r="B249">
        <v>60180</v>
      </c>
      <c r="C249" t="s">
        <v>278</v>
      </c>
      <c r="D249" t="s">
        <v>725</v>
      </c>
      <c r="E249" t="s">
        <v>1101</v>
      </c>
      <c r="G249">
        <f>"0316084468"</f>
        <v>0</v>
      </c>
      <c r="H249">
        <f>"9780316084468"</f>
        <v>0</v>
      </c>
      <c r="I249">
        <v>0</v>
      </c>
      <c r="J249">
        <v>4.35</v>
      </c>
      <c r="K249" t="s">
        <v>1604</v>
      </c>
      <c r="L249" t="s">
        <v>1705</v>
      </c>
      <c r="M249">
        <v>340</v>
      </c>
      <c r="N249">
        <v>1997</v>
      </c>
      <c r="O249">
        <v>1996</v>
      </c>
      <c r="Q249" t="s">
        <v>1817</v>
      </c>
      <c r="R249" t="s">
        <v>1820</v>
      </c>
      <c r="S249" t="s">
        <v>1976</v>
      </c>
      <c r="T249" t="s">
        <v>1820</v>
      </c>
      <c r="X249">
        <v>0</v>
      </c>
      <c r="AA249">
        <v>0</v>
      </c>
    </row>
    <row r="250" spans="1:27">
      <c r="A250" s="1">
        <v>248</v>
      </c>
      <c r="B250">
        <v>1282817</v>
      </c>
      <c r="C250" t="s">
        <v>279</v>
      </c>
      <c r="D250" t="s">
        <v>726</v>
      </c>
      <c r="E250" t="s">
        <v>1102</v>
      </c>
      <c r="F250" t="s">
        <v>1350</v>
      </c>
      <c r="G250">
        <f>"0906026245"</f>
        <v>0</v>
      </c>
      <c r="H250">
        <f>"9780906026243"</f>
        <v>0</v>
      </c>
      <c r="I250">
        <v>0</v>
      </c>
      <c r="J250">
        <v>4.5</v>
      </c>
      <c r="K250" t="s">
        <v>1605</v>
      </c>
      <c r="L250" t="s">
        <v>1707</v>
      </c>
      <c r="M250">
        <v>232</v>
      </c>
      <c r="N250">
        <v>2003</v>
      </c>
      <c r="O250">
        <v>1990</v>
      </c>
      <c r="Q250" t="s">
        <v>1817</v>
      </c>
      <c r="R250" t="s">
        <v>1820</v>
      </c>
      <c r="S250" t="s">
        <v>1977</v>
      </c>
      <c r="T250" t="s">
        <v>1820</v>
      </c>
      <c r="X250">
        <v>0</v>
      </c>
      <c r="AA250">
        <v>0</v>
      </c>
    </row>
    <row r="251" spans="1:27">
      <c r="A251" s="1">
        <v>249</v>
      </c>
      <c r="B251">
        <v>78895</v>
      </c>
      <c r="C251" t="s">
        <v>280</v>
      </c>
      <c r="D251" t="s">
        <v>727</v>
      </c>
      <c r="E251" t="s">
        <v>1103</v>
      </c>
      <c r="G251">
        <f>"0679762876"</f>
        <v>0</v>
      </c>
      <c r="H251">
        <f>"9780679762874"</f>
        <v>0</v>
      </c>
      <c r="I251">
        <v>0</v>
      </c>
      <c r="J251">
        <v>3.94</v>
      </c>
      <c r="K251" t="s">
        <v>1507</v>
      </c>
      <c r="L251" t="s">
        <v>1705</v>
      </c>
      <c r="M251">
        <v>288</v>
      </c>
      <c r="N251">
        <v>1995</v>
      </c>
      <c r="O251">
        <v>1980</v>
      </c>
      <c r="Q251" t="s">
        <v>1817</v>
      </c>
      <c r="R251" t="s">
        <v>1820</v>
      </c>
      <c r="S251" t="s">
        <v>1978</v>
      </c>
      <c r="T251" t="s">
        <v>1820</v>
      </c>
      <c r="X251">
        <v>0</v>
      </c>
      <c r="AA251">
        <v>0</v>
      </c>
    </row>
    <row r="252" spans="1:27">
      <c r="A252" s="1">
        <v>250</v>
      </c>
      <c r="B252">
        <v>327742</v>
      </c>
      <c r="C252" t="s">
        <v>281</v>
      </c>
      <c r="D252" t="s">
        <v>728</v>
      </c>
      <c r="E252" t="s">
        <v>1104</v>
      </c>
      <c r="G252">
        <f>"0140132716"</f>
        <v>0</v>
      </c>
      <c r="H252">
        <f>"9780140132717"</f>
        <v>0</v>
      </c>
      <c r="I252">
        <v>0</v>
      </c>
      <c r="J252">
        <v>4.43</v>
      </c>
      <c r="K252" t="s">
        <v>1606</v>
      </c>
      <c r="L252" t="s">
        <v>1705</v>
      </c>
      <c r="M252">
        <v>576</v>
      </c>
      <c r="N252">
        <v>2004</v>
      </c>
      <c r="O252">
        <v>1949</v>
      </c>
      <c r="Q252" t="s">
        <v>1817</v>
      </c>
      <c r="R252" t="s">
        <v>1820</v>
      </c>
      <c r="S252" t="s">
        <v>1979</v>
      </c>
      <c r="T252" t="s">
        <v>1820</v>
      </c>
      <c r="X252">
        <v>0</v>
      </c>
      <c r="AA252">
        <v>0</v>
      </c>
    </row>
    <row r="253" spans="1:27">
      <c r="A253" s="1">
        <v>251</v>
      </c>
      <c r="B253">
        <v>118139</v>
      </c>
      <c r="C253" t="s">
        <v>282</v>
      </c>
      <c r="D253" t="s">
        <v>729</v>
      </c>
      <c r="E253" t="s">
        <v>1105</v>
      </c>
      <c r="G253">
        <f>"0864427654"</f>
        <v>0</v>
      </c>
      <c r="H253">
        <f>"9780864427656"</f>
        <v>0</v>
      </c>
      <c r="I253">
        <v>0</v>
      </c>
      <c r="J253">
        <v>4.2</v>
      </c>
      <c r="K253" t="s">
        <v>1607</v>
      </c>
      <c r="L253" t="s">
        <v>1705</v>
      </c>
      <c r="M253">
        <v>276</v>
      </c>
      <c r="N253">
        <v>2005</v>
      </c>
      <c r="O253">
        <v>1971</v>
      </c>
      <c r="Q253" t="s">
        <v>1817</v>
      </c>
      <c r="R253" t="s">
        <v>1820</v>
      </c>
      <c r="S253" t="s">
        <v>1980</v>
      </c>
      <c r="T253" t="s">
        <v>1820</v>
      </c>
      <c r="X253">
        <v>0</v>
      </c>
      <c r="AA253">
        <v>0</v>
      </c>
    </row>
    <row r="254" spans="1:27">
      <c r="A254" s="1">
        <v>252</v>
      </c>
      <c r="B254">
        <v>116729</v>
      </c>
      <c r="C254" t="s">
        <v>283</v>
      </c>
      <c r="D254" t="s">
        <v>730</v>
      </c>
      <c r="E254" t="s">
        <v>1106</v>
      </c>
      <c r="F254" t="s">
        <v>1351</v>
      </c>
      <c r="G254">
        <f>"0688089267"</f>
        <v>0</v>
      </c>
      <c r="H254">
        <f>"9780688089269"</f>
        <v>0</v>
      </c>
      <c r="I254">
        <v>0</v>
      </c>
      <c r="J254">
        <v>4.13</v>
      </c>
      <c r="K254" t="s">
        <v>1608</v>
      </c>
      <c r="L254" t="s">
        <v>1707</v>
      </c>
      <c r="M254">
        <v>301</v>
      </c>
      <c r="N254">
        <v>1989</v>
      </c>
      <c r="O254">
        <v>1988</v>
      </c>
      <c r="Q254" t="s">
        <v>1817</v>
      </c>
      <c r="R254" t="s">
        <v>1820</v>
      </c>
      <c r="S254" t="s">
        <v>1981</v>
      </c>
      <c r="T254" t="s">
        <v>1820</v>
      </c>
      <c r="X254">
        <v>0</v>
      </c>
      <c r="AA254">
        <v>0</v>
      </c>
    </row>
    <row r="255" spans="1:27">
      <c r="A255" s="1">
        <v>253</v>
      </c>
      <c r="B255">
        <v>13687366</v>
      </c>
      <c r="C255" t="s">
        <v>284</v>
      </c>
      <c r="D255" t="s">
        <v>731</v>
      </c>
      <c r="E255" t="s">
        <v>1107</v>
      </c>
      <c r="G255">
        <f>"0195396219"</f>
        <v>0</v>
      </c>
      <c r="H255">
        <f>"9780195396218"</f>
        <v>0</v>
      </c>
      <c r="I255">
        <v>0</v>
      </c>
      <c r="J255">
        <v>3.82</v>
      </c>
      <c r="K255" t="s">
        <v>1530</v>
      </c>
      <c r="L255" t="s">
        <v>1705</v>
      </c>
      <c r="M255">
        <v>528</v>
      </c>
      <c r="N255">
        <v>2012</v>
      </c>
      <c r="O255">
        <v>1997</v>
      </c>
      <c r="Q255" t="s">
        <v>1817</v>
      </c>
      <c r="R255" t="s">
        <v>1820</v>
      </c>
      <c r="S255" t="s">
        <v>1982</v>
      </c>
      <c r="T255" t="s">
        <v>1820</v>
      </c>
      <c r="X255">
        <v>0</v>
      </c>
      <c r="AA255">
        <v>0</v>
      </c>
    </row>
    <row r="256" spans="1:27">
      <c r="A256" s="1">
        <v>254</v>
      </c>
      <c r="B256">
        <v>34225896</v>
      </c>
      <c r="C256" t="s">
        <v>285</v>
      </c>
      <c r="D256" t="s">
        <v>732</v>
      </c>
      <c r="E256" t="s">
        <v>1108</v>
      </c>
      <c r="G256">
        <f>""</f>
        <v>0</v>
      </c>
      <c r="H256">
        <f>""</f>
        <v>0</v>
      </c>
      <c r="I256">
        <v>0</v>
      </c>
      <c r="J256">
        <v>3.62</v>
      </c>
      <c r="K256" t="s">
        <v>1609</v>
      </c>
      <c r="L256" t="s">
        <v>1708</v>
      </c>
      <c r="M256">
        <v>792</v>
      </c>
      <c r="N256">
        <v>2017</v>
      </c>
      <c r="Q256" t="s">
        <v>1817</v>
      </c>
      <c r="R256" t="s">
        <v>1820</v>
      </c>
      <c r="S256" t="s">
        <v>1983</v>
      </c>
      <c r="T256" t="s">
        <v>1820</v>
      </c>
      <c r="X256">
        <v>0</v>
      </c>
      <c r="AA256">
        <v>0</v>
      </c>
    </row>
    <row r="257" spans="1:27">
      <c r="A257" s="1">
        <v>255</v>
      </c>
      <c r="B257">
        <v>118927</v>
      </c>
      <c r="C257" t="s">
        <v>286</v>
      </c>
      <c r="D257" t="s">
        <v>733</v>
      </c>
      <c r="E257" t="s">
        <v>1109</v>
      </c>
      <c r="G257">
        <f>"0374529809"</f>
        <v>0</v>
      </c>
      <c r="H257">
        <f>"9780374529802"</f>
        <v>0</v>
      </c>
      <c r="I257">
        <v>0</v>
      </c>
      <c r="J257">
        <v>3.9</v>
      </c>
      <c r="K257" t="s">
        <v>1438</v>
      </c>
      <c r="L257" t="s">
        <v>1705</v>
      </c>
      <c r="M257">
        <v>880</v>
      </c>
      <c r="N257">
        <v>2005</v>
      </c>
      <c r="O257">
        <v>2004</v>
      </c>
      <c r="Q257" t="s">
        <v>1817</v>
      </c>
      <c r="R257" t="s">
        <v>1820</v>
      </c>
      <c r="S257" t="s">
        <v>1984</v>
      </c>
      <c r="T257" t="s">
        <v>1820</v>
      </c>
      <c r="X257">
        <v>0</v>
      </c>
      <c r="AA257">
        <v>0</v>
      </c>
    </row>
    <row r="258" spans="1:27">
      <c r="A258" s="1">
        <v>256</v>
      </c>
      <c r="B258">
        <v>13578224</v>
      </c>
      <c r="C258" t="s">
        <v>287</v>
      </c>
      <c r="D258" t="s">
        <v>734</v>
      </c>
      <c r="E258" t="s">
        <v>1110</v>
      </c>
      <c r="F258" t="s">
        <v>1352</v>
      </c>
      <c r="G258">
        <f>""</f>
        <v>0</v>
      </c>
      <c r="H258">
        <f>"9788244200400"</f>
        <v>0</v>
      </c>
      <c r="I258">
        <v>0</v>
      </c>
      <c r="J258">
        <v>4.14</v>
      </c>
      <c r="O258">
        <v>2008</v>
      </c>
      <c r="Q258" t="s">
        <v>1767</v>
      </c>
      <c r="R258" t="s">
        <v>1821</v>
      </c>
      <c r="S258" t="s">
        <v>1985</v>
      </c>
      <c r="T258" t="s">
        <v>1821</v>
      </c>
      <c r="X258">
        <v>1</v>
      </c>
      <c r="AA258">
        <v>0</v>
      </c>
    </row>
    <row r="259" spans="1:27">
      <c r="A259" s="1">
        <v>257</v>
      </c>
      <c r="B259">
        <v>16158493</v>
      </c>
      <c r="C259" t="s">
        <v>288</v>
      </c>
      <c r="D259" t="s">
        <v>735</v>
      </c>
      <c r="E259" t="s">
        <v>1111</v>
      </c>
      <c r="G259">
        <f>"1591845556"</f>
        <v>0</v>
      </c>
      <c r="H259">
        <f>"9781591845553"</f>
        <v>0</v>
      </c>
      <c r="I259">
        <v>0</v>
      </c>
      <c r="J259">
        <v>3.47</v>
      </c>
      <c r="K259" t="s">
        <v>1610</v>
      </c>
      <c r="L259" t="s">
        <v>1707</v>
      </c>
      <c r="M259">
        <v>288</v>
      </c>
      <c r="N259">
        <v>2013</v>
      </c>
      <c r="O259">
        <v>2013</v>
      </c>
      <c r="Q259" t="s">
        <v>1767</v>
      </c>
      <c r="R259" t="s">
        <v>1820</v>
      </c>
      <c r="S259" t="s">
        <v>1986</v>
      </c>
      <c r="T259" t="s">
        <v>1820</v>
      </c>
      <c r="X259">
        <v>0</v>
      </c>
      <c r="AA259">
        <v>0</v>
      </c>
    </row>
    <row r="260" spans="1:27">
      <c r="A260" s="1">
        <v>258</v>
      </c>
      <c r="B260">
        <v>221267</v>
      </c>
      <c r="C260" t="s">
        <v>289</v>
      </c>
      <c r="D260" t="s">
        <v>736</v>
      </c>
      <c r="E260" t="s">
        <v>1112</v>
      </c>
      <c r="G260">
        <f>"0671024396"</f>
        <v>0</v>
      </c>
      <c r="H260">
        <f>"9780671024390"</f>
        <v>0</v>
      </c>
      <c r="I260">
        <v>0</v>
      </c>
      <c r="J260">
        <v>3.92</v>
      </c>
      <c r="K260" t="s">
        <v>1611</v>
      </c>
      <c r="L260" t="s">
        <v>1705</v>
      </c>
      <c r="M260">
        <v>304</v>
      </c>
      <c r="N260">
        <v>1998</v>
      </c>
      <c r="O260">
        <v>1998</v>
      </c>
      <c r="Q260" t="s">
        <v>1767</v>
      </c>
      <c r="R260" t="s">
        <v>1820</v>
      </c>
      <c r="S260" t="s">
        <v>1987</v>
      </c>
      <c r="T260" t="s">
        <v>1820</v>
      </c>
      <c r="X260">
        <v>0</v>
      </c>
      <c r="AA260">
        <v>0</v>
      </c>
    </row>
    <row r="261" spans="1:27">
      <c r="A261" s="1">
        <v>259</v>
      </c>
      <c r="B261">
        <v>90578</v>
      </c>
      <c r="C261" t="s">
        <v>290</v>
      </c>
      <c r="D261" t="s">
        <v>736</v>
      </c>
      <c r="E261" t="s">
        <v>1112</v>
      </c>
      <c r="G261">
        <f>"0671024418"</f>
        <v>0</v>
      </c>
      <c r="H261">
        <f>"9780671024413"</f>
        <v>0</v>
      </c>
      <c r="I261">
        <v>0</v>
      </c>
      <c r="J261">
        <v>4.04</v>
      </c>
      <c r="K261" t="s">
        <v>1611</v>
      </c>
      <c r="L261" t="s">
        <v>1705</v>
      </c>
      <c r="M261">
        <v>352</v>
      </c>
      <c r="N261">
        <v>1999</v>
      </c>
      <c r="O261">
        <v>1999</v>
      </c>
      <c r="Q261" t="s">
        <v>1767</v>
      </c>
      <c r="R261" t="s">
        <v>1820</v>
      </c>
      <c r="S261" t="s">
        <v>1988</v>
      </c>
      <c r="T261" t="s">
        <v>1820</v>
      </c>
      <c r="X261">
        <v>0</v>
      </c>
      <c r="AA261">
        <v>0</v>
      </c>
    </row>
    <row r="262" spans="1:27">
      <c r="A262" s="1">
        <v>260</v>
      </c>
      <c r="B262">
        <v>870819</v>
      </c>
      <c r="C262" t="s">
        <v>291</v>
      </c>
      <c r="D262" t="s">
        <v>736</v>
      </c>
      <c r="E262" t="s">
        <v>1112</v>
      </c>
      <c r="G262">
        <f>"067178496X"</f>
        <v>0</v>
      </c>
      <c r="H262">
        <f>"9780671784966"</f>
        <v>0</v>
      </c>
      <c r="I262">
        <v>0</v>
      </c>
      <c r="J262">
        <v>3.99</v>
      </c>
      <c r="K262" t="s">
        <v>1611</v>
      </c>
      <c r="L262" t="s">
        <v>1705</v>
      </c>
      <c r="M262">
        <v>288</v>
      </c>
      <c r="N262">
        <v>2000</v>
      </c>
      <c r="O262">
        <v>2000</v>
      </c>
      <c r="Q262" t="s">
        <v>1767</v>
      </c>
      <c r="R262" t="s">
        <v>1820</v>
      </c>
      <c r="S262" t="s">
        <v>1989</v>
      </c>
      <c r="T262" t="s">
        <v>1820</v>
      </c>
      <c r="X262">
        <v>0</v>
      </c>
      <c r="AA262">
        <v>0</v>
      </c>
    </row>
    <row r="263" spans="1:27">
      <c r="A263" s="1">
        <v>261</v>
      </c>
      <c r="B263">
        <v>221269</v>
      </c>
      <c r="C263" t="s">
        <v>292</v>
      </c>
      <c r="D263" t="s">
        <v>736</v>
      </c>
      <c r="E263" t="s">
        <v>1112</v>
      </c>
      <c r="G263">
        <f>"067102440X"</f>
        <v>0</v>
      </c>
      <c r="H263">
        <f>"9780671024406"</f>
        <v>0</v>
      </c>
      <c r="I263">
        <v>0</v>
      </c>
      <c r="J263">
        <v>3.64</v>
      </c>
      <c r="K263" t="s">
        <v>1611</v>
      </c>
      <c r="L263" t="s">
        <v>1705</v>
      </c>
      <c r="M263">
        <v>256</v>
      </c>
      <c r="N263">
        <v>1998</v>
      </c>
      <c r="O263">
        <v>1998</v>
      </c>
      <c r="Q263" t="s">
        <v>1767</v>
      </c>
      <c r="R263" t="s">
        <v>1820</v>
      </c>
      <c r="S263" t="s">
        <v>1990</v>
      </c>
      <c r="T263" t="s">
        <v>1820</v>
      </c>
      <c r="X263">
        <v>0</v>
      </c>
      <c r="AA263">
        <v>0</v>
      </c>
    </row>
    <row r="264" spans="1:27">
      <c r="A264" s="1">
        <v>262</v>
      </c>
      <c r="B264">
        <v>221268</v>
      </c>
      <c r="C264" t="s">
        <v>293</v>
      </c>
      <c r="D264" t="s">
        <v>736</v>
      </c>
      <c r="E264" t="s">
        <v>1112</v>
      </c>
      <c r="G264">
        <f>"0671024426"</f>
        <v>0</v>
      </c>
      <c r="H264">
        <f>"9780671024420"</f>
        <v>0</v>
      </c>
      <c r="I264">
        <v>0</v>
      </c>
      <c r="J264">
        <v>3.76</v>
      </c>
      <c r="K264" t="s">
        <v>1611</v>
      </c>
      <c r="L264" t="s">
        <v>1705</v>
      </c>
      <c r="M264">
        <v>256</v>
      </c>
      <c r="N264">
        <v>1999</v>
      </c>
      <c r="O264">
        <v>1999</v>
      </c>
      <c r="Q264" t="s">
        <v>1767</v>
      </c>
      <c r="R264" t="s">
        <v>1820</v>
      </c>
      <c r="S264" t="s">
        <v>1991</v>
      </c>
      <c r="T264" t="s">
        <v>1820</v>
      </c>
      <c r="X264">
        <v>0</v>
      </c>
      <c r="AA264">
        <v>0</v>
      </c>
    </row>
    <row r="265" spans="1:27">
      <c r="A265" s="1">
        <v>263</v>
      </c>
      <c r="B265">
        <v>221271</v>
      </c>
      <c r="C265" t="s">
        <v>294</v>
      </c>
      <c r="D265" t="s">
        <v>736</v>
      </c>
      <c r="E265" t="s">
        <v>1112</v>
      </c>
      <c r="G265">
        <f>"0671784986"</f>
        <v>0</v>
      </c>
      <c r="H265">
        <f>"9780671784980"</f>
        <v>0</v>
      </c>
      <c r="I265">
        <v>0</v>
      </c>
      <c r="J265">
        <v>3.93</v>
      </c>
      <c r="K265" t="s">
        <v>1612</v>
      </c>
      <c r="L265" t="s">
        <v>1705</v>
      </c>
      <c r="M265">
        <v>256</v>
      </c>
      <c r="N265">
        <v>2001</v>
      </c>
      <c r="O265">
        <v>2001</v>
      </c>
      <c r="Q265" t="s">
        <v>1767</v>
      </c>
      <c r="R265" t="s">
        <v>1820</v>
      </c>
      <c r="S265" t="s">
        <v>1992</v>
      </c>
      <c r="T265" t="s">
        <v>1820</v>
      </c>
      <c r="X265">
        <v>0</v>
      </c>
      <c r="AA265">
        <v>0</v>
      </c>
    </row>
    <row r="266" spans="1:27">
      <c r="A266" s="1">
        <v>264</v>
      </c>
      <c r="B266">
        <v>140479</v>
      </c>
      <c r="C266" t="s">
        <v>295</v>
      </c>
      <c r="D266" t="s">
        <v>736</v>
      </c>
      <c r="E266" t="s">
        <v>1112</v>
      </c>
      <c r="G266">
        <f>"0671785117"</f>
        <v>0</v>
      </c>
      <c r="H266">
        <f>"9780671785116"</f>
        <v>0</v>
      </c>
      <c r="I266">
        <v>0</v>
      </c>
      <c r="J266">
        <v>3.88</v>
      </c>
      <c r="K266" t="s">
        <v>1613</v>
      </c>
      <c r="L266" t="s">
        <v>1705</v>
      </c>
      <c r="M266">
        <v>288</v>
      </c>
      <c r="N266">
        <v>2004</v>
      </c>
      <c r="O266">
        <v>2004</v>
      </c>
      <c r="Q266" t="s">
        <v>1767</v>
      </c>
      <c r="R266" t="s">
        <v>1820</v>
      </c>
      <c r="S266" t="s">
        <v>1993</v>
      </c>
      <c r="T266" t="s">
        <v>1820</v>
      </c>
      <c r="X266">
        <v>0</v>
      </c>
      <c r="AA266">
        <v>0</v>
      </c>
    </row>
    <row r="267" spans="1:27">
      <c r="A267" s="1">
        <v>265</v>
      </c>
      <c r="B267">
        <v>2714607</v>
      </c>
      <c r="C267" t="s">
        <v>296</v>
      </c>
      <c r="D267" t="s">
        <v>574</v>
      </c>
      <c r="E267" t="s">
        <v>949</v>
      </c>
      <c r="G267">
        <f>"1594201927"</f>
        <v>0</v>
      </c>
      <c r="H267">
        <f>"9781594201929"</f>
        <v>0</v>
      </c>
      <c r="I267">
        <v>0</v>
      </c>
      <c r="J267">
        <v>3.9</v>
      </c>
      <c r="K267" t="s">
        <v>1474</v>
      </c>
      <c r="L267" t="s">
        <v>1707</v>
      </c>
      <c r="M267">
        <v>442</v>
      </c>
      <c r="N267">
        <v>2008</v>
      </c>
      <c r="O267">
        <v>2007</v>
      </c>
      <c r="Q267" t="s">
        <v>1767</v>
      </c>
      <c r="R267" t="s">
        <v>1820</v>
      </c>
      <c r="S267" t="s">
        <v>1994</v>
      </c>
      <c r="T267" t="s">
        <v>1820</v>
      </c>
      <c r="X267">
        <v>0</v>
      </c>
      <c r="AA267">
        <v>0</v>
      </c>
    </row>
    <row r="268" spans="1:27">
      <c r="A268" s="1">
        <v>266</v>
      </c>
      <c r="B268">
        <v>25329850</v>
      </c>
      <c r="C268" t="s">
        <v>297</v>
      </c>
      <c r="D268" t="s">
        <v>634</v>
      </c>
      <c r="E268" t="s">
        <v>1010</v>
      </c>
      <c r="G268">
        <f>"0544668251"</f>
        <v>0</v>
      </c>
      <c r="H268">
        <f>"9780544668256"</f>
        <v>0</v>
      </c>
      <c r="I268">
        <v>0</v>
      </c>
      <c r="J268">
        <v>4.15</v>
      </c>
      <c r="K268" t="s">
        <v>1529</v>
      </c>
      <c r="L268" t="s">
        <v>1707</v>
      </c>
      <c r="M268">
        <v>64</v>
      </c>
      <c r="N268">
        <v>2015</v>
      </c>
      <c r="O268">
        <v>2015</v>
      </c>
      <c r="Q268" t="s">
        <v>1767</v>
      </c>
      <c r="R268" t="s">
        <v>1820</v>
      </c>
      <c r="S268" t="s">
        <v>1995</v>
      </c>
      <c r="T268" t="s">
        <v>1820</v>
      </c>
      <c r="X268">
        <v>0</v>
      </c>
      <c r="AA268">
        <v>0</v>
      </c>
    </row>
    <row r="269" spans="1:27">
      <c r="A269" s="1">
        <v>267</v>
      </c>
      <c r="B269">
        <v>463297</v>
      </c>
      <c r="C269" t="s">
        <v>298</v>
      </c>
      <c r="D269" t="s">
        <v>716</v>
      </c>
      <c r="E269" t="s">
        <v>1092</v>
      </c>
      <c r="G269">
        <f>"0060596554"</f>
        <v>0</v>
      </c>
      <c r="H269">
        <f>"9780060596552"</f>
        <v>0</v>
      </c>
      <c r="I269">
        <v>0</v>
      </c>
      <c r="J269">
        <v>3.99</v>
      </c>
      <c r="K269" t="s">
        <v>1463</v>
      </c>
      <c r="L269" t="s">
        <v>1705</v>
      </c>
      <c r="M269">
        <v>376</v>
      </c>
      <c r="N269">
        <v>2005</v>
      </c>
      <c r="O269">
        <v>1927</v>
      </c>
      <c r="Q269" t="s">
        <v>1767</v>
      </c>
      <c r="R269" t="s">
        <v>1820</v>
      </c>
      <c r="S269" t="s">
        <v>1996</v>
      </c>
      <c r="T269" t="s">
        <v>1820</v>
      </c>
      <c r="X269">
        <v>0</v>
      </c>
      <c r="AA269">
        <v>0</v>
      </c>
    </row>
    <row r="270" spans="1:27">
      <c r="A270" s="1">
        <v>268</v>
      </c>
      <c r="B270">
        <v>385</v>
      </c>
      <c r="C270" t="s">
        <v>299</v>
      </c>
      <c r="D270" t="s">
        <v>737</v>
      </c>
      <c r="E270" t="s">
        <v>1113</v>
      </c>
      <c r="G270">
        <f>"0691122946"</f>
        <v>0</v>
      </c>
      <c r="H270">
        <f>"9780691122946"</f>
        <v>0</v>
      </c>
      <c r="I270">
        <v>0</v>
      </c>
      <c r="J270">
        <v>3.57</v>
      </c>
      <c r="K270" t="s">
        <v>1429</v>
      </c>
      <c r="L270" t="s">
        <v>1707</v>
      </c>
      <c r="M270">
        <v>67</v>
      </c>
      <c r="N270">
        <v>2005</v>
      </c>
      <c r="O270">
        <v>1986</v>
      </c>
      <c r="Q270" t="s">
        <v>1767</v>
      </c>
      <c r="R270" t="s">
        <v>1820</v>
      </c>
      <c r="S270" t="s">
        <v>1997</v>
      </c>
      <c r="T270" t="s">
        <v>1820</v>
      </c>
      <c r="X270">
        <v>0</v>
      </c>
      <c r="AA270">
        <v>0</v>
      </c>
    </row>
    <row r="271" spans="1:27">
      <c r="A271" s="1">
        <v>269</v>
      </c>
      <c r="B271">
        <v>6084575</v>
      </c>
      <c r="C271" t="s">
        <v>300</v>
      </c>
      <c r="D271" t="s">
        <v>738</v>
      </c>
      <c r="E271" t="s">
        <v>1114</v>
      </c>
      <c r="G271">
        <f>"0465041957"</f>
        <v>0</v>
      </c>
      <c r="H271">
        <f>"9780465041954"</f>
        <v>0</v>
      </c>
      <c r="I271">
        <v>0</v>
      </c>
      <c r="J271">
        <v>3.57</v>
      </c>
      <c r="K271" t="s">
        <v>1489</v>
      </c>
      <c r="L271" t="s">
        <v>1707</v>
      </c>
      <c r="M271">
        <v>448</v>
      </c>
      <c r="N271">
        <v>2000</v>
      </c>
      <c r="O271">
        <v>2000</v>
      </c>
      <c r="Q271" t="s">
        <v>1767</v>
      </c>
      <c r="R271" t="s">
        <v>1820</v>
      </c>
      <c r="S271" t="s">
        <v>1998</v>
      </c>
      <c r="T271" t="s">
        <v>1820</v>
      </c>
      <c r="X271">
        <v>0</v>
      </c>
      <c r="AA271">
        <v>0</v>
      </c>
    </row>
    <row r="272" spans="1:27">
      <c r="A272" s="1">
        <v>270</v>
      </c>
      <c r="B272">
        <v>19244102</v>
      </c>
      <c r="C272" t="s">
        <v>301</v>
      </c>
      <c r="D272" t="s">
        <v>739</v>
      </c>
      <c r="E272" t="s">
        <v>1115</v>
      </c>
      <c r="G272">
        <f>""</f>
        <v>0</v>
      </c>
      <c r="H272">
        <f>""</f>
        <v>0</v>
      </c>
      <c r="I272">
        <v>0</v>
      </c>
      <c r="J272">
        <v>4.25</v>
      </c>
      <c r="K272" t="s">
        <v>1537</v>
      </c>
      <c r="L272" t="s">
        <v>1708</v>
      </c>
      <c r="M272">
        <v>205</v>
      </c>
      <c r="N272">
        <v>2012</v>
      </c>
      <c r="O272">
        <v>1979</v>
      </c>
      <c r="Q272" t="s">
        <v>1767</v>
      </c>
      <c r="R272" t="s">
        <v>1820</v>
      </c>
      <c r="S272" t="s">
        <v>1999</v>
      </c>
      <c r="T272" t="s">
        <v>1820</v>
      </c>
      <c r="X272">
        <v>0</v>
      </c>
      <c r="AA272">
        <v>0</v>
      </c>
    </row>
    <row r="273" spans="1:27">
      <c r="A273" s="1">
        <v>271</v>
      </c>
      <c r="B273">
        <v>25852784</v>
      </c>
      <c r="C273" t="s">
        <v>302</v>
      </c>
      <c r="D273" t="s">
        <v>740</v>
      </c>
      <c r="E273" t="s">
        <v>1116</v>
      </c>
      <c r="G273">
        <f>"0553447432"</f>
        <v>0</v>
      </c>
      <c r="H273">
        <f>"9780553447439"</f>
        <v>0</v>
      </c>
      <c r="I273">
        <v>0</v>
      </c>
      <c r="J273">
        <v>4.47</v>
      </c>
      <c r="K273" t="s">
        <v>1614</v>
      </c>
      <c r="L273" t="s">
        <v>1707</v>
      </c>
      <c r="M273">
        <v>418</v>
      </c>
      <c r="N273">
        <v>2016</v>
      </c>
      <c r="O273">
        <v>2016</v>
      </c>
      <c r="Q273" t="s">
        <v>1767</v>
      </c>
      <c r="R273" t="s">
        <v>1820</v>
      </c>
      <c r="S273" t="s">
        <v>2000</v>
      </c>
      <c r="T273" t="s">
        <v>1820</v>
      </c>
      <c r="X273">
        <v>0</v>
      </c>
      <c r="AA273">
        <v>0</v>
      </c>
    </row>
    <row r="274" spans="1:27">
      <c r="A274" s="1">
        <v>272</v>
      </c>
      <c r="B274">
        <v>13369533</v>
      </c>
      <c r="C274" t="s">
        <v>303</v>
      </c>
      <c r="D274" t="s">
        <v>741</v>
      </c>
      <c r="E274" t="s">
        <v>1117</v>
      </c>
      <c r="G274">
        <f>"0241143810"</f>
        <v>0</v>
      </c>
      <c r="H274">
        <f>"9780241143810"</f>
        <v>0</v>
      </c>
      <c r="I274">
        <v>0</v>
      </c>
      <c r="J274">
        <v>4.16</v>
      </c>
      <c r="K274" t="s">
        <v>1615</v>
      </c>
      <c r="L274" t="s">
        <v>1707</v>
      </c>
      <c r="M274">
        <v>433</v>
      </c>
      <c r="N274">
        <v>2012</v>
      </c>
      <c r="O274">
        <v>2012</v>
      </c>
      <c r="Q274" t="s">
        <v>1767</v>
      </c>
      <c r="R274" t="s">
        <v>1820</v>
      </c>
      <c r="S274" t="s">
        <v>2001</v>
      </c>
      <c r="T274" t="s">
        <v>1820</v>
      </c>
      <c r="X274">
        <v>0</v>
      </c>
      <c r="AA274">
        <v>0</v>
      </c>
    </row>
    <row r="275" spans="1:27">
      <c r="A275" s="1">
        <v>273</v>
      </c>
      <c r="B275">
        <v>117031</v>
      </c>
      <c r="C275" t="s">
        <v>304</v>
      </c>
      <c r="D275" t="s">
        <v>742</v>
      </c>
      <c r="E275" t="s">
        <v>1118</v>
      </c>
      <c r="F275" t="s">
        <v>1353</v>
      </c>
      <c r="G275">
        <f>"0691018545"</f>
        <v>0</v>
      </c>
      <c r="H275">
        <f>"9780691018546"</f>
        <v>0</v>
      </c>
      <c r="I275">
        <v>0</v>
      </c>
      <c r="J275">
        <v>3.98</v>
      </c>
      <c r="K275" t="s">
        <v>1429</v>
      </c>
      <c r="L275" t="s">
        <v>1705</v>
      </c>
      <c r="M275">
        <v>752</v>
      </c>
      <c r="N275">
        <v>1989</v>
      </c>
      <c r="O275">
        <v>1832</v>
      </c>
      <c r="Q275" t="s">
        <v>1767</v>
      </c>
      <c r="R275" t="s">
        <v>1820</v>
      </c>
      <c r="S275" t="s">
        <v>2002</v>
      </c>
      <c r="T275" t="s">
        <v>1820</v>
      </c>
      <c r="X275">
        <v>0</v>
      </c>
      <c r="AA275">
        <v>0</v>
      </c>
    </row>
    <row r="276" spans="1:27">
      <c r="A276" s="1">
        <v>274</v>
      </c>
      <c r="B276">
        <v>108854</v>
      </c>
      <c r="C276" t="s">
        <v>305</v>
      </c>
      <c r="D276" t="s">
        <v>743</v>
      </c>
      <c r="E276" t="s">
        <v>1119</v>
      </c>
      <c r="F276" t="s">
        <v>1354</v>
      </c>
      <c r="G276">
        <f>"0907871046"</f>
        <v>0</v>
      </c>
      <c r="H276">
        <f>"9780907871040"</f>
        <v>0</v>
      </c>
      <c r="I276">
        <v>0</v>
      </c>
      <c r="J276">
        <v>3.87</v>
      </c>
      <c r="K276" t="s">
        <v>1616</v>
      </c>
      <c r="L276" t="s">
        <v>1705</v>
      </c>
      <c r="M276">
        <v>384</v>
      </c>
      <c r="N276">
        <v>2004</v>
      </c>
      <c r="O276">
        <v>1799</v>
      </c>
      <c r="Q276" t="s">
        <v>1767</v>
      </c>
      <c r="R276" t="s">
        <v>1820</v>
      </c>
      <c r="S276" t="s">
        <v>2003</v>
      </c>
      <c r="T276" t="s">
        <v>1820</v>
      </c>
      <c r="X276">
        <v>0</v>
      </c>
      <c r="AA276">
        <v>0</v>
      </c>
    </row>
    <row r="277" spans="1:27">
      <c r="A277" s="1">
        <v>275</v>
      </c>
      <c r="B277">
        <v>57936</v>
      </c>
      <c r="C277" t="s">
        <v>306</v>
      </c>
      <c r="D277" t="s">
        <v>744</v>
      </c>
      <c r="E277" t="s">
        <v>1120</v>
      </c>
      <c r="G277">
        <f>"0385418957"</f>
        <v>0</v>
      </c>
      <c r="H277">
        <f>"9780385418959"</f>
        <v>0</v>
      </c>
      <c r="I277">
        <v>0</v>
      </c>
      <c r="J277">
        <v>4.01</v>
      </c>
      <c r="K277" t="s">
        <v>1478</v>
      </c>
      <c r="L277" t="s">
        <v>1705</v>
      </c>
      <c r="M277">
        <v>784</v>
      </c>
      <c r="N277">
        <v>1991</v>
      </c>
      <c r="O277">
        <v>1922</v>
      </c>
      <c r="Q277" t="s">
        <v>1767</v>
      </c>
      <c r="R277" t="s">
        <v>1820</v>
      </c>
      <c r="S277" t="s">
        <v>2004</v>
      </c>
      <c r="T277" t="s">
        <v>1820</v>
      </c>
      <c r="X277">
        <v>0</v>
      </c>
      <c r="AA277">
        <v>0</v>
      </c>
    </row>
    <row r="278" spans="1:27">
      <c r="A278" s="1">
        <v>276</v>
      </c>
      <c r="B278">
        <v>45700960</v>
      </c>
      <c r="C278" t="s">
        <v>307</v>
      </c>
      <c r="D278" t="s">
        <v>745</v>
      </c>
      <c r="E278" t="s">
        <v>1121</v>
      </c>
      <c r="F278" t="s">
        <v>1355</v>
      </c>
      <c r="G278">
        <f>"1947864157"</f>
        <v>0</v>
      </c>
      <c r="H278">
        <f>"9781947864153"</f>
        <v>0</v>
      </c>
      <c r="I278">
        <v>0</v>
      </c>
      <c r="J278">
        <v>3.76</v>
      </c>
      <c r="K278" t="s">
        <v>1617</v>
      </c>
      <c r="L278" t="s">
        <v>1705</v>
      </c>
      <c r="M278">
        <v>396</v>
      </c>
      <c r="N278">
        <v>2019</v>
      </c>
      <c r="Q278" t="s">
        <v>1767</v>
      </c>
      <c r="R278" t="s">
        <v>1820</v>
      </c>
      <c r="S278" t="s">
        <v>2005</v>
      </c>
      <c r="T278" t="s">
        <v>1820</v>
      </c>
      <c r="X278">
        <v>0</v>
      </c>
      <c r="AA278">
        <v>0</v>
      </c>
    </row>
    <row r="279" spans="1:27">
      <c r="A279" s="1">
        <v>277</v>
      </c>
      <c r="B279">
        <v>11387954</v>
      </c>
      <c r="C279" t="s">
        <v>308</v>
      </c>
      <c r="D279" t="s">
        <v>746</v>
      </c>
      <c r="E279" t="s">
        <v>1122</v>
      </c>
      <c r="F279" t="s">
        <v>1356</v>
      </c>
      <c r="G279">
        <f>""</f>
        <v>0</v>
      </c>
      <c r="H279">
        <f>""</f>
        <v>0</v>
      </c>
      <c r="I279">
        <v>0</v>
      </c>
      <c r="J279">
        <v>3.4</v>
      </c>
      <c r="L279" t="s">
        <v>1708</v>
      </c>
      <c r="O279">
        <v>2014</v>
      </c>
      <c r="Q279" t="s">
        <v>1767</v>
      </c>
      <c r="R279" t="s">
        <v>1820</v>
      </c>
      <c r="S279" t="s">
        <v>2006</v>
      </c>
      <c r="T279" t="s">
        <v>1820</v>
      </c>
      <c r="X279">
        <v>0</v>
      </c>
      <c r="AA279">
        <v>0</v>
      </c>
    </row>
    <row r="280" spans="1:27">
      <c r="A280" s="1">
        <v>278</v>
      </c>
      <c r="B280">
        <v>6304874</v>
      </c>
      <c r="C280" t="s">
        <v>309</v>
      </c>
      <c r="D280" t="s">
        <v>746</v>
      </c>
      <c r="E280" t="s">
        <v>1122</v>
      </c>
      <c r="F280" t="s">
        <v>1357</v>
      </c>
      <c r="G280">
        <f>""</f>
        <v>0</v>
      </c>
      <c r="H280">
        <f>""</f>
        <v>0</v>
      </c>
      <c r="I280">
        <v>0</v>
      </c>
      <c r="J280">
        <v>3.62</v>
      </c>
      <c r="K280" t="s">
        <v>1618</v>
      </c>
      <c r="L280" t="s">
        <v>1708</v>
      </c>
      <c r="M280">
        <v>874</v>
      </c>
      <c r="O280">
        <v>1285</v>
      </c>
      <c r="Q280" t="s">
        <v>1767</v>
      </c>
      <c r="R280" t="s">
        <v>1820</v>
      </c>
      <c r="S280" t="s">
        <v>2007</v>
      </c>
      <c r="T280" t="s">
        <v>1820</v>
      </c>
      <c r="X280">
        <v>0</v>
      </c>
      <c r="AA280">
        <v>0</v>
      </c>
    </row>
    <row r="281" spans="1:27">
      <c r="A281" s="1">
        <v>279</v>
      </c>
      <c r="B281">
        <v>270032</v>
      </c>
      <c r="C281" t="s">
        <v>310</v>
      </c>
      <c r="D281" t="s">
        <v>747</v>
      </c>
      <c r="E281" t="s">
        <v>1123</v>
      </c>
      <c r="G281">
        <f>"0874778883"</f>
        <v>0</v>
      </c>
      <c r="H281">
        <f>"9780874778885"</f>
        <v>0</v>
      </c>
      <c r="I281">
        <v>0</v>
      </c>
      <c r="J281">
        <v>4.08</v>
      </c>
      <c r="K281" t="s">
        <v>1619</v>
      </c>
      <c r="L281" t="s">
        <v>1705</v>
      </c>
      <c r="M281">
        <v>330</v>
      </c>
      <c r="N281">
        <v>1997</v>
      </c>
      <c r="O281">
        <v>1953</v>
      </c>
      <c r="Q281" t="s">
        <v>1767</v>
      </c>
      <c r="R281" t="s">
        <v>1820</v>
      </c>
      <c r="S281" t="s">
        <v>2008</v>
      </c>
      <c r="T281" t="s">
        <v>1820</v>
      </c>
      <c r="X281">
        <v>0</v>
      </c>
      <c r="AA281">
        <v>0</v>
      </c>
    </row>
    <row r="282" spans="1:27">
      <c r="A282" s="1">
        <v>280</v>
      </c>
      <c r="B282">
        <v>13542772</v>
      </c>
      <c r="C282" t="s">
        <v>311</v>
      </c>
      <c r="D282" t="s">
        <v>748</v>
      </c>
      <c r="E282" t="s">
        <v>1124</v>
      </c>
      <c r="G282">
        <f>"1591844924"</f>
        <v>0</v>
      </c>
      <c r="H282">
        <f>"9781591844921"</f>
        <v>0</v>
      </c>
      <c r="I282">
        <v>0</v>
      </c>
      <c r="J282">
        <v>3.83</v>
      </c>
      <c r="K282" t="s">
        <v>1610</v>
      </c>
      <c r="L282" t="s">
        <v>1707</v>
      </c>
      <c r="M282">
        <v>256</v>
      </c>
      <c r="N282">
        <v>2012</v>
      </c>
      <c r="O282">
        <v>2012</v>
      </c>
      <c r="Q282" t="s">
        <v>1767</v>
      </c>
      <c r="R282" t="s">
        <v>1820</v>
      </c>
      <c r="S282" t="s">
        <v>2009</v>
      </c>
      <c r="T282" t="s">
        <v>1820</v>
      </c>
      <c r="X282">
        <v>0</v>
      </c>
      <c r="AA282">
        <v>0</v>
      </c>
    </row>
    <row r="283" spans="1:27">
      <c r="A283" s="1">
        <v>281</v>
      </c>
      <c r="B283">
        <v>20186</v>
      </c>
      <c r="C283" t="s">
        <v>312</v>
      </c>
      <c r="D283" t="s">
        <v>749</v>
      </c>
      <c r="E283" t="s">
        <v>1125</v>
      </c>
      <c r="G283">
        <f>"0300078153"</f>
        <v>0</v>
      </c>
      <c r="H283">
        <f>"9780300078152"</f>
        <v>0</v>
      </c>
      <c r="I283">
        <v>0</v>
      </c>
      <c r="J283">
        <v>4.2</v>
      </c>
      <c r="K283" t="s">
        <v>1592</v>
      </c>
      <c r="L283" t="s">
        <v>1705</v>
      </c>
      <c r="M283">
        <v>445</v>
      </c>
      <c r="N283">
        <v>1998</v>
      </c>
      <c r="O283">
        <v>1998</v>
      </c>
      <c r="Q283" t="s">
        <v>1767</v>
      </c>
      <c r="R283" t="s">
        <v>1820</v>
      </c>
      <c r="S283" t="s">
        <v>2010</v>
      </c>
      <c r="T283" t="s">
        <v>1820</v>
      </c>
      <c r="X283">
        <v>0</v>
      </c>
      <c r="AA283">
        <v>0</v>
      </c>
    </row>
    <row r="284" spans="1:27">
      <c r="A284" s="1">
        <v>282</v>
      </c>
      <c r="B284">
        <v>44643351</v>
      </c>
      <c r="C284" t="s">
        <v>313</v>
      </c>
      <c r="D284" t="s">
        <v>750</v>
      </c>
      <c r="E284" t="s">
        <v>1126</v>
      </c>
      <c r="G284">
        <f>"0802127436"</f>
        <v>0</v>
      </c>
      <c r="H284">
        <f>"9780802127433"</f>
        <v>0</v>
      </c>
      <c r="I284">
        <v>0</v>
      </c>
      <c r="J284">
        <v>4.03</v>
      </c>
      <c r="K284" t="s">
        <v>1620</v>
      </c>
      <c r="L284" t="s">
        <v>1707</v>
      </c>
      <c r="M284">
        <v>356</v>
      </c>
      <c r="N284">
        <v>2019</v>
      </c>
      <c r="O284">
        <v>2019</v>
      </c>
      <c r="Q284" t="s">
        <v>1767</v>
      </c>
      <c r="R284" t="s">
        <v>1820</v>
      </c>
      <c r="S284" t="s">
        <v>2011</v>
      </c>
      <c r="T284" t="s">
        <v>1820</v>
      </c>
      <c r="X284">
        <v>0</v>
      </c>
      <c r="AA284">
        <v>0</v>
      </c>
    </row>
    <row r="285" spans="1:27">
      <c r="A285" s="1">
        <v>283</v>
      </c>
      <c r="B285">
        <v>1102716</v>
      </c>
      <c r="C285" t="s">
        <v>314</v>
      </c>
      <c r="D285" t="s">
        <v>751</v>
      </c>
      <c r="E285" t="s">
        <v>1127</v>
      </c>
      <c r="G285">
        <f>"047148735X"</f>
        <v>0</v>
      </c>
      <c r="H285">
        <f>"9780471487357"</f>
        <v>0</v>
      </c>
      <c r="I285">
        <v>0</v>
      </c>
      <c r="J285">
        <v>4.05</v>
      </c>
      <c r="K285" t="s">
        <v>1572</v>
      </c>
      <c r="L285" t="s">
        <v>1707</v>
      </c>
      <c r="N285">
        <v>2004</v>
      </c>
      <c r="O285">
        <v>1976</v>
      </c>
      <c r="Q285" t="s">
        <v>1767</v>
      </c>
      <c r="R285" t="s">
        <v>1820</v>
      </c>
      <c r="S285" t="s">
        <v>2012</v>
      </c>
      <c r="T285" t="s">
        <v>1820</v>
      </c>
      <c r="X285">
        <v>0</v>
      </c>
      <c r="AA285">
        <v>0</v>
      </c>
    </row>
    <row r="286" spans="1:27">
      <c r="A286" s="1">
        <v>284</v>
      </c>
      <c r="B286">
        <v>241434</v>
      </c>
      <c r="C286" t="s">
        <v>315</v>
      </c>
      <c r="D286" t="s">
        <v>752</v>
      </c>
      <c r="E286" t="s">
        <v>1128</v>
      </c>
      <c r="G286">
        <f>"0684831481"</f>
        <v>0</v>
      </c>
      <c r="H286">
        <f>"9780684831480"</f>
        <v>0</v>
      </c>
      <c r="I286">
        <v>0</v>
      </c>
      <c r="J286">
        <v>3.72</v>
      </c>
      <c r="K286" t="s">
        <v>1431</v>
      </c>
      <c r="L286" t="s">
        <v>1705</v>
      </c>
      <c r="M286">
        <v>368</v>
      </c>
      <c r="N286">
        <v>1997</v>
      </c>
      <c r="O286">
        <v>1996</v>
      </c>
      <c r="Q286" t="s">
        <v>1767</v>
      </c>
      <c r="R286" t="s">
        <v>1820</v>
      </c>
      <c r="S286" t="s">
        <v>2013</v>
      </c>
      <c r="T286" t="s">
        <v>1820</v>
      </c>
      <c r="X286">
        <v>0</v>
      </c>
      <c r="AA286">
        <v>0</v>
      </c>
    </row>
    <row r="287" spans="1:27">
      <c r="A287" s="1">
        <v>285</v>
      </c>
      <c r="B287">
        <v>558059</v>
      </c>
      <c r="C287" t="s">
        <v>316</v>
      </c>
      <c r="D287" t="s">
        <v>753</v>
      </c>
      <c r="E287" t="s">
        <v>1129</v>
      </c>
      <c r="G287">
        <f>"0716711869"</f>
        <v>0</v>
      </c>
      <c r="H287">
        <f>"9780716711865"</f>
        <v>0</v>
      </c>
      <c r="I287">
        <v>0</v>
      </c>
      <c r="J287">
        <v>4.21</v>
      </c>
      <c r="K287" t="s">
        <v>1621</v>
      </c>
      <c r="L287" t="s">
        <v>1707</v>
      </c>
      <c r="M287">
        <v>480</v>
      </c>
      <c r="N287">
        <v>1982</v>
      </c>
      <c r="O287">
        <v>1977</v>
      </c>
      <c r="Q287" t="s">
        <v>1767</v>
      </c>
      <c r="R287" t="s">
        <v>1820</v>
      </c>
      <c r="S287" t="s">
        <v>2014</v>
      </c>
      <c r="T287" t="s">
        <v>1820</v>
      </c>
      <c r="X287">
        <v>0</v>
      </c>
      <c r="AA287">
        <v>0</v>
      </c>
    </row>
    <row r="288" spans="1:27">
      <c r="A288" s="1">
        <v>286</v>
      </c>
      <c r="B288">
        <v>389603</v>
      </c>
      <c r="C288" t="s">
        <v>317</v>
      </c>
      <c r="D288" t="s">
        <v>753</v>
      </c>
      <c r="E288" t="s">
        <v>1129</v>
      </c>
      <c r="F288" t="s">
        <v>1358</v>
      </c>
      <c r="G288">
        <f>"0465043577"</f>
        <v>0</v>
      </c>
      <c r="H288">
        <f>"9780465043576"</f>
        <v>0</v>
      </c>
      <c r="I288">
        <v>0</v>
      </c>
      <c r="J288">
        <v>4.05</v>
      </c>
      <c r="K288" t="s">
        <v>1489</v>
      </c>
      <c r="L288" t="s">
        <v>1705</v>
      </c>
      <c r="M288">
        <v>368</v>
      </c>
      <c r="N288">
        <v>2006</v>
      </c>
      <c r="O288">
        <v>1997</v>
      </c>
      <c r="Q288" t="s">
        <v>1767</v>
      </c>
      <c r="R288" t="s">
        <v>1820</v>
      </c>
      <c r="S288" t="s">
        <v>2015</v>
      </c>
      <c r="T288" t="s">
        <v>1820</v>
      </c>
      <c r="X288">
        <v>0</v>
      </c>
      <c r="AA288">
        <v>0</v>
      </c>
    </row>
    <row r="289" spans="1:27">
      <c r="A289" s="1">
        <v>287</v>
      </c>
      <c r="B289">
        <v>18471784</v>
      </c>
      <c r="C289" t="s">
        <v>318</v>
      </c>
      <c r="D289" t="s">
        <v>754</v>
      </c>
      <c r="E289" t="s">
        <v>1130</v>
      </c>
      <c r="G289">
        <f>"1780924488"</f>
        <v>0</v>
      </c>
      <c r="H289">
        <f>"9781780924489"</f>
        <v>0</v>
      </c>
      <c r="I289">
        <v>0</v>
      </c>
      <c r="J289">
        <v>3.73</v>
      </c>
      <c r="K289" t="s">
        <v>1622</v>
      </c>
      <c r="L289" t="s">
        <v>1705</v>
      </c>
      <c r="M289">
        <v>88</v>
      </c>
      <c r="N289">
        <v>2013</v>
      </c>
      <c r="O289">
        <v>2013</v>
      </c>
      <c r="Q289" t="s">
        <v>1767</v>
      </c>
      <c r="R289" t="s">
        <v>1820</v>
      </c>
      <c r="S289" t="s">
        <v>2016</v>
      </c>
      <c r="T289" t="s">
        <v>1820</v>
      </c>
      <c r="X289">
        <v>0</v>
      </c>
      <c r="AA289">
        <v>0</v>
      </c>
    </row>
    <row r="290" spans="1:27">
      <c r="A290" s="1">
        <v>288</v>
      </c>
      <c r="B290">
        <v>31448865</v>
      </c>
      <c r="C290" t="s">
        <v>319</v>
      </c>
      <c r="D290" t="s">
        <v>755</v>
      </c>
      <c r="E290" t="s">
        <v>1131</v>
      </c>
      <c r="G290">
        <f>"9351777596"</f>
        <v>0</v>
      </c>
      <c r="H290">
        <f>"9789351777595"</f>
        <v>0</v>
      </c>
      <c r="I290">
        <v>0</v>
      </c>
      <c r="J290">
        <v>3.98</v>
      </c>
      <c r="K290" t="s">
        <v>1484</v>
      </c>
      <c r="L290" t="s">
        <v>1707</v>
      </c>
      <c r="M290">
        <v>280</v>
      </c>
      <c r="N290">
        <v>2016</v>
      </c>
      <c r="Q290" t="s">
        <v>1767</v>
      </c>
      <c r="R290" t="s">
        <v>1820</v>
      </c>
      <c r="S290" t="s">
        <v>2017</v>
      </c>
      <c r="T290" t="s">
        <v>1820</v>
      </c>
      <c r="X290">
        <v>0</v>
      </c>
      <c r="AA290">
        <v>0</v>
      </c>
    </row>
    <row r="291" spans="1:27">
      <c r="A291" s="1">
        <v>289</v>
      </c>
      <c r="B291">
        <v>695429</v>
      </c>
      <c r="C291" t="s">
        <v>320</v>
      </c>
      <c r="D291" t="s">
        <v>756</v>
      </c>
      <c r="E291" t="s">
        <v>1132</v>
      </c>
      <c r="F291" t="s">
        <v>1359</v>
      </c>
      <c r="G291">
        <f>"0814758169"</f>
        <v>0</v>
      </c>
      <c r="H291">
        <f>"9780814758168"</f>
        <v>0</v>
      </c>
      <c r="I291">
        <v>0</v>
      </c>
      <c r="J291">
        <v>4.16</v>
      </c>
      <c r="K291" t="s">
        <v>1623</v>
      </c>
      <c r="L291" t="s">
        <v>1707</v>
      </c>
      <c r="M291">
        <v>129</v>
      </c>
      <c r="N291">
        <v>2001</v>
      </c>
      <c r="O291">
        <v>1958</v>
      </c>
      <c r="Q291" t="s">
        <v>1767</v>
      </c>
      <c r="R291" t="s">
        <v>1820</v>
      </c>
      <c r="S291" t="s">
        <v>2018</v>
      </c>
      <c r="T291" t="s">
        <v>1820</v>
      </c>
      <c r="X291">
        <v>0</v>
      </c>
      <c r="AA291">
        <v>0</v>
      </c>
    </row>
    <row r="292" spans="1:27">
      <c r="A292" s="1">
        <v>290</v>
      </c>
      <c r="B292">
        <v>123471</v>
      </c>
      <c r="C292" t="s">
        <v>321</v>
      </c>
      <c r="D292" t="s">
        <v>757</v>
      </c>
      <c r="E292" t="s">
        <v>1133</v>
      </c>
      <c r="G292">
        <f>"0465030785"</f>
        <v>0</v>
      </c>
      <c r="H292">
        <f>"9780465030781"</f>
        <v>0</v>
      </c>
      <c r="I292">
        <v>0</v>
      </c>
      <c r="J292">
        <v>3.95</v>
      </c>
      <c r="K292" t="s">
        <v>1486</v>
      </c>
      <c r="L292" t="s">
        <v>1707</v>
      </c>
      <c r="M292">
        <v>412</v>
      </c>
      <c r="N292">
        <v>2007</v>
      </c>
      <c r="O292">
        <v>2007</v>
      </c>
      <c r="Q292" t="s">
        <v>1767</v>
      </c>
      <c r="R292" t="s">
        <v>1820</v>
      </c>
      <c r="S292" t="s">
        <v>2019</v>
      </c>
      <c r="T292" t="s">
        <v>1820</v>
      </c>
      <c r="X292">
        <v>0</v>
      </c>
      <c r="AA292">
        <v>0</v>
      </c>
    </row>
    <row r="293" spans="1:27">
      <c r="A293" s="1">
        <v>291</v>
      </c>
      <c r="B293">
        <v>213337</v>
      </c>
      <c r="C293" t="s">
        <v>322</v>
      </c>
      <c r="D293" t="s">
        <v>758</v>
      </c>
      <c r="E293" t="s">
        <v>1134</v>
      </c>
      <c r="G293">
        <f>"079226987X"</f>
        <v>0</v>
      </c>
      <c r="H293">
        <f>"9780792269878"</f>
        <v>0</v>
      </c>
      <c r="I293">
        <v>0</v>
      </c>
      <c r="J293">
        <v>4.04</v>
      </c>
      <c r="K293" t="s">
        <v>1503</v>
      </c>
      <c r="L293" t="s">
        <v>1705</v>
      </c>
      <c r="M293">
        <v>500</v>
      </c>
      <c r="N293">
        <v>2003</v>
      </c>
      <c r="O293">
        <v>1925</v>
      </c>
      <c r="Q293" t="s">
        <v>1767</v>
      </c>
      <c r="R293" t="s">
        <v>1820</v>
      </c>
      <c r="S293" t="s">
        <v>2020</v>
      </c>
      <c r="T293" t="s">
        <v>1820</v>
      </c>
      <c r="X293">
        <v>0</v>
      </c>
      <c r="AA293">
        <v>0</v>
      </c>
    </row>
    <row r="294" spans="1:27">
      <c r="A294" s="1">
        <v>292</v>
      </c>
      <c r="B294">
        <v>556661</v>
      </c>
      <c r="C294" t="s">
        <v>323</v>
      </c>
      <c r="D294" t="s">
        <v>759</v>
      </c>
      <c r="E294" t="s">
        <v>1135</v>
      </c>
      <c r="G294">
        <f>"1843410036"</f>
        <v>0</v>
      </c>
      <c r="H294">
        <f>"9781843410034"</f>
        <v>0</v>
      </c>
      <c r="I294">
        <v>0</v>
      </c>
      <c r="J294">
        <v>4.09</v>
      </c>
      <c r="K294" t="s">
        <v>1624</v>
      </c>
      <c r="L294" t="s">
        <v>1705</v>
      </c>
      <c r="M294">
        <v>394</v>
      </c>
      <c r="N294">
        <v>2001</v>
      </c>
      <c r="O294">
        <v>1936</v>
      </c>
      <c r="Q294" t="s">
        <v>1767</v>
      </c>
      <c r="R294" t="s">
        <v>1820</v>
      </c>
      <c r="S294" t="s">
        <v>2021</v>
      </c>
      <c r="T294" t="s">
        <v>1820</v>
      </c>
      <c r="X294">
        <v>0</v>
      </c>
      <c r="AA294">
        <v>0</v>
      </c>
    </row>
    <row r="295" spans="1:27">
      <c r="A295" s="1">
        <v>293</v>
      </c>
      <c r="B295">
        <v>118141</v>
      </c>
      <c r="C295" t="s">
        <v>324</v>
      </c>
      <c r="D295" t="s">
        <v>729</v>
      </c>
      <c r="E295" t="s">
        <v>1105</v>
      </c>
      <c r="F295" t="s">
        <v>1360</v>
      </c>
      <c r="G295">
        <f>"1885283172"</f>
        <v>0</v>
      </c>
      <c r="H295">
        <f>"9781885283177"</f>
        <v>0</v>
      </c>
      <c r="I295">
        <v>0</v>
      </c>
      <c r="J295">
        <v>3.98</v>
      </c>
      <c r="K295" t="s">
        <v>1625</v>
      </c>
      <c r="L295" t="s">
        <v>1707</v>
      </c>
      <c r="M295">
        <v>256</v>
      </c>
      <c r="N295">
        <v>1999</v>
      </c>
      <c r="O295">
        <v>1958</v>
      </c>
      <c r="Q295" t="s">
        <v>1767</v>
      </c>
      <c r="R295" t="s">
        <v>1820</v>
      </c>
      <c r="S295" t="s">
        <v>2022</v>
      </c>
      <c r="T295" t="s">
        <v>1820</v>
      </c>
      <c r="X295">
        <v>0</v>
      </c>
      <c r="AA295">
        <v>0</v>
      </c>
    </row>
    <row r="296" spans="1:27">
      <c r="A296" s="1">
        <v>294</v>
      </c>
      <c r="B296">
        <v>42481212</v>
      </c>
      <c r="C296" t="s">
        <v>325</v>
      </c>
      <c r="D296" t="s">
        <v>760</v>
      </c>
      <c r="E296" t="s">
        <v>1136</v>
      </c>
      <c r="G296">
        <f>"1789140641"</f>
        <v>0</v>
      </c>
      <c r="H296">
        <f>"9781789140644"</f>
        <v>0</v>
      </c>
      <c r="I296">
        <v>0</v>
      </c>
      <c r="J296">
        <v>3.5</v>
      </c>
      <c r="K296" t="s">
        <v>1626</v>
      </c>
      <c r="L296" t="s">
        <v>1707</v>
      </c>
      <c r="M296">
        <v>272</v>
      </c>
      <c r="N296">
        <v>2019</v>
      </c>
      <c r="Q296" t="s">
        <v>1767</v>
      </c>
      <c r="R296" t="s">
        <v>1820</v>
      </c>
      <c r="S296" t="s">
        <v>2023</v>
      </c>
      <c r="T296" t="s">
        <v>1820</v>
      </c>
      <c r="X296">
        <v>0</v>
      </c>
      <c r="AA296">
        <v>0</v>
      </c>
    </row>
    <row r="297" spans="1:27">
      <c r="A297" s="1">
        <v>295</v>
      </c>
      <c r="B297">
        <v>11179667</v>
      </c>
      <c r="C297" t="s">
        <v>326</v>
      </c>
      <c r="D297" t="s">
        <v>761</v>
      </c>
      <c r="E297" t="s">
        <v>1137</v>
      </c>
      <c r="F297" t="s">
        <v>1361</v>
      </c>
      <c r="G297">
        <f>"1607614960"</f>
        <v>0</v>
      </c>
      <c r="H297">
        <f>"9781607614968"</f>
        <v>0</v>
      </c>
      <c r="I297">
        <v>0</v>
      </c>
      <c r="J297">
        <v>3.67</v>
      </c>
      <c r="K297" t="s">
        <v>1627</v>
      </c>
      <c r="L297" t="s">
        <v>1705</v>
      </c>
      <c r="M297">
        <v>228</v>
      </c>
      <c r="N297">
        <v>2010</v>
      </c>
      <c r="O297">
        <v>2009</v>
      </c>
      <c r="Q297" t="s">
        <v>1767</v>
      </c>
      <c r="R297" t="s">
        <v>1820</v>
      </c>
      <c r="S297" t="s">
        <v>2024</v>
      </c>
      <c r="T297" t="s">
        <v>1820</v>
      </c>
      <c r="X297">
        <v>0</v>
      </c>
      <c r="AA297">
        <v>0</v>
      </c>
    </row>
    <row r="298" spans="1:27">
      <c r="A298" s="1">
        <v>296</v>
      </c>
      <c r="B298">
        <v>62111</v>
      </c>
      <c r="C298" t="s">
        <v>327</v>
      </c>
      <c r="D298" t="s">
        <v>762</v>
      </c>
      <c r="E298" t="s">
        <v>1138</v>
      </c>
      <c r="F298" t="s">
        <v>1362</v>
      </c>
      <c r="G298">
        <f>"1402726023"</f>
        <v>0</v>
      </c>
      <c r="H298">
        <f>"9781402726026"</f>
        <v>0</v>
      </c>
      <c r="I298">
        <v>0</v>
      </c>
      <c r="J298">
        <v>3.92</v>
      </c>
      <c r="K298" t="s">
        <v>1628</v>
      </c>
      <c r="L298" t="s">
        <v>1707</v>
      </c>
      <c r="M298">
        <v>345</v>
      </c>
      <c r="N298">
        <v>2006</v>
      </c>
      <c r="O298">
        <v>1812</v>
      </c>
      <c r="Q298" t="s">
        <v>1767</v>
      </c>
      <c r="R298" t="s">
        <v>1820</v>
      </c>
      <c r="S298" t="s">
        <v>2025</v>
      </c>
      <c r="T298" t="s">
        <v>1820</v>
      </c>
      <c r="X298">
        <v>0</v>
      </c>
      <c r="AA298">
        <v>0</v>
      </c>
    </row>
    <row r="299" spans="1:27">
      <c r="A299" s="1">
        <v>297</v>
      </c>
      <c r="B299">
        <v>37542581</v>
      </c>
      <c r="C299" t="s">
        <v>328</v>
      </c>
      <c r="D299" t="s">
        <v>763</v>
      </c>
      <c r="E299" t="s">
        <v>1139</v>
      </c>
      <c r="G299">
        <f>"0771060335"</f>
        <v>0</v>
      </c>
      <c r="H299">
        <f>"9780771060335"</f>
        <v>0</v>
      </c>
      <c r="I299">
        <v>0</v>
      </c>
      <c r="J299">
        <v>4.49</v>
      </c>
      <c r="K299" t="s">
        <v>1629</v>
      </c>
      <c r="L299" t="s">
        <v>1707</v>
      </c>
      <c r="M299">
        <v>384</v>
      </c>
      <c r="N299">
        <v>2018</v>
      </c>
      <c r="O299">
        <v>2018</v>
      </c>
      <c r="Q299" t="s">
        <v>1767</v>
      </c>
      <c r="R299" t="s">
        <v>1820</v>
      </c>
      <c r="S299" t="s">
        <v>2026</v>
      </c>
      <c r="T299" t="s">
        <v>1820</v>
      </c>
      <c r="X299">
        <v>0</v>
      </c>
      <c r="AA299">
        <v>0</v>
      </c>
    </row>
    <row r="300" spans="1:27">
      <c r="A300" s="1">
        <v>298</v>
      </c>
      <c r="B300">
        <v>230955</v>
      </c>
      <c r="C300" t="s">
        <v>329</v>
      </c>
      <c r="D300" t="s">
        <v>764</v>
      </c>
      <c r="E300" t="s">
        <v>1140</v>
      </c>
      <c r="G300">
        <f>"0521808677"</f>
        <v>0</v>
      </c>
      <c r="H300">
        <f>"9780521808675"</f>
        <v>0</v>
      </c>
      <c r="I300">
        <v>0</v>
      </c>
      <c r="J300">
        <v>4.25</v>
      </c>
      <c r="K300" t="s">
        <v>1497</v>
      </c>
      <c r="L300" t="s">
        <v>1707</v>
      </c>
      <c r="M300">
        <v>304</v>
      </c>
      <c r="N300">
        <v>2002</v>
      </c>
      <c r="O300">
        <v>2002</v>
      </c>
      <c r="Q300" t="s">
        <v>1767</v>
      </c>
      <c r="R300" t="s">
        <v>1820</v>
      </c>
      <c r="S300" t="s">
        <v>2027</v>
      </c>
      <c r="T300" t="s">
        <v>1820</v>
      </c>
      <c r="X300">
        <v>0</v>
      </c>
      <c r="AA300">
        <v>0</v>
      </c>
    </row>
    <row r="301" spans="1:27">
      <c r="A301" s="1">
        <v>299</v>
      </c>
      <c r="B301">
        <v>17557470</v>
      </c>
      <c r="C301" t="s">
        <v>330</v>
      </c>
      <c r="D301" t="s">
        <v>765</v>
      </c>
      <c r="E301" t="s">
        <v>1141</v>
      </c>
      <c r="G301">
        <f>"1452112746"</f>
        <v>0</v>
      </c>
      <c r="H301">
        <f>"9781452112749"</f>
        <v>0</v>
      </c>
      <c r="I301">
        <v>0</v>
      </c>
      <c r="J301">
        <v>3.98</v>
      </c>
      <c r="K301" t="s">
        <v>1630</v>
      </c>
      <c r="L301" t="s">
        <v>1707</v>
      </c>
      <c r="M301">
        <v>288</v>
      </c>
      <c r="N301">
        <v>2013</v>
      </c>
      <c r="O301">
        <v>2013</v>
      </c>
      <c r="Q301" t="s">
        <v>1767</v>
      </c>
      <c r="R301" t="s">
        <v>1820</v>
      </c>
      <c r="S301" t="s">
        <v>2028</v>
      </c>
      <c r="T301" t="s">
        <v>1820</v>
      </c>
      <c r="X301">
        <v>0</v>
      </c>
      <c r="AA301">
        <v>0</v>
      </c>
    </row>
    <row r="302" spans="1:27">
      <c r="A302" s="1">
        <v>300</v>
      </c>
      <c r="B302">
        <v>36701550</v>
      </c>
      <c r="C302" t="s">
        <v>331</v>
      </c>
      <c r="D302" t="s">
        <v>766</v>
      </c>
      <c r="E302" t="s">
        <v>1142</v>
      </c>
      <c r="G302">
        <f>""</f>
        <v>0</v>
      </c>
      <c r="H302">
        <f>""</f>
        <v>0</v>
      </c>
      <c r="I302">
        <v>0</v>
      </c>
      <c r="J302">
        <v>3.82</v>
      </c>
      <c r="K302" t="s">
        <v>1551</v>
      </c>
      <c r="L302" t="s">
        <v>1707</v>
      </c>
      <c r="M302">
        <v>288</v>
      </c>
      <c r="N302">
        <v>2019</v>
      </c>
      <c r="O302">
        <v>2019</v>
      </c>
      <c r="Q302" t="s">
        <v>1767</v>
      </c>
      <c r="R302" t="s">
        <v>1820</v>
      </c>
      <c r="S302" t="s">
        <v>2029</v>
      </c>
      <c r="T302" t="s">
        <v>1820</v>
      </c>
      <c r="X302">
        <v>0</v>
      </c>
      <c r="AA302">
        <v>0</v>
      </c>
    </row>
    <row r="303" spans="1:27">
      <c r="A303" s="1">
        <v>301</v>
      </c>
      <c r="B303">
        <v>508371</v>
      </c>
      <c r="C303" t="s">
        <v>332</v>
      </c>
      <c r="D303" t="s">
        <v>767</v>
      </c>
      <c r="E303" t="s">
        <v>1143</v>
      </c>
      <c r="F303" t="s">
        <v>1363</v>
      </c>
      <c r="G303">
        <f>"0700611592"</f>
        <v>0</v>
      </c>
      <c r="H303">
        <f>"9780700611591"</f>
        <v>0</v>
      </c>
      <c r="I303">
        <v>0</v>
      </c>
      <c r="J303">
        <v>4.14</v>
      </c>
      <c r="K303" t="s">
        <v>1631</v>
      </c>
      <c r="L303" t="s">
        <v>1707</v>
      </c>
      <c r="M303">
        <v>301</v>
      </c>
      <c r="N303">
        <v>2002</v>
      </c>
      <c r="O303">
        <v>2002</v>
      </c>
      <c r="Q303" t="s">
        <v>1767</v>
      </c>
      <c r="R303" t="s">
        <v>1820</v>
      </c>
      <c r="S303" t="s">
        <v>2030</v>
      </c>
      <c r="T303" t="s">
        <v>1820</v>
      </c>
      <c r="X303">
        <v>0</v>
      </c>
      <c r="AA303">
        <v>0</v>
      </c>
    </row>
    <row r="304" spans="1:27">
      <c r="A304" s="1">
        <v>302</v>
      </c>
      <c r="B304">
        <v>53326</v>
      </c>
      <c r="C304" t="s">
        <v>333</v>
      </c>
      <c r="D304" t="s">
        <v>768</v>
      </c>
      <c r="E304" t="s">
        <v>1144</v>
      </c>
      <c r="G304">
        <f>"0671865412"</f>
        <v>0</v>
      </c>
      <c r="H304">
        <f>"9780671865412"</f>
        <v>0</v>
      </c>
      <c r="I304">
        <v>0</v>
      </c>
      <c r="J304">
        <v>3.93</v>
      </c>
      <c r="K304" t="s">
        <v>1431</v>
      </c>
      <c r="L304" t="s">
        <v>1705</v>
      </c>
      <c r="M304">
        <v>608</v>
      </c>
      <c r="N304">
        <v>1993</v>
      </c>
      <c r="O304">
        <v>1992</v>
      </c>
      <c r="Q304" t="s">
        <v>1767</v>
      </c>
      <c r="R304" t="s">
        <v>1820</v>
      </c>
      <c r="S304" t="s">
        <v>2031</v>
      </c>
      <c r="T304" t="s">
        <v>1820</v>
      </c>
      <c r="X304">
        <v>0</v>
      </c>
      <c r="AA304">
        <v>0</v>
      </c>
    </row>
    <row r="305" spans="1:27">
      <c r="A305" s="1">
        <v>303</v>
      </c>
      <c r="B305">
        <v>70561</v>
      </c>
      <c r="C305" t="s">
        <v>334</v>
      </c>
      <c r="D305" t="s">
        <v>690</v>
      </c>
      <c r="E305" t="s">
        <v>1066</v>
      </c>
      <c r="F305" t="s">
        <v>1364</v>
      </c>
      <c r="G305">
        <f>"0060007761"</f>
        <v>0</v>
      </c>
      <c r="H305">
        <f>"9780060007768"</f>
        <v>0</v>
      </c>
      <c r="I305">
        <v>0</v>
      </c>
      <c r="J305">
        <v>4.25</v>
      </c>
      <c r="K305" t="s">
        <v>1484</v>
      </c>
      <c r="L305" t="s">
        <v>1705</v>
      </c>
      <c r="M305">
        <v>472</v>
      </c>
      <c r="N305">
        <v>2002</v>
      </c>
      <c r="O305">
        <v>1973</v>
      </c>
      <c r="Q305" t="s">
        <v>1767</v>
      </c>
      <c r="R305" t="s">
        <v>1820</v>
      </c>
      <c r="S305" t="s">
        <v>2032</v>
      </c>
      <c r="T305" t="s">
        <v>1820</v>
      </c>
      <c r="X305">
        <v>0</v>
      </c>
      <c r="AA305">
        <v>0</v>
      </c>
    </row>
    <row r="306" spans="1:27">
      <c r="A306" s="1">
        <v>304</v>
      </c>
      <c r="B306">
        <v>10882</v>
      </c>
      <c r="C306" t="s">
        <v>335</v>
      </c>
      <c r="D306" t="s">
        <v>769</v>
      </c>
      <c r="E306" t="s">
        <v>1145</v>
      </c>
      <c r="G306">
        <f>"222109073X"</f>
        <v>0</v>
      </c>
      <c r="H306">
        <f>"9782221090732"</f>
        <v>0</v>
      </c>
      <c r="I306">
        <v>0</v>
      </c>
      <c r="J306">
        <v>3.97</v>
      </c>
      <c r="K306" t="s">
        <v>1632</v>
      </c>
      <c r="M306">
        <v>295</v>
      </c>
      <c r="N306">
        <v>2000</v>
      </c>
      <c r="O306">
        <v>1966</v>
      </c>
      <c r="Q306" t="s">
        <v>1767</v>
      </c>
      <c r="R306" t="s">
        <v>1820</v>
      </c>
      <c r="S306" t="s">
        <v>2033</v>
      </c>
      <c r="T306" t="s">
        <v>1820</v>
      </c>
      <c r="X306">
        <v>0</v>
      </c>
      <c r="AA306">
        <v>0</v>
      </c>
    </row>
    <row r="307" spans="1:27">
      <c r="A307" s="1">
        <v>305</v>
      </c>
      <c r="B307">
        <v>7745</v>
      </c>
      <c r="C307" t="s">
        <v>336</v>
      </c>
      <c r="D307" t="s">
        <v>769</v>
      </c>
      <c r="E307" t="s">
        <v>1145</v>
      </c>
      <c r="F307" t="s">
        <v>1365</v>
      </c>
      <c r="G307">
        <f>"0679785892"</f>
        <v>0</v>
      </c>
      <c r="H307">
        <f>"9780679785897"</f>
        <v>0</v>
      </c>
      <c r="I307">
        <v>0</v>
      </c>
      <c r="J307">
        <v>4.08</v>
      </c>
      <c r="K307" t="s">
        <v>1433</v>
      </c>
      <c r="L307" t="s">
        <v>1705</v>
      </c>
      <c r="M307">
        <v>204</v>
      </c>
      <c r="N307">
        <v>1998</v>
      </c>
      <c r="O307">
        <v>1971</v>
      </c>
      <c r="Q307" t="s">
        <v>1767</v>
      </c>
      <c r="R307" t="s">
        <v>1820</v>
      </c>
      <c r="S307" t="s">
        <v>2034</v>
      </c>
      <c r="T307" t="s">
        <v>1820</v>
      </c>
      <c r="X307">
        <v>0</v>
      </c>
      <c r="AA307">
        <v>0</v>
      </c>
    </row>
    <row r="308" spans="1:27">
      <c r="A308" s="1">
        <v>306</v>
      </c>
      <c r="B308">
        <v>30687200</v>
      </c>
      <c r="C308" t="s">
        <v>337</v>
      </c>
      <c r="D308" t="s">
        <v>770</v>
      </c>
      <c r="E308" t="s">
        <v>1146</v>
      </c>
      <c r="F308" t="s">
        <v>1366</v>
      </c>
      <c r="G308">
        <f>"1101924926"</f>
        <v>0</v>
      </c>
      <c r="H308">
        <f>"9781101924921"</f>
        <v>0</v>
      </c>
      <c r="I308">
        <v>0</v>
      </c>
      <c r="J308">
        <v>3.88</v>
      </c>
      <c r="K308" t="s">
        <v>1633</v>
      </c>
      <c r="L308" t="s">
        <v>1715</v>
      </c>
      <c r="M308">
        <v>224</v>
      </c>
      <c r="N308">
        <v>2017</v>
      </c>
      <c r="O308">
        <v>2017</v>
      </c>
      <c r="Q308" t="s">
        <v>1767</v>
      </c>
      <c r="R308" t="s">
        <v>1820</v>
      </c>
      <c r="S308" t="s">
        <v>2035</v>
      </c>
      <c r="T308" t="s">
        <v>1820</v>
      </c>
      <c r="X308">
        <v>0</v>
      </c>
      <c r="AA308">
        <v>0</v>
      </c>
    </row>
    <row r="309" spans="1:27">
      <c r="A309" s="1">
        <v>307</v>
      </c>
      <c r="B309">
        <v>36950898</v>
      </c>
      <c r="C309" t="s">
        <v>338</v>
      </c>
      <c r="D309" t="s">
        <v>771</v>
      </c>
      <c r="E309" t="s">
        <v>1147</v>
      </c>
      <c r="G309">
        <f>"0735221316"</f>
        <v>0</v>
      </c>
      <c r="H309">
        <f>"9780735221314"</f>
        <v>0</v>
      </c>
      <c r="I309">
        <v>0</v>
      </c>
      <c r="J309">
        <v>3.87</v>
      </c>
      <c r="K309" t="s">
        <v>1600</v>
      </c>
      <c r="L309" t="s">
        <v>1707</v>
      </c>
      <c r="M309">
        <v>338</v>
      </c>
      <c r="N309">
        <v>2018</v>
      </c>
      <c r="O309">
        <v>2018</v>
      </c>
      <c r="Q309" t="s">
        <v>1767</v>
      </c>
      <c r="R309" t="s">
        <v>1820</v>
      </c>
      <c r="S309" t="s">
        <v>2036</v>
      </c>
      <c r="T309" t="s">
        <v>1820</v>
      </c>
      <c r="X309">
        <v>0</v>
      </c>
      <c r="AA309">
        <v>0</v>
      </c>
    </row>
    <row r="310" spans="1:27">
      <c r="A310" s="1">
        <v>308</v>
      </c>
      <c r="B310">
        <v>646563</v>
      </c>
      <c r="C310" t="s">
        <v>339</v>
      </c>
      <c r="D310" t="s">
        <v>772</v>
      </c>
      <c r="E310" t="s">
        <v>1148</v>
      </c>
      <c r="G310">
        <f>"1400065836"</f>
        <v>0</v>
      </c>
      <c r="H310">
        <f>"9781400065837"</f>
        <v>0</v>
      </c>
      <c r="I310">
        <v>0</v>
      </c>
      <c r="J310">
        <v>3.88</v>
      </c>
      <c r="K310" t="s">
        <v>1476</v>
      </c>
      <c r="L310" t="s">
        <v>1707</v>
      </c>
      <c r="M310">
        <v>343</v>
      </c>
      <c r="N310">
        <v>2007</v>
      </c>
      <c r="O310">
        <v>2007</v>
      </c>
      <c r="Q310" t="s">
        <v>1767</v>
      </c>
      <c r="R310" t="s">
        <v>1820</v>
      </c>
      <c r="S310" t="s">
        <v>2037</v>
      </c>
      <c r="T310" t="s">
        <v>1820</v>
      </c>
      <c r="X310">
        <v>0</v>
      </c>
      <c r="AA310">
        <v>0</v>
      </c>
    </row>
    <row r="311" spans="1:27">
      <c r="A311" s="1">
        <v>309</v>
      </c>
      <c r="B311">
        <v>555926</v>
      </c>
      <c r="C311" t="s">
        <v>340</v>
      </c>
      <c r="D311" t="s">
        <v>773</v>
      </c>
      <c r="E311" t="s">
        <v>1149</v>
      </c>
      <c r="G311">
        <f>"0141007230"</f>
        <v>0</v>
      </c>
      <c r="H311">
        <f>"9780141007236"</f>
        <v>0</v>
      </c>
      <c r="I311">
        <v>0</v>
      </c>
      <c r="J311">
        <v>4.01</v>
      </c>
      <c r="K311" t="s">
        <v>1428</v>
      </c>
      <c r="L311" t="s">
        <v>1705</v>
      </c>
      <c r="M311">
        <v>1232</v>
      </c>
      <c r="N311">
        <v>2004</v>
      </c>
      <c r="O311">
        <v>1976</v>
      </c>
      <c r="Q311" t="s">
        <v>1767</v>
      </c>
      <c r="R311" t="s">
        <v>1820</v>
      </c>
      <c r="S311" t="s">
        <v>2038</v>
      </c>
      <c r="T311" t="s">
        <v>1820</v>
      </c>
      <c r="X311">
        <v>0</v>
      </c>
      <c r="AA311">
        <v>0</v>
      </c>
    </row>
    <row r="312" spans="1:27">
      <c r="A312" s="1">
        <v>310</v>
      </c>
      <c r="B312">
        <v>442239</v>
      </c>
      <c r="C312" t="s">
        <v>341</v>
      </c>
      <c r="D312" t="s">
        <v>774</v>
      </c>
      <c r="E312" t="s">
        <v>1150</v>
      </c>
      <c r="G312">
        <f>"0151013020"</f>
        <v>0</v>
      </c>
      <c r="H312">
        <f>"9780151013029"</f>
        <v>0</v>
      </c>
      <c r="I312">
        <v>0</v>
      </c>
      <c r="J312">
        <v>3.85</v>
      </c>
      <c r="K312" t="s">
        <v>1529</v>
      </c>
      <c r="L312" t="s">
        <v>1707</v>
      </c>
      <c r="M312">
        <v>400</v>
      </c>
      <c r="N312">
        <v>2007</v>
      </c>
      <c r="O312">
        <v>2007</v>
      </c>
      <c r="Q312" t="s">
        <v>1767</v>
      </c>
      <c r="R312" t="s">
        <v>1820</v>
      </c>
      <c r="S312" t="s">
        <v>2039</v>
      </c>
      <c r="T312" t="s">
        <v>1820</v>
      </c>
      <c r="X312">
        <v>0</v>
      </c>
      <c r="AA312">
        <v>0</v>
      </c>
    </row>
    <row r="313" spans="1:27">
      <c r="A313" s="1">
        <v>311</v>
      </c>
      <c r="B313">
        <v>37792559</v>
      </c>
      <c r="C313" t="s">
        <v>342</v>
      </c>
      <c r="D313" t="s">
        <v>775</v>
      </c>
      <c r="E313" t="s">
        <v>1151</v>
      </c>
      <c r="F313" t="s">
        <v>1367</v>
      </c>
      <c r="G313">
        <f>"1784382701"</f>
        <v>0</v>
      </c>
      <c r="H313">
        <f>"9781784382704"</f>
        <v>0</v>
      </c>
      <c r="I313">
        <v>0</v>
      </c>
      <c r="J313">
        <v>4.16</v>
      </c>
      <c r="K313" t="s">
        <v>1634</v>
      </c>
      <c r="L313" t="s">
        <v>1707</v>
      </c>
      <c r="M313">
        <v>252</v>
      </c>
      <c r="N313">
        <v>2018</v>
      </c>
      <c r="O313">
        <v>2018</v>
      </c>
      <c r="Q313" t="s">
        <v>1767</v>
      </c>
      <c r="R313" t="s">
        <v>1820</v>
      </c>
      <c r="S313" t="s">
        <v>2040</v>
      </c>
      <c r="T313" t="s">
        <v>1820</v>
      </c>
      <c r="X313">
        <v>0</v>
      </c>
      <c r="AA313">
        <v>0</v>
      </c>
    </row>
    <row r="314" spans="1:27">
      <c r="A314" s="1">
        <v>312</v>
      </c>
      <c r="B314">
        <v>7305882</v>
      </c>
      <c r="C314" t="s">
        <v>343</v>
      </c>
      <c r="D314" t="s">
        <v>776</v>
      </c>
      <c r="E314" t="s">
        <v>1152</v>
      </c>
      <c r="G314">
        <f>"0521197341"</f>
        <v>0</v>
      </c>
      <c r="H314">
        <f>"9780521197342"</f>
        <v>0</v>
      </c>
      <c r="I314">
        <v>0</v>
      </c>
      <c r="J314">
        <v>3.21</v>
      </c>
      <c r="K314" t="s">
        <v>1497</v>
      </c>
      <c r="L314" t="s">
        <v>1707</v>
      </c>
      <c r="M314">
        <v>320</v>
      </c>
      <c r="N314">
        <v>2010</v>
      </c>
      <c r="O314">
        <v>2010</v>
      </c>
      <c r="Q314" t="s">
        <v>1767</v>
      </c>
      <c r="R314" t="s">
        <v>1820</v>
      </c>
      <c r="S314" t="s">
        <v>2041</v>
      </c>
      <c r="T314" t="s">
        <v>1820</v>
      </c>
      <c r="X314">
        <v>0</v>
      </c>
      <c r="AA314">
        <v>0</v>
      </c>
    </row>
    <row r="315" spans="1:27">
      <c r="A315" s="1">
        <v>313</v>
      </c>
      <c r="B315">
        <v>682681</v>
      </c>
      <c r="C315" t="s">
        <v>344</v>
      </c>
      <c r="D315" t="s">
        <v>607</v>
      </c>
      <c r="E315" t="s">
        <v>983</v>
      </c>
      <c r="G315">
        <f>"0192835505"</f>
        <v>0</v>
      </c>
      <c r="H315">
        <f>"9780192835505"</f>
        <v>0</v>
      </c>
      <c r="I315">
        <v>0</v>
      </c>
      <c r="J315">
        <v>3.58</v>
      </c>
      <c r="K315" t="s">
        <v>1451</v>
      </c>
      <c r="L315" t="s">
        <v>1705</v>
      </c>
      <c r="M315">
        <v>317</v>
      </c>
      <c r="N315">
        <v>1998</v>
      </c>
      <c r="O315">
        <v>1886</v>
      </c>
      <c r="Q315" t="s">
        <v>1767</v>
      </c>
      <c r="R315" t="s">
        <v>1820</v>
      </c>
      <c r="S315" t="s">
        <v>2042</v>
      </c>
      <c r="T315" t="s">
        <v>1820</v>
      </c>
      <c r="X315">
        <v>0</v>
      </c>
      <c r="AA315">
        <v>0</v>
      </c>
    </row>
    <row r="316" spans="1:27">
      <c r="A316" s="1">
        <v>314</v>
      </c>
      <c r="B316">
        <v>1307748</v>
      </c>
      <c r="C316" t="s">
        <v>345</v>
      </c>
      <c r="D316" t="s">
        <v>777</v>
      </c>
      <c r="E316" t="s">
        <v>1153</v>
      </c>
      <c r="G316">
        <f>"0964332817"</f>
        <v>0</v>
      </c>
      <c r="H316">
        <f>"9780964332812"</f>
        <v>0</v>
      </c>
      <c r="I316">
        <v>0</v>
      </c>
      <c r="J316">
        <v>4.12</v>
      </c>
      <c r="K316" t="s">
        <v>1635</v>
      </c>
      <c r="L316" t="s">
        <v>1707</v>
      </c>
      <c r="M316">
        <v>166</v>
      </c>
      <c r="N316">
        <v>1995</v>
      </c>
      <c r="O316">
        <v>1995</v>
      </c>
      <c r="Q316" t="s">
        <v>1775</v>
      </c>
      <c r="R316" t="s">
        <v>1820</v>
      </c>
      <c r="S316" t="s">
        <v>2043</v>
      </c>
      <c r="T316" t="s">
        <v>1820</v>
      </c>
      <c r="X316">
        <v>0</v>
      </c>
      <c r="AA316">
        <v>0</v>
      </c>
    </row>
    <row r="317" spans="1:27">
      <c r="A317" s="1">
        <v>315</v>
      </c>
      <c r="B317">
        <v>43117392</v>
      </c>
      <c r="C317" t="s">
        <v>346</v>
      </c>
      <c r="D317" t="s">
        <v>778</v>
      </c>
      <c r="E317" t="s">
        <v>1154</v>
      </c>
      <c r="G317">
        <f>""</f>
        <v>0</v>
      </c>
      <c r="H317">
        <f>""</f>
        <v>0</v>
      </c>
      <c r="I317">
        <v>0</v>
      </c>
      <c r="J317">
        <v>0</v>
      </c>
      <c r="K317" t="s">
        <v>1610</v>
      </c>
      <c r="L317" t="s">
        <v>1708</v>
      </c>
      <c r="M317">
        <v>288</v>
      </c>
      <c r="N317">
        <v>2019</v>
      </c>
      <c r="Q317" t="s">
        <v>1775</v>
      </c>
      <c r="R317" t="s">
        <v>1820</v>
      </c>
      <c r="S317" t="s">
        <v>2044</v>
      </c>
      <c r="T317" t="s">
        <v>1820</v>
      </c>
      <c r="X317">
        <v>0</v>
      </c>
      <c r="AA317">
        <v>0</v>
      </c>
    </row>
    <row r="318" spans="1:27">
      <c r="A318" s="1">
        <v>316</v>
      </c>
      <c r="B318">
        <v>251213</v>
      </c>
      <c r="C318" t="s">
        <v>347</v>
      </c>
      <c r="D318" t="s">
        <v>779</v>
      </c>
      <c r="E318" t="s">
        <v>1155</v>
      </c>
      <c r="G318">
        <f>"0691070512"</f>
        <v>0</v>
      </c>
      <c r="H318">
        <f>"9780691070513"</f>
        <v>0</v>
      </c>
      <c r="I318">
        <v>0</v>
      </c>
      <c r="J318">
        <v>3.96</v>
      </c>
      <c r="K318" t="s">
        <v>1429</v>
      </c>
      <c r="L318" t="s">
        <v>1705</v>
      </c>
      <c r="M318">
        <v>392</v>
      </c>
      <c r="N318">
        <v>2000</v>
      </c>
      <c r="O318">
        <v>1999</v>
      </c>
      <c r="Q318" t="s">
        <v>1775</v>
      </c>
      <c r="R318" t="s">
        <v>1820</v>
      </c>
      <c r="S318" t="s">
        <v>2045</v>
      </c>
      <c r="T318" t="s">
        <v>1820</v>
      </c>
      <c r="X318">
        <v>0</v>
      </c>
      <c r="AA318">
        <v>0</v>
      </c>
    </row>
    <row r="319" spans="1:27">
      <c r="A319" s="1">
        <v>317</v>
      </c>
      <c r="B319">
        <v>230553</v>
      </c>
      <c r="C319" t="s">
        <v>348</v>
      </c>
      <c r="D319" t="s">
        <v>780</v>
      </c>
      <c r="E319" t="s">
        <v>1156</v>
      </c>
      <c r="G319">
        <f>"184212451X"</f>
        <v>0</v>
      </c>
      <c r="H319">
        <f>"9781842124512"</f>
        <v>0</v>
      </c>
      <c r="I319">
        <v>0</v>
      </c>
      <c r="J319">
        <v>3.73</v>
      </c>
      <c r="K319" t="s">
        <v>1636</v>
      </c>
      <c r="L319" t="s">
        <v>1707</v>
      </c>
      <c r="N319">
        <v>2003</v>
      </c>
      <c r="O319">
        <v>1967</v>
      </c>
      <c r="Q319" t="s">
        <v>1775</v>
      </c>
      <c r="R319" t="s">
        <v>1820</v>
      </c>
      <c r="S319" t="s">
        <v>2046</v>
      </c>
      <c r="T319" t="s">
        <v>1820</v>
      </c>
      <c r="X319">
        <v>0</v>
      </c>
      <c r="AA319">
        <v>0</v>
      </c>
    </row>
    <row r="320" spans="1:27">
      <c r="A320" s="1">
        <v>318</v>
      </c>
      <c r="B320">
        <v>33598223</v>
      </c>
      <c r="C320" t="s">
        <v>349</v>
      </c>
      <c r="D320" t="s">
        <v>781</v>
      </c>
      <c r="E320" t="s">
        <v>1157</v>
      </c>
      <c r="G320">
        <f>"1400069718"</f>
        <v>0</v>
      </c>
      <c r="H320">
        <f>"9781400069712"</f>
        <v>0</v>
      </c>
      <c r="I320">
        <v>0</v>
      </c>
      <c r="J320">
        <v>4.39</v>
      </c>
      <c r="K320" t="s">
        <v>1476</v>
      </c>
      <c r="L320" t="s">
        <v>1707</v>
      </c>
      <c r="M320">
        <v>784</v>
      </c>
      <c r="N320">
        <v>2018</v>
      </c>
      <c r="O320">
        <v>2018</v>
      </c>
      <c r="Q320" t="s">
        <v>1775</v>
      </c>
      <c r="R320" t="s">
        <v>1820</v>
      </c>
      <c r="S320" t="s">
        <v>2047</v>
      </c>
      <c r="T320" t="s">
        <v>1820</v>
      </c>
      <c r="X320">
        <v>0</v>
      </c>
      <c r="AA320">
        <v>0</v>
      </c>
    </row>
    <row r="321" spans="1:27">
      <c r="A321" s="1">
        <v>319</v>
      </c>
      <c r="B321">
        <v>4591</v>
      </c>
      <c r="C321" t="s">
        <v>350</v>
      </c>
      <c r="D321" t="s">
        <v>782</v>
      </c>
      <c r="E321" t="s">
        <v>1158</v>
      </c>
      <c r="G321">
        <f>"0060894083"</f>
        <v>0</v>
      </c>
      <c r="H321">
        <f>"9780060894085"</f>
        <v>0</v>
      </c>
      <c r="I321">
        <v>0</v>
      </c>
      <c r="J321">
        <v>4.04</v>
      </c>
      <c r="K321" t="s">
        <v>1463</v>
      </c>
      <c r="L321" t="s">
        <v>1705</v>
      </c>
      <c r="M321">
        <v>344</v>
      </c>
      <c r="N321">
        <v>2006</v>
      </c>
      <c r="O321">
        <v>1999</v>
      </c>
      <c r="Q321" t="s">
        <v>1775</v>
      </c>
      <c r="R321" t="s">
        <v>1820</v>
      </c>
      <c r="S321" t="s">
        <v>2048</v>
      </c>
      <c r="T321" t="s">
        <v>1820</v>
      </c>
      <c r="X321">
        <v>0</v>
      </c>
      <c r="AA321">
        <v>0</v>
      </c>
    </row>
    <row r="322" spans="1:27">
      <c r="A322" s="1">
        <v>320</v>
      </c>
      <c r="B322">
        <v>3162916</v>
      </c>
      <c r="C322" t="s">
        <v>351</v>
      </c>
      <c r="D322" t="s">
        <v>783</v>
      </c>
      <c r="E322" t="s">
        <v>1159</v>
      </c>
      <c r="G322">
        <f>"3764334622"</f>
        <v>0</v>
      </c>
      <c r="H322">
        <f>"9783764334628"</f>
        <v>0</v>
      </c>
      <c r="I322">
        <v>0</v>
      </c>
      <c r="J322">
        <v>3.08</v>
      </c>
      <c r="O322">
        <v>1990</v>
      </c>
      <c r="Q322" t="s">
        <v>1775</v>
      </c>
      <c r="R322" t="s">
        <v>1820</v>
      </c>
      <c r="S322" t="s">
        <v>2049</v>
      </c>
      <c r="T322" t="s">
        <v>1820</v>
      </c>
      <c r="X322">
        <v>0</v>
      </c>
      <c r="AA322">
        <v>0</v>
      </c>
    </row>
    <row r="323" spans="1:27">
      <c r="A323" s="1">
        <v>321</v>
      </c>
      <c r="B323">
        <v>334749</v>
      </c>
      <c r="C323" t="s">
        <v>352</v>
      </c>
      <c r="D323" t="s">
        <v>784</v>
      </c>
      <c r="E323" t="s">
        <v>1160</v>
      </c>
      <c r="G323">
        <f>"0393704637"</f>
        <v>0</v>
      </c>
      <c r="H323">
        <f>"9780393704631"</f>
        <v>0</v>
      </c>
      <c r="I323">
        <v>0</v>
      </c>
      <c r="J323">
        <v>4.03</v>
      </c>
      <c r="K323" t="s">
        <v>1556</v>
      </c>
      <c r="L323" t="s">
        <v>1707</v>
      </c>
      <c r="M323">
        <v>312</v>
      </c>
      <c r="N323">
        <v>2007</v>
      </c>
      <c r="O323">
        <v>2006</v>
      </c>
      <c r="Q323" t="s">
        <v>1775</v>
      </c>
      <c r="R323" t="s">
        <v>1820</v>
      </c>
      <c r="S323" t="s">
        <v>2050</v>
      </c>
      <c r="T323" t="s">
        <v>1820</v>
      </c>
      <c r="X323">
        <v>0</v>
      </c>
      <c r="AA323">
        <v>0</v>
      </c>
    </row>
    <row r="324" spans="1:27">
      <c r="A324" s="1">
        <v>322</v>
      </c>
      <c r="B324">
        <v>7733</v>
      </c>
      <c r="C324" t="s">
        <v>353</v>
      </c>
      <c r="D324" t="s">
        <v>785</v>
      </c>
      <c r="E324" t="s">
        <v>1161</v>
      </c>
      <c r="F324" t="s">
        <v>1368</v>
      </c>
      <c r="G324">
        <f>"0141439491"</f>
        <v>0</v>
      </c>
      <c r="H324">
        <f>"9780141439495"</f>
        <v>0</v>
      </c>
      <c r="I324">
        <v>0</v>
      </c>
      <c r="J324">
        <v>3.57</v>
      </c>
      <c r="K324" t="s">
        <v>1483</v>
      </c>
      <c r="L324" t="s">
        <v>1705</v>
      </c>
      <c r="M324">
        <v>306</v>
      </c>
      <c r="N324">
        <v>2003</v>
      </c>
      <c r="O324">
        <v>1726</v>
      </c>
      <c r="Q324" t="s">
        <v>1775</v>
      </c>
      <c r="R324" t="s">
        <v>1820</v>
      </c>
      <c r="S324" t="s">
        <v>2051</v>
      </c>
      <c r="T324" t="s">
        <v>1820</v>
      </c>
      <c r="X324">
        <v>0</v>
      </c>
      <c r="AA324">
        <v>0</v>
      </c>
    </row>
    <row r="325" spans="1:27">
      <c r="A325" s="1">
        <v>323</v>
      </c>
      <c r="B325">
        <v>606346</v>
      </c>
      <c r="C325" t="s">
        <v>354</v>
      </c>
      <c r="D325" t="s">
        <v>786</v>
      </c>
      <c r="E325" t="s">
        <v>1162</v>
      </c>
      <c r="G325">
        <f>"0520207173"</f>
        <v>0</v>
      </c>
      <c r="H325">
        <f>"9780520207172"</f>
        <v>0</v>
      </c>
      <c r="I325">
        <v>0</v>
      </c>
      <c r="J325">
        <v>3.17</v>
      </c>
      <c r="K325" t="s">
        <v>1496</v>
      </c>
      <c r="L325" t="s">
        <v>1705</v>
      </c>
      <c r="M325">
        <v>214</v>
      </c>
      <c r="N325">
        <v>1997</v>
      </c>
      <c r="O325">
        <v>1997</v>
      </c>
      <c r="Q325" t="s">
        <v>1775</v>
      </c>
      <c r="R325" t="s">
        <v>1820</v>
      </c>
      <c r="S325" t="s">
        <v>2052</v>
      </c>
      <c r="T325" t="s">
        <v>1820</v>
      </c>
      <c r="X325">
        <v>0</v>
      </c>
      <c r="AA325">
        <v>0</v>
      </c>
    </row>
    <row r="326" spans="1:27">
      <c r="A326" s="1">
        <v>324</v>
      </c>
      <c r="B326">
        <v>1044795</v>
      </c>
      <c r="C326" t="s">
        <v>355</v>
      </c>
      <c r="D326" t="s">
        <v>787</v>
      </c>
      <c r="E326" t="s">
        <v>1163</v>
      </c>
      <c r="G326">
        <f>"0815701535"</f>
        <v>0</v>
      </c>
      <c r="H326">
        <f>"9780815701538"</f>
        <v>0</v>
      </c>
      <c r="I326">
        <v>0</v>
      </c>
      <c r="J326">
        <v>4</v>
      </c>
      <c r="K326" t="s">
        <v>1637</v>
      </c>
      <c r="L326" t="s">
        <v>1705</v>
      </c>
      <c r="N326">
        <v>1998</v>
      </c>
      <c r="O326">
        <v>1998</v>
      </c>
      <c r="Q326" t="s">
        <v>1775</v>
      </c>
      <c r="R326" t="s">
        <v>1820</v>
      </c>
      <c r="S326" t="s">
        <v>2053</v>
      </c>
      <c r="T326" t="s">
        <v>1820</v>
      </c>
      <c r="X326">
        <v>0</v>
      </c>
      <c r="AA326">
        <v>0</v>
      </c>
    </row>
    <row r="327" spans="1:27">
      <c r="A327" s="1">
        <v>325</v>
      </c>
      <c r="B327">
        <v>4822090</v>
      </c>
      <c r="C327" t="s">
        <v>356</v>
      </c>
      <c r="D327" t="s">
        <v>788</v>
      </c>
      <c r="E327" t="s">
        <v>1164</v>
      </c>
      <c r="G327">
        <f>"0850651646"</f>
        <v>0</v>
      </c>
      <c r="H327">
        <f>"9780850651645"</f>
        <v>0</v>
      </c>
      <c r="I327">
        <v>0</v>
      </c>
      <c r="J327">
        <v>4.42</v>
      </c>
      <c r="O327">
        <v>1949</v>
      </c>
      <c r="Q327" t="s">
        <v>1775</v>
      </c>
      <c r="R327" t="s">
        <v>1820</v>
      </c>
      <c r="S327" t="s">
        <v>2054</v>
      </c>
      <c r="T327" t="s">
        <v>1820</v>
      </c>
      <c r="X327">
        <v>0</v>
      </c>
      <c r="AA327">
        <v>0</v>
      </c>
    </row>
    <row r="328" spans="1:27">
      <c r="A328" s="1">
        <v>326</v>
      </c>
      <c r="B328">
        <v>257845</v>
      </c>
      <c r="C328" t="s">
        <v>357</v>
      </c>
      <c r="D328" t="s">
        <v>789</v>
      </c>
      <c r="E328" t="s">
        <v>1165</v>
      </c>
      <c r="G328">
        <f>"1585673692"</f>
        <v>0</v>
      </c>
      <c r="H328">
        <f>"9781585673698"</f>
        <v>0</v>
      </c>
      <c r="I328">
        <v>0</v>
      </c>
      <c r="J328">
        <v>4.15</v>
      </c>
      <c r="K328" t="s">
        <v>1482</v>
      </c>
      <c r="L328" t="s">
        <v>1705</v>
      </c>
      <c r="M328">
        <v>224</v>
      </c>
      <c r="N328">
        <v>2002</v>
      </c>
      <c r="O328">
        <v>1968</v>
      </c>
      <c r="Q328" t="s">
        <v>1775</v>
      </c>
      <c r="R328" t="s">
        <v>1820</v>
      </c>
      <c r="S328" t="s">
        <v>2055</v>
      </c>
      <c r="T328" t="s">
        <v>1820</v>
      </c>
      <c r="X328">
        <v>0</v>
      </c>
      <c r="AA328">
        <v>0</v>
      </c>
    </row>
    <row r="329" spans="1:27">
      <c r="A329" s="1">
        <v>327</v>
      </c>
      <c r="B329">
        <v>22174460</v>
      </c>
      <c r="C329" t="s">
        <v>358</v>
      </c>
      <c r="D329" t="s">
        <v>790</v>
      </c>
      <c r="E329" t="s">
        <v>1166</v>
      </c>
      <c r="F329" t="s">
        <v>1369</v>
      </c>
      <c r="G329">
        <f>"1250065631"</f>
        <v>0</v>
      </c>
      <c r="H329">
        <f>"9781250065636"</f>
        <v>0</v>
      </c>
      <c r="I329">
        <v>0</v>
      </c>
      <c r="J329">
        <v>3.87</v>
      </c>
      <c r="K329" t="s">
        <v>1638</v>
      </c>
      <c r="L329" t="s">
        <v>1707</v>
      </c>
      <c r="M329">
        <v>368</v>
      </c>
      <c r="N329">
        <v>2015</v>
      </c>
      <c r="O329">
        <v>2015</v>
      </c>
      <c r="Q329" t="s">
        <v>1775</v>
      </c>
      <c r="R329" t="s">
        <v>1820</v>
      </c>
      <c r="S329" t="s">
        <v>2056</v>
      </c>
      <c r="T329" t="s">
        <v>1820</v>
      </c>
      <c r="X329">
        <v>0</v>
      </c>
      <c r="AA329">
        <v>0</v>
      </c>
    </row>
    <row r="330" spans="1:27">
      <c r="A330" s="1">
        <v>328</v>
      </c>
      <c r="B330">
        <v>18757597</v>
      </c>
      <c r="C330" t="s">
        <v>359</v>
      </c>
      <c r="D330" t="s">
        <v>791</v>
      </c>
      <c r="E330" t="s">
        <v>1167</v>
      </c>
      <c r="G330">
        <f>""</f>
        <v>0</v>
      </c>
      <c r="H330">
        <f>""</f>
        <v>0</v>
      </c>
      <c r="I330">
        <v>0</v>
      </c>
      <c r="J330">
        <v>3.96</v>
      </c>
      <c r="K330" t="s">
        <v>1639</v>
      </c>
      <c r="L330" t="s">
        <v>1707</v>
      </c>
      <c r="M330">
        <v>416</v>
      </c>
      <c r="N330">
        <v>2013</v>
      </c>
      <c r="O330">
        <v>2013</v>
      </c>
      <c r="Q330" t="s">
        <v>1775</v>
      </c>
      <c r="R330" t="s">
        <v>1820</v>
      </c>
      <c r="S330" t="s">
        <v>2057</v>
      </c>
      <c r="T330" t="s">
        <v>1820</v>
      </c>
      <c r="X330">
        <v>0</v>
      </c>
      <c r="AA330">
        <v>0</v>
      </c>
    </row>
    <row r="331" spans="1:27">
      <c r="A331" s="1">
        <v>329</v>
      </c>
      <c r="B331">
        <v>507952</v>
      </c>
      <c r="C331" t="s">
        <v>360</v>
      </c>
      <c r="D331" t="s">
        <v>792</v>
      </c>
      <c r="E331" t="s">
        <v>1168</v>
      </c>
      <c r="G331">
        <f>"0375758844"</f>
        <v>0</v>
      </c>
      <c r="H331">
        <f>"9780375758843"</f>
        <v>0</v>
      </c>
      <c r="I331">
        <v>0</v>
      </c>
      <c r="J331">
        <v>4.04</v>
      </c>
      <c r="K331" t="s">
        <v>1640</v>
      </c>
      <c r="L331" t="s">
        <v>1705</v>
      </c>
      <c r="M331">
        <v>464</v>
      </c>
      <c r="N331">
        <v>2004</v>
      </c>
      <c r="O331">
        <v>2003</v>
      </c>
      <c r="Q331" t="s">
        <v>1775</v>
      </c>
      <c r="R331" t="s">
        <v>1820</v>
      </c>
      <c r="S331" t="s">
        <v>2058</v>
      </c>
      <c r="T331" t="s">
        <v>1820</v>
      </c>
      <c r="X331">
        <v>0</v>
      </c>
      <c r="AA331">
        <v>0</v>
      </c>
    </row>
    <row r="332" spans="1:27">
      <c r="A332" s="1">
        <v>330</v>
      </c>
      <c r="B332">
        <v>224379</v>
      </c>
      <c r="C332" t="s">
        <v>361</v>
      </c>
      <c r="D332" t="s">
        <v>793</v>
      </c>
      <c r="E332" t="s">
        <v>1169</v>
      </c>
      <c r="G332">
        <f>"0767900561"</f>
        <v>0</v>
      </c>
      <c r="H332">
        <f>"9780767900560"</f>
        <v>0</v>
      </c>
      <c r="I332">
        <v>0</v>
      </c>
      <c r="J332">
        <v>4.23</v>
      </c>
      <c r="K332" t="s">
        <v>1461</v>
      </c>
      <c r="L332" t="s">
        <v>1707</v>
      </c>
      <c r="M332">
        <v>610</v>
      </c>
      <c r="N332">
        <v>2003</v>
      </c>
      <c r="O332">
        <v>2003</v>
      </c>
      <c r="Q332" t="s">
        <v>1775</v>
      </c>
      <c r="R332" t="s">
        <v>1820</v>
      </c>
      <c r="S332" t="s">
        <v>2059</v>
      </c>
      <c r="T332" t="s">
        <v>1820</v>
      </c>
      <c r="X332">
        <v>0</v>
      </c>
      <c r="AA332">
        <v>0</v>
      </c>
    </row>
    <row r="333" spans="1:27">
      <c r="A333" s="1">
        <v>331</v>
      </c>
      <c r="B333">
        <v>355697</v>
      </c>
      <c r="C333" t="s">
        <v>362</v>
      </c>
      <c r="D333" t="s">
        <v>794</v>
      </c>
      <c r="E333" t="s">
        <v>1170</v>
      </c>
      <c r="F333" t="s">
        <v>1370</v>
      </c>
      <c r="G333">
        <f>"0449213943"</f>
        <v>0</v>
      </c>
      <c r="H333">
        <f>"9780449213940"</f>
        <v>0</v>
      </c>
      <c r="I333">
        <v>0</v>
      </c>
      <c r="J333">
        <v>3.98</v>
      </c>
      <c r="K333" t="s">
        <v>1475</v>
      </c>
      <c r="L333" t="s">
        <v>1706</v>
      </c>
      <c r="M333">
        <v>296</v>
      </c>
      <c r="N333">
        <v>1987</v>
      </c>
      <c r="O333">
        <v>1929</v>
      </c>
      <c r="Q333" t="s">
        <v>1775</v>
      </c>
      <c r="R333" t="s">
        <v>1820</v>
      </c>
      <c r="S333" t="s">
        <v>2060</v>
      </c>
      <c r="T333" t="s">
        <v>1820</v>
      </c>
      <c r="X333">
        <v>0</v>
      </c>
      <c r="AA333">
        <v>0</v>
      </c>
    </row>
    <row r="334" spans="1:27">
      <c r="A334" s="1">
        <v>332</v>
      </c>
      <c r="B334">
        <v>64895</v>
      </c>
      <c r="C334" t="s">
        <v>363</v>
      </c>
      <c r="D334" t="s">
        <v>795</v>
      </c>
      <c r="E334" t="s">
        <v>1171</v>
      </c>
      <c r="G334">
        <f>"0099268701"</f>
        <v>0</v>
      </c>
      <c r="H334">
        <f>"9780099268703"</f>
        <v>0</v>
      </c>
      <c r="I334">
        <v>0</v>
      </c>
      <c r="J334">
        <v>3.91</v>
      </c>
      <c r="K334" t="s">
        <v>1641</v>
      </c>
      <c r="L334" t="s">
        <v>1705</v>
      </c>
      <c r="M334">
        <v>294</v>
      </c>
      <c r="N334">
        <v>1999</v>
      </c>
      <c r="O334">
        <v>1997</v>
      </c>
      <c r="Q334" t="s">
        <v>1775</v>
      </c>
      <c r="R334" t="s">
        <v>1820</v>
      </c>
      <c r="S334" t="s">
        <v>2061</v>
      </c>
      <c r="T334" t="s">
        <v>1820</v>
      </c>
      <c r="X334">
        <v>0</v>
      </c>
      <c r="AA334">
        <v>0</v>
      </c>
    </row>
    <row r="335" spans="1:27">
      <c r="A335" s="1">
        <v>333</v>
      </c>
      <c r="B335">
        <v>2715</v>
      </c>
      <c r="C335" t="s">
        <v>364</v>
      </c>
      <c r="D335" t="s">
        <v>795</v>
      </c>
      <c r="E335" t="s">
        <v>1171</v>
      </c>
      <c r="G335">
        <f>"0142001619"</f>
        <v>0</v>
      </c>
      <c r="H335">
        <f>"9780142001615"</f>
        <v>0</v>
      </c>
      <c r="I335">
        <v>0</v>
      </c>
      <c r="J335">
        <v>3.74</v>
      </c>
      <c r="K335" t="s">
        <v>1428</v>
      </c>
      <c r="L335" t="s">
        <v>1705</v>
      </c>
      <c r="M335">
        <v>484</v>
      </c>
      <c r="N335">
        <v>2003</v>
      </c>
      <c r="O335">
        <v>2002</v>
      </c>
      <c r="Q335" t="s">
        <v>1775</v>
      </c>
      <c r="R335" t="s">
        <v>1820</v>
      </c>
      <c r="S335" t="s">
        <v>2062</v>
      </c>
      <c r="T335" t="s">
        <v>1820</v>
      </c>
      <c r="X335">
        <v>0</v>
      </c>
      <c r="AA335">
        <v>0</v>
      </c>
    </row>
    <row r="336" spans="1:27">
      <c r="A336" s="1">
        <v>334</v>
      </c>
      <c r="B336">
        <v>152038</v>
      </c>
      <c r="C336" t="s">
        <v>365</v>
      </c>
      <c r="D336" t="s">
        <v>796</v>
      </c>
      <c r="E336" t="s">
        <v>1172</v>
      </c>
      <c r="G336">
        <f>"1556524838"</f>
        <v>0</v>
      </c>
      <c r="H336">
        <f>"9781556524837"</f>
        <v>0</v>
      </c>
      <c r="I336">
        <v>0</v>
      </c>
      <c r="J336">
        <v>4.33</v>
      </c>
      <c r="K336" t="s">
        <v>1642</v>
      </c>
      <c r="L336" t="s">
        <v>1705</v>
      </c>
      <c r="M336">
        <v>709</v>
      </c>
      <c r="N336">
        <v>2003</v>
      </c>
      <c r="O336">
        <v>1972</v>
      </c>
      <c r="Q336" t="s">
        <v>1775</v>
      </c>
      <c r="R336" t="s">
        <v>1820</v>
      </c>
      <c r="S336" t="s">
        <v>2063</v>
      </c>
      <c r="T336" t="s">
        <v>1820</v>
      </c>
      <c r="X336">
        <v>0</v>
      </c>
      <c r="AA336">
        <v>0</v>
      </c>
    </row>
    <row r="337" spans="1:27">
      <c r="A337" s="1">
        <v>335</v>
      </c>
      <c r="B337">
        <v>5983996</v>
      </c>
      <c r="C337" t="s">
        <v>366</v>
      </c>
      <c r="D337" t="s">
        <v>797</v>
      </c>
      <c r="E337" t="s">
        <v>1173</v>
      </c>
      <c r="F337" t="s">
        <v>1371</v>
      </c>
      <c r="G337">
        <f>"0385527241"</f>
        <v>0</v>
      </c>
      <c r="H337">
        <f>"9780385527248"</f>
        <v>0</v>
      </c>
      <c r="I337">
        <v>0</v>
      </c>
      <c r="J337">
        <v>4.11</v>
      </c>
      <c r="K337" t="s">
        <v>1643</v>
      </c>
      <c r="L337" t="s">
        <v>1707</v>
      </c>
      <c r="M337">
        <v>336</v>
      </c>
      <c r="N337">
        <v>2009</v>
      </c>
      <c r="O337">
        <v>2007</v>
      </c>
      <c r="Q337" t="s">
        <v>1775</v>
      </c>
      <c r="R337" t="s">
        <v>1820</v>
      </c>
      <c r="S337" t="s">
        <v>2064</v>
      </c>
      <c r="T337" t="s">
        <v>1820</v>
      </c>
      <c r="X337">
        <v>0</v>
      </c>
      <c r="AA337">
        <v>0</v>
      </c>
    </row>
    <row r="338" spans="1:27">
      <c r="A338" s="1">
        <v>336</v>
      </c>
      <c r="B338">
        <v>41817501</v>
      </c>
      <c r="C338" t="s">
        <v>367</v>
      </c>
      <c r="D338" t="s">
        <v>798</v>
      </c>
      <c r="E338" t="s">
        <v>1174</v>
      </c>
      <c r="G338">
        <f>"0393357090"</f>
        <v>0</v>
      </c>
      <c r="H338">
        <f>"9780393357097"</f>
        <v>0</v>
      </c>
      <c r="I338">
        <v>0</v>
      </c>
      <c r="J338">
        <v>3.64</v>
      </c>
      <c r="K338" t="s">
        <v>1556</v>
      </c>
      <c r="L338" t="s">
        <v>1705</v>
      </c>
      <c r="M338">
        <v>272</v>
      </c>
      <c r="N338">
        <v>2019</v>
      </c>
      <c r="O338">
        <v>2018</v>
      </c>
      <c r="Q338" t="s">
        <v>1775</v>
      </c>
      <c r="R338" t="s">
        <v>1820</v>
      </c>
      <c r="S338" t="s">
        <v>2065</v>
      </c>
      <c r="T338" t="s">
        <v>1820</v>
      </c>
      <c r="X338">
        <v>0</v>
      </c>
      <c r="AA338">
        <v>0</v>
      </c>
    </row>
    <row r="339" spans="1:27">
      <c r="A339" s="1">
        <v>337</v>
      </c>
      <c r="B339">
        <v>2033025</v>
      </c>
      <c r="C339" t="s">
        <v>368</v>
      </c>
      <c r="D339" t="s">
        <v>799</v>
      </c>
      <c r="E339" t="s">
        <v>1175</v>
      </c>
      <c r="G339">
        <f>"0002712245"</f>
        <v>0</v>
      </c>
      <c r="H339">
        <f>"9780002712248"</f>
        <v>0</v>
      </c>
      <c r="I339">
        <v>0</v>
      </c>
      <c r="J339">
        <v>4.06</v>
      </c>
      <c r="K339" t="s">
        <v>1644</v>
      </c>
      <c r="L339" t="s">
        <v>1705</v>
      </c>
      <c r="M339">
        <v>304</v>
      </c>
      <c r="N339">
        <v>1998</v>
      </c>
      <c r="O339">
        <v>1951</v>
      </c>
      <c r="Q339" t="s">
        <v>1775</v>
      </c>
      <c r="R339" t="s">
        <v>1820</v>
      </c>
      <c r="S339" t="s">
        <v>2066</v>
      </c>
      <c r="T339" t="s">
        <v>1820</v>
      </c>
      <c r="X339">
        <v>0</v>
      </c>
      <c r="AA339">
        <v>0</v>
      </c>
    </row>
    <row r="340" spans="1:27">
      <c r="A340" s="1">
        <v>338</v>
      </c>
      <c r="B340">
        <v>40180025</v>
      </c>
      <c r="C340" t="s">
        <v>369</v>
      </c>
      <c r="D340" t="s">
        <v>800</v>
      </c>
      <c r="E340" t="s">
        <v>1176</v>
      </c>
      <c r="G340">
        <f>"0393356582"</f>
        <v>0</v>
      </c>
      <c r="H340">
        <f>"9780393356588"</f>
        <v>0</v>
      </c>
      <c r="I340">
        <v>0</v>
      </c>
      <c r="J340">
        <v>3.81</v>
      </c>
      <c r="K340" t="s">
        <v>1556</v>
      </c>
      <c r="L340" t="s">
        <v>1705</v>
      </c>
      <c r="M340">
        <v>448</v>
      </c>
      <c r="N340">
        <v>2019</v>
      </c>
      <c r="O340">
        <v>2018</v>
      </c>
      <c r="Q340" t="s">
        <v>1775</v>
      </c>
      <c r="R340" t="s">
        <v>1820</v>
      </c>
      <c r="S340" t="s">
        <v>2067</v>
      </c>
      <c r="T340" t="s">
        <v>1820</v>
      </c>
      <c r="X340">
        <v>0</v>
      </c>
      <c r="AA340">
        <v>0</v>
      </c>
    </row>
    <row r="341" spans="1:27">
      <c r="A341" s="1">
        <v>339</v>
      </c>
      <c r="B341">
        <v>16884</v>
      </c>
      <c r="C341" t="s">
        <v>370</v>
      </c>
      <c r="D341" t="s">
        <v>801</v>
      </c>
      <c r="E341" t="s">
        <v>1177</v>
      </c>
      <c r="G341">
        <f>"0684813785"</f>
        <v>0</v>
      </c>
      <c r="H341">
        <f>"9780684813783"</f>
        <v>0</v>
      </c>
      <c r="I341">
        <v>0</v>
      </c>
      <c r="J341">
        <v>4.36</v>
      </c>
      <c r="K341" t="s">
        <v>1459</v>
      </c>
      <c r="L341" t="s">
        <v>1705</v>
      </c>
      <c r="M341">
        <v>886</v>
      </c>
      <c r="N341">
        <v>1995</v>
      </c>
      <c r="O341">
        <v>1986</v>
      </c>
      <c r="Q341" t="s">
        <v>1775</v>
      </c>
      <c r="R341" t="s">
        <v>1820</v>
      </c>
      <c r="S341" t="s">
        <v>2068</v>
      </c>
      <c r="T341" t="s">
        <v>1820</v>
      </c>
      <c r="X341">
        <v>0</v>
      </c>
      <c r="AA341">
        <v>0</v>
      </c>
    </row>
    <row r="342" spans="1:27">
      <c r="A342" s="1">
        <v>340</v>
      </c>
      <c r="B342">
        <v>8155672</v>
      </c>
      <c r="C342" t="s">
        <v>371</v>
      </c>
      <c r="D342" t="s">
        <v>802</v>
      </c>
      <c r="E342" t="s">
        <v>1178</v>
      </c>
      <c r="G342">
        <f>"0060760222"</f>
        <v>0</v>
      </c>
      <c r="H342">
        <f>"9780060760229"</f>
        <v>0</v>
      </c>
      <c r="I342">
        <v>0</v>
      </c>
      <c r="J342">
        <v>4.24</v>
      </c>
      <c r="K342" t="s">
        <v>1456</v>
      </c>
      <c r="L342" t="s">
        <v>1707</v>
      </c>
      <c r="M342">
        <v>992</v>
      </c>
      <c r="N342">
        <v>2010</v>
      </c>
      <c r="O342">
        <v>2010</v>
      </c>
      <c r="Q342" t="s">
        <v>1775</v>
      </c>
      <c r="R342" t="s">
        <v>1820</v>
      </c>
      <c r="S342" t="s">
        <v>2069</v>
      </c>
      <c r="T342" t="s">
        <v>1820</v>
      </c>
      <c r="X342">
        <v>0</v>
      </c>
      <c r="AA342">
        <v>0</v>
      </c>
    </row>
    <row r="343" spans="1:27">
      <c r="A343" s="1">
        <v>341</v>
      </c>
      <c r="B343">
        <v>42960</v>
      </c>
      <c r="C343" t="s">
        <v>372</v>
      </c>
      <c r="D343" t="s">
        <v>803</v>
      </c>
      <c r="E343" t="s">
        <v>1179</v>
      </c>
      <c r="G343">
        <f>"0812974921"</f>
        <v>0</v>
      </c>
      <c r="H343">
        <f>"9780812974928"</f>
        <v>0</v>
      </c>
      <c r="I343">
        <v>0</v>
      </c>
      <c r="J343">
        <v>3.93</v>
      </c>
      <c r="K343" t="s">
        <v>1645</v>
      </c>
      <c r="L343" t="s">
        <v>1705</v>
      </c>
      <c r="M343">
        <v>672</v>
      </c>
      <c r="N343">
        <v>2005</v>
      </c>
      <c r="O343">
        <v>1989</v>
      </c>
      <c r="Q343" t="s">
        <v>1775</v>
      </c>
      <c r="R343" t="s">
        <v>1820</v>
      </c>
      <c r="S343" t="s">
        <v>2070</v>
      </c>
      <c r="T343" t="s">
        <v>1820</v>
      </c>
      <c r="X343">
        <v>0</v>
      </c>
      <c r="AA343">
        <v>0</v>
      </c>
    </row>
    <row r="344" spans="1:27">
      <c r="A344" s="1">
        <v>342</v>
      </c>
      <c r="B344">
        <v>10266902</v>
      </c>
      <c r="C344" t="s">
        <v>373</v>
      </c>
      <c r="D344" t="s">
        <v>804</v>
      </c>
      <c r="E344" t="s">
        <v>1180</v>
      </c>
      <c r="G344">
        <f>"046501867X"</f>
        <v>0</v>
      </c>
      <c r="H344">
        <f>"9780465018673"</f>
        <v>0</v>
      </c>
      <c r="I344">
        <v>0</v>
      </c>
      <c r="J344">
        <v>3.5</v>
      </c>
      <c r="K344" t="s">
        <v>1489</v>
      </c>
      <c r="L344" t="s">
        <v>1707</v>
      </c>
      <c r="M344">
        <v>240</v>
      </c>
      <c r="N344">
        <v>2011</v>
      </c>
      <c r="O344">
        <v>2011</v>
      </c>
      <c r="Q344" t="s">
        <v>1775</v>
      </c>
      <c r="R344" t="s">
        <v>1820</v>
      </c>
      <c r="S344" t="s">
        <v>2071</v>
      </c>
      <c r="T344" t="s">
        <v>1820</v>
      </c>
      <c r="X344">
        <v>0</v>
      </c>
      <c r="AA344">
        <v>0</v>
      </c>
    </row>
    <row r="345" spans="1:27">
      <c r="A345" s="1">
        <v>343</v>
      </c>
      <c r="B345">
        <v>698866</v>
      </c>
      <c r="C345" t="s">
        <v>374</v>
      </c>
      <c r="D345" t="s">
        <v>804</v>
      </c>
      <c r="E345" t="s">
        <v>1180</v>
      </c>
      <c r="G345">
        <f>"0691129428"</f>
        <v>0</v>
      </c>
      <c r="H345">
        <f>"9780691129426"</f>
        <v>0</v>
      </c>
      <c r="I345">
        <v>0</v>
      </c>
      <c r="J345">
        <v>3.93</v>
      </c>
      <c r="K345" t="s">
        <v>1429</v>
      </c>
      <c r="L345" t="s">
        <v>1707</v>
      </c>
      <c r="M345">
        <v>276</v>
      </c>
      <c r="N345">
        <v>2007</v>
      </c>
      <c r="O345">
        <v>2007</v>
      </c>
      <c r="Q345" t="s">
        <v>1775</v>
      </c>
      <c r="R345" t="s">
        <v>1820</v>
      </c>
      <c r="S345" t="s">
        <v>2072</v>
      </c>
      <c r="T345" t="s">
        <v>1820</v>
      </c>
      <c r="X345">
        <v>0</v>
      </c>
      <c r="AA345">
        <v>0</v>
      </c>
    </row>
    <row r="346" spans="1:27">
      <c r="A346" s="1">
        <v>344</v>
      </c>
      <c r="B346">
        <v>36319077</v>
      </c>
      <c r="C346" t="s">
        <v>375</v>
      </c>
      <c r="D346" t="s">
        <v>804</v>
      </c>
      <c r="E346" t="s">
        <v>1180</v>
      </c>
      <c r="G346">
        <f>"0691174652"</f>
        <v>0</v>
      </c>
      <c r="H346">
        <f>"9780691174655"</f>
        <v>0</v>
      </c>
      <c r="I346">
        <v>0</v>
      </c>
      <c r="J346">
        <v>4.04</v>
      </c>
      <c r="K346" t="s">
        <v>1429</v>
      </c>
      <c r="L346" t="s">
        <v>1707</v>
      </c>
      <c r="M346">
        <v>416</v>
      </c>
      <c r="N346">
        <v>2018</v>
      </c>
      <c r="O346">
        <v>2018</v>
      </c>
      <c r="Q346" t="s">
        <v>1775</v>
      </c>
      <c r="R346" t="s">
        <v>1820</v>
      </c>
      <c r="S346" t="s">
        <v>2073</v>
      </c>
      <c r="T346" t="s">
        <v>1820</v>
      </c>
      <c r="X346">
        <v>0</v>
      </c>
      <c r="AA346">
        <v>0</v>
      </c>
    </row>
    <row r="347" spans="1:27">
      <c r="A347" s="1">
        <v>345</v>
      </c>
      <c r="B347">
        <v>89158</v>
      </c>
      <c r="C347" t="s">
        <v>376</v>
      </c>
      <c r="D347" t="s">
        <v>805</v>
      </c>
      <c r="E347" t="s">
        <v>1181</v>
      </c>
      <c r="G347">
        <f>"0691128715"</f>
        <v>0</v>
      </c>
      <c r="H347">
        <f>"9780691128719"</f>
        <v>0</v>
      </c>
      <c r="I347">
        <v>0</v>
      </c>
      <c r="J347">
        <v>4.03</v>
      </c>
      <c r="K347" t="s">
        <v>1429</v>
      </c>
      <c r="L347" t="s">
        <v>1705</v>
      </c>
      <c r="M347">
        <v>321</v>
      </c>
      <c r="N347">
        <v>2006</v>
      </c>
      <c r="O347">
        <v>2005</v>
      </c>
      <c r="Q347" t="s">
        <v>1775</v>
      </c>
      <c r="R347" t="s">
        <v>1820</v>
      </c>
      <c r="S347" t="s">
        <v>2074</v>
      </c>
      <c r="T347" t="s">
        <v>1820</v>
      </c>
      <c r="X347">
        <v>0</v>
      </c>
      <c r="AA347">
        <v>0</v>
      </c>
    </row>
    <row r="348" spans="1:27">
      <c r="A348" s="1">
        <v>346</v>
      </c>
      <c r="B348">
        <v>4929</v>
      </c>
      <c r="C348" t="s">
        <v>377</v>
      </c>
      <c r="D348" t="s">
        <v>806</v>
      </c>
      <c r="E348" t="s">
        <v>1182</v>
      </c>
      <c r="F348" t="s">
        <v>1372</v>
      </c>
      <c r="G348">
        <f>"1400079276"</f>
        <v>0</v>
      </c>
      <c r="H348">
        <f>"9781400079278"</f>
        <v>0</v>
      </c>
      <c r="I348">
        <v>0</v>
      </c>
      <c r="J348">
        <v>4.14</v>
      </c>
      <c r="K348" t="s">
        <v>1580</v>
      </c>
      <c r="L348" t="s">
        <v>1705</v>
      </c>
      <c r="M348">
        <v>467</v>
      </c>
      <c r="N348">
        <v>2006</v>
      </c>
      <c r="O348">
        <v>2002</v>
      </c>
      <c r="Q348" t="s">
        <v>1775</v>
      </c>
      <c r="R348" t="s">
        <v>1820</v>
      </c>
      <c r="S348" t="s">
        <v>2075</v>
      </c>
      <c r="T348" t="s">
        <v>1820</v>
      </c>
      <c r="X348">
        <v>0</v>
      </c>
      <c r="AA348">
        <v>0</v>
      </c>
    </row>
    <row r="349" spans="1:27">
      <c r="A349" s="1">
        <v>347</v>
      </c>
      <c r="B349">
        <v>30141085</v>
      </c>
      <c r="C349" t="s">
        <v>378</v>
      </c>
      <c r="D349" t="s">
        <v>807</v>
      </c>
      <c r="E349" t="s">
        <v>1183</v>
      </c>
      <c r="G349">
        <f>""</f>
        <v>0</v>
      </c>
      <c r="H349">
        <f>""</f>
        <v>0</v>
      </c>
      <c r="I349">
        <v>0</v>
      </c>
      <c r="J349">
        <v>4.03</v>
      </c>
      <c r="L349" t="s">
        <v>1705</v>
      </c>
      <c r="M349">
        <v>131</v>
      </c>
      <c r="O349">
        <v>1922</v>
      </c>
      <c r="Q349" t="s">
        <v>1775</v>
      </c>
      <c r="R349" t="s">
        <v>1820</v>
      </c>
      <c r="S349" t="s">
        <v>2076</v>
      </c>
      <c r="T349" t="s">
        <v>1820</v>
      </c>
      <c r="X349">
        <v>0</v>
      </c>
      <c r="AA349">
        <v>0</v>
      </c>
    </row>
    <row r="350" spans="1:27">
      <c r="A350" s="1">
        <v>348</v>
      </c>
      <c r="B350">
        <v>1041018</v>
      </c>
      <c r="C350" t="s">
        <v>379</v>
      </c>
      <c r="D350" t="s">
        <v>808</v>
      </c>
      <c r="E350" t="s">
        <v>1184</v>
      </c>
      <c r="F350" t="s">
        <v>1373</v>
      </c>
      <c r="G350">
        <f>"1932033467"</f>
        <v>0</v>
      </c>
      <c r="H350">
        <f>"9781932033465"</f>
        <v>0</v>
      </c>
      <c r="I350">
        <v>0</v>
      </c>
      <c r="J350">
        <v>3.96</v>
      </c>
      <c r="K350" t="s">
        <v>1646</v>
      </c>
      <c r="L350" t="s">
        <v>1705</v>
      </c>
      <c r="M350">
        <v>256</v>
      </c>
      <c r="N350">
        <v>2005</v>
      </c>
      <c r="O350">
        <v>2003</v>
      </c>
      <c r="Q350" t="s">
        <v>1775</v>
      </c>
      <c r="R350" t="s">
        <v>1820</v>
      </c>
      <c r="S350" t="s">
        <v>2077</v>
      </c>
      <c r="T350" t="s">
        <v>1820</v>
      </c>
      <c r="X350">
        <v>0</v>
      </c>
      <c r="AA350">
        <v>0</v>
      </c>
    </row>
    <row r="351" spans="1:27">
      <c r="A351" s="1">
        <v>349</v>
      </c>
      <c r="B351">
        <v>110890</v>
      </c>
      <c r="C351" t="s">
        <v>380</v>
      </c>
      <c r="D351" t="s">
        <v>809</v>
      </c>
      <c r="E351" t="s">
        <v>1185</v>
      </c>
      <c r="G351">
        <f>"037541486X"</f>
        <v>0</v>
      </c>
      <c r="H351">
        <f>"9780375414862"</f>
        <v>0</v>
      </c>
      <c r="I351">
        <v>0</v>
      </c>
      <c r="J351">
        <v>4.38</v>
      </c>
      <c r="K351" t="s">
        <v>1647</v>
      </c>
      <c r="L351" t="s">
        <v>1707</v>
      </c>
      <c r="M351">
        <v>469</v>
      </c>
      <c r="N351">
        <v>2006</v>
      </c>
      <c r="O351">
        <v>2006</v>
      </c>
      <c r="Q351" t="s">
        <v>1775</v>
      </c>
      <c r="R351" t="s">
        <v>1820</v>
      </c>
      <c r="S351" t="s">
        <v>2078</v>
      </c>
      <c r="T351" t="s">
        <v>1820</v>
      </c>
      <c r="X351">
        <v>0</v>
      </c>
      <c r="AA351">
        <v>0</v>
      </c>
    </row>
    <row r="352" spans="1:27">
      <c r="A352" s="1">
        <v>350</v>
      </c>
      <c r="B352">
        <v>2459714</v>
      </c>
      <c r="C352" t="s">
        <v>381</v>
      </c>
      <c r="D352" t="s">
        <v>810</v>
      </c>
      <c r="E352" t="s">
        <v>1186</v>
      </c>
      <c r="G352">
        <f>"0061567582"</f>
        <v>0</v>
      </c>
      <c r="H352">
        <f>"9780061567582"</f>
        <v>0</v>
      </c>
      <c r="I352">
        <v>0</v>
      </c>
      <c r="J352">
        <v>3.79</v>
      </c>
      <c r="K352" t="s">
        <v>1456</v>
      </c>
      <c r="L352" t="s">
        <v>1707</v>
      </c>
      <c r="M352">
        <v>336</v>
      </c>
      <c r="N352">
        <v>2008</v>
      </c>
      <c r="O352">
        <v>2008</v>
      </c>
      <c r="Q352" t="s">
        <v>1775</v>
      </c>
      <c r="R352" t="s">
        <v>1820</v>
      </c>
      <c r="S352" t="s">
        <v>2079</v>
      </c>
      <c r="T352" t="s">
        <v>1820</v>
      </c>
      <c r="X352">
        <v>0</v>
      </c>
      <c r="AA352">
        <v>0</v>
      </c>
    </row>
    <row r="353" spans="1:27">
      <c r="A353" s="1">
        <v>351</v>
      </c>
      <c r="B353">
        <v>32829</v>
      </c>
      <c r="C353" t="s">
        <v>382</v>
      </c>
      <c r="D353" t="s">
        <v>623</v>
      </c>
      <c r="E353" t="s">
        <v>999</v>
      </c>
      <c r="G353">
        <f>"0553213970"</f>
        <v>0</v>
      </c>
      <c r="H353">
        <f>"9780553213973"</f>
        <v>0</v>
      </c>
      <c r="I353">
        <v>0</v>
      </c>
      <c r="J353">
        <v>3.86</v>
      </c>
      <c r="K353" t="s">
        <v>1648</v>
      </c>
      <c r="L353" t="s">
        <v>1705</v>
      </c>
      <c r="M353">
        <v>240</v>
      </c>
      <c r="N353">
        <v>2006</v>
      </c>
      <c r="O353">
        <v>1864</v>
      </c>
      <c r="Q353" t="s">
        <v>1775</v>
      </c>
      <c r="R353" t="s">
        <v>1820</v>
      </c>
      <c r="S353" t="s">
        <v>2080</v>
      </c>
      <c r="T353" t="s">
        <v>1820</v>
      </c>
      <c r="X353">
        <v>0</v>
      </c>
      <c r="AA353">
        <v>0</v>
      </c>
    </row>
    <row r="354" spans="1:27">
      <c r="A354" s="1">
        <v>352</v>
      </c>
      <c r="B354">
        <v>248510</v>
      </c>
      <c r="C354" t="s">
        <v>383</v>
      </c>
      <c r="D354" t="s">
        <v>811</v>
      </c>
      <c r="E354" t="s">
        <v>1187</v>
      </c>
      <c r="G354">
        <f>"0306812983"</f>
        <v>0</v>
      </c>
      <c r="H354">
        <f>"9780306812989"</f>
        <v>0</v>
      </c>
      <c r="I354">
        <v>0</v>
      </c>
      <c r="J354">
        <v>4.18</v>
      </c>
      <c r="K354" t="s">
        <v>1480</v>
      </c>
      <c r="L354" t="s">
        <v>1705</v>
      </c>
      <c r="M354">
        <v>672</v>
      </c>
      <c r="N354">
        <v>2003</v>
      </c>
      <c r="O354">
        <v>1969</v>
      </c>
      <c r="Q354" t="s">
        <v>1775</v>
      </c>
      <c r="R354" t="s">
        <v>1820</v>
      </c>
      <c r="S354" t="s">
        <v>2081</v>
      </c>
      <c r="T354" t="s">
        <v>1820</v>
      </c>
      <c r="X354">
        <v>0</v>
      </c>
      <c r="AA354">
        <v>0</v>
      </c>
    </row>
    <row r="355" spans="1:27">
      <c r="A355" s="1">
        <v>353</v>
      </c>
      <c r="B355">
        <v>7126</v>
      </c>
      <c r="C355" t="s">
        <v>384</v>
      </c>
      <c r="D355" t="s">
        <v>593</v>
      </c>
      <c r="E355" t="s">
        <v>969</v>
      </c>
      <c r="F355" t="s">
        <v>1374</v>
      </c>
      <c r="G355">
        <f>"0140449264"</f>
        <v>0</v>
      </c>
      <c r="H355">
        <f>"9780140449266"</f>
        <v>0</v>
      </c>
      <c r="I355">
        <v>0</v>
      </c>
      <c r="J355">
        <v>4.25</v>
      </c>
      <c r="K355" t="s">
        <v>1449</v>
      </c>
      <c r="L355" t="s">
        <v>1705</v>
      </c>
      <c r="M355">
        <v>1276</v>
      </c>
      <c r="N355">
        <v>2003</v>
      </c>
      <c r="O355">
        <v>1844</v>
      </c>
      <c r="Q355" t="s">
        <v>1775</v>
      </c>
      <c r="R355" t="s">
        <v>1820</v>
      </c>
      <c r="S355" t="s">
        <v>2082</v>
      </c>
      <c r="T355" t="s">
        <v>1820</v>
      </c>
      <c r="X355">
        <v>0</v>
      </c>
      <c r="AA355">
        <v>0</v>
      </c>
    </row>
    <row r="356" spans="1:27">
      <c r="A356" s="1">
        <v>354</v>
      </c>
      <c r="B356">
        <v>514313</v>
      </c>
      <c r="C356" t="s">
        <v>385</v>
      </c>
      <c r="D356" t="s">
        <v>812</v>
      </c>
      <c r="E356" t="s">
        <v>1188</v>
      </c>
      <c r="G356">
        <f>"0743225708"</f>
        <v>0</v>
      </c>
      <c r="H356">
        <f>"9780743225700"</f>
        <v>0</v>
      </c>
      <c r="I356">
        <v>0</v>
      </c>
      <c r="J356">
        <v>3.89</v>
      </c>
      <c r="K356" t="s">
        <v>1469</v>
      </c>
      <c r="L356" t="s">
        <v>1707</v>
      </c>
      <c r="M356">
        <v>272</v>
      </c>
      <c r="N356">
        <v>2002</v>
      </c>
      <c r="O356">
        <v>2002</v>
      </c>
      <c r="Q356" t="s">
        <v>1775</v>
      </c>
      <c r="R356" t="s">
        <v>1820</v>
      </c>
      <c r="S356" t="s">
        <v>2083</v>
      </c>
      <c r="T356" t="s">
        <v>1820</v>
      </c>
      <c r="X356">
        <v>0</v>
      </c>
      <c r="AA356">
        <v>0</v>
      </c>
    </row>
    <row r="357" spans="1:27">
      <c r="A357" s="1">
        <v>355</v>
      </c>
      <c r="B357">
        <v>34066798</v>
      </c>
      <c r="C357" t="s">
        <v>386</v>
      </c>
      <c r="D357" t="s">
        <v>813</v>
      </c>
      <c r="E357" t="s">
        <v>1189</v>
      </c>
      <c r="G357">
        <f>"0143110438"</f>
        <v>0</v>
      </c>
      <c r="H357">
        <f>"9780143110439"</f>
        <v>0</v>
      </c>
      <c r="I357">
        <v>0</v>
      </c>
      <c r="J357">
        <v>4.35</v>
      </c>
      <c r="K357" t="s">
        <v>1428</v>
      </c>
      <c r="L357" t="s">
        <v>1705</v>
      </c>
      <c r="M357">
        <v>496</v>
      </c>
      <c r="N357">
        <v>2019</v>
      </c>
      <c r="O357">
        <v>2016</v>
      </c>
      <c r="Q357" t="s">
        <v>1775</v>
      </c>
      <c r="R357" t="s">
        <v>1820</v>
      </c>
      <c r="S357" t="s">
        <v>2084</v>
      </c>
      <c r="T357" t="s">
        <v>1820</v>
      </c>
      <c r="X357">
        <v>0</v>
      </c>
      <c r="AA357">
        <v>0</v>
      </c>
    </row>
    <row r="358" spans="1:27">
      <c r="A358" s="1">
        <v>356</v>
      </c>
      <c r="B358">
        <v>30354429</v>
      </c>
      <c r="C358" t="s">
        <v>387</v>
      </c>
      <c r="D358" t="s">
        <v>814</v>
      </c>
      <c r="E358" t="s">
        <v>1190</v>
      </c>
      <c r="G358">
        <f>"1476794049"</f>
        <v>0</v>
      </c>
      <c r="H358">
        <f>"9781476794044"</f>
        <v>0</v>
      </c>
      <c r="I358">
        <v>0</v>
      </c>
      <c r="J358">
        <v>3.67</v>
      </c>
      <c r="K358" t="s">
        <v>1649</v>
      </c>
      <c r="L358" t="s">
        <v>1707</v>
      </c>
      <c r="M358">
        <v>307</v>
      </c>
      <c r="N358">
        <v>2017</v>
      </c>
      <c r="O358">
        <v>2017</v>
      </c>
      <c r="Q358" t="s">
        <v>1775</v>
      </c>
      <c r="R358" t="s">
        <v>1820</v>
      </c>
      <c r="S358" t="s">
        <v>2085</v>
      </c>
      <c r="T358" t="s">
        <v>1820</v>
      </c>
      <c r="X358">
        <v>0</v>
      </c>
      <c r="AA358">
        <v>0</v>
      </c>
    </row>
    <row r="359" spans="1:27">
      <c r="A359" s="1">
        <v>357</v>
      </c>
      <c r="B359">
        <v>145660</v>
      </c>
      <c r="C359" t="s">
        <v>388</v>
      </c>
      <c r="D359" t="s">
        <v>815</v>
      </c>
      <c r="E359" t="s">
        <v>1191</v>
      </c>
      <c r="F359" t="s">
        <v>1375</v>
      </c>
      <c r="G359">
        <f>"0679728562"</f>
        <v>0</v>
      </c>
      <c r="H359">
        <f>"9780679728566"</f>
        <v>0</v>
      </c>
      <c r="I359">
        <v>0</v>
      </c>
      <c r="J359">
        <v>4.26</v>
      </c>
      <c r="K359" t="s">
        <v>1507</v>
      </c>
      <c r="L359" t="s">
        <v>1705</v>
      </c>
      <c r="M359">
        <v>272</v>
      </c>
      <c r="N359">
        <v>1990</v>
      </c>
      <c r="O359">
        <v>1953</v>
      </c>
      <c r="Q359" t="s">
        <v>1775</v>
      </c>
      <c r="R359" t="s">
        <v>1820</v>
      </c>
      <c r="S359" t="s">
        <v>2086</v>
      </c>
      <c r="T359" t="s">
        <v>1820</v>
      </c>
      <c r="X359">
        <v>0</v>
      </c>
      <c r="AA359">
        <v>0</v>
      </c>
    </row>
    <row r="360" spans="1:27">
      <c r="A360" s="1">
        <v>358</v>
      </c>
      <c r="B360">
        <v>21853661</v>
      </c>
      <c r="C360" t="s">
        <v>389</v>
      </c>
      <c r="D360" t="s">
        <v>816</v>
      </c>
      <c r="E360" t="s">
        <v>1192</v>
      </c>
      <c r="F360" t="s">
        <v>1376</v>
      </c>
      <c r="G360">
        <f>"1250045444"</f>
        <v>0</v>
      </c>
      <c r="H360">
        <f>"9781250045447"</f>
        <v>0</v>
      </c>
      <c r="I360">
        <v>0</v>
      </c>
      <c r="J360">
        <v>4.12</v>
      </c>
      <c r="K360" t="s">
        <v>1638</v>
      </c>
      <c r="L360" t="s">
        <v>1707</v>
      </c>
      <c r="M360">
        <v>320</v>
      </c>
      <c r="N360">
        <v>2015</v>
      </c>
      <c r="O360">
        <v>2015</v>
      </c>
      <c r="Q360" t="s">
        <v>1775</v>
      </c>
      <c r="R360" t="s">
        <v>1820</v>
      </c>
      <c r="S360" t="s">
        <v>2087</v>
      </c>
      <c r="T360" t="s">
        <v>1820</v>
      </c>
      <c r="X360">
        <v>0</v>
      </c>
      <c r="AA360">
        <v>0</v>
      </c>
    </row>
    <row r="361" spans="1:27">
      <c r="A361" s="1">
        <v>359</v>
      </c>
      <c r="B361">
        <v>6308079</v>
      </c>
      <c r="C361" t="s">
        <v>390</v>
      </c>
      <c r="D361" t="s">
        <v>817</v>
      </c>
      <c r="E361" t="s">
        <v>1193</v>
      </c>
      <c r="F361" t="s">
        <v>1377</v>
      </c>
      <c r="G361">
        <f>"0061661228"</f>
        <v>0</v>
      </c>
      <c r="H361">
        <f>"9780061661228"</f>
        <v>0</v>
      </c>
      <c r="I361">
        <v>0</v>
      </c>
      <c r="J361">
        <v>4.29</v>
      </c>
      <c r="K361" t="s">
        <v>1456</v>
      </c>
      <c r="L361" t="s">
        <v>1707</v>
      </c>
      <c r="M361">
        <v>400</v>
      </c>
      <c r="N361">
        <v>2010</v>
      </c>
      <c r="O361">
        <v>2010</v>
      </c>
      <c r="Q361" t="s">
        <v>1775</v>
      </c>
      <c r="R361" t="s">
        <v>1820</v>
      </c>
      <c r="S361" t="s">
        <v>2088</v>
      </c>
      <c r="T361" t="s">
        <v>1820</v>
      </c>
      <c r="X361">
        <v>0</v>
      </c>
      <c r="AA361">
        <v>0</v>
      </c>
    </row>
    <row r="362" spans="1:27">
      <c r="A362" s="1">
        <v>360</v>
      </c>
      <c r="B362">
        <v>64582</v>
      </c>
      <c r="C362" t="s">
        <v>391</v>
      </c>
      <c r="D362" t="s">
        <v>571</v>
      </c>
      <c r="E362" t="s">
        <v>946</v>
      </c>
      <c r="G362">
        <f>"0140092501"</f>
        <v>0</v>
      </c>
      <c r="H362">
        <f>"9780140092509"</f>
        <v>0</v>
      </c>
      <c r="I362">
        <v>0</v>
      </c>
      <c r="J362">
        <v>4.01</v>
      </c>
      <c r="K362" t="s">
        <v>1428</v>
      </c>
      <c r="L362" t="s">
        <v>1705</v>
      </c>
      <c r="M362">
        <v>352</v>
      </c>
      <c r="N362">
        <v>1988</v>
      </c>
      <c r="O362">
        <v>1987</v>
      </c>
      <c r="Q362" t="s">
        <v>1775</v>
      </c>
      <c r="R362" t="s">
        <v>1820</v>
      </c>
      <c r="S362" t="s">
        <v>2089</v>
      </c>
      <c r="T362" t="s">
        <v>1820</v>
      </c>
      <c r="X362">
        <v>0</v>
      </c>
      <c r="AA362">
        <v>0</v>
      </c>
    </row>
    <row r="363" spans="1:27">
      <c r="A363" s="1">
        <v>361</v>
      </c>
      <c r="B363">
        <v>28110891</v>
      </c>
      <c r="C363" t="s">
        <v>392</v>
      </c>
      <c r="D363" t="s">
        <v>818</v>
      </c>
      <c r="E363" t="s">
        <v>1194</v>
      </c>
      <c r="F363" t="s">
        <v>1378</v>
      </c>
      <c r="G363">
        <f>"0761169083"</f>
        <v>0</v>
      </c>
      <c r="H363">
        <f>"9780761169086"</f>
        <v>0</v>
      </c>
      <c r="I363">
        <v>0</v>
      </c>
      <c r="J363">
        <v>4.25</v>
      </c>
      <c r="K363" t="s">
        <v>1650</v>
      </c>
      <c r="L363" t="s">
        <v>1707</v>
      </c>
      <c r="M363">
        <v>470</v>
      </c>
      <c r="N363">
        <v>2016</v>
      </c>
      <c r="O363">
        <v>2016</v>
      </c>
      <c r="Q363" t="s">
        <v>1775</v>
      </c>
      <c r="R363" t="s">
        <v>1820</v>
      </c>
      <c r="S363" t="s">
        <v>2090</v>
      </c>
      <c r="T363" t="s">
        <v>1820</v>
      </c>
      <c r="X363">
        <v>0</v>
      </c>
      <c r="AA363">
        <v>0</v>
      </c>
    </row>
    <row r="364" spans="1:27">
      <c r="A364" s="1">
        <v>362</v>
      </c>
      <c r="B364">
        <v>17471298</v>
      </c>
      <c r="C364" t="s">
        <v>393</v>
      </c>
      <c r="D364" t="s">
        <v>819</v>
      </c>
      <c r="E364" t="s">
        <v>1195</v>
      </c>
      <c r="G364">
        <f>"0521199565"</f>
        <v>0</v>
      </c>
      <c r="H364">
        <f>"9780521199568"</f>
        <v>0</v>
      </c>
      <c r="I364">
        <v>0</v>
      </c>
      <c r="J364">
        <v>4.15</v>
      </c>
      <c r="K364" t="s">
        <v>1497</v>
      </c>
      <c r="L364" t="s">
        <v>1705</v>
      </c>
      <c r="M364">
        <v>370</v>
      </c>
      <c r="N364">
        <v>2013</v>
      </c>
      <c r="O364">
        <v>2013</v>
      </c>
      <c r="Q364" t="s">
        <v>1775</v>
      </c>
      <c r="R364" t="s">
        <v>1820</v>
      </c>
      <c r="S364" t="s">
        <v>2091</v>
      </c>
      <c r="T364" t="s">
        <v>1820</v>
      </c>
      <c r="X364">
        <v>0</v>
      </c>
      <c r="AA364">
        <v>0</v>
      </c>
    </row>
    <row r="365" spans="1:27">
      <c r="A365" s="1">
        <v>363</v>
      </c>
      <c r="B365">
        <v>20527133</v>
      </c>
      <c r="C365" t="s">
        <v>394</v>
      </c>
      <c r="D365" t="s">
        <v>820</v>
      </c>
      <c r="E365" t="s">
        <v>1196</v>
      </c>
      <c r="G365">
        <f>"0199678111"</f>
        <v>0</v>
      </c>
      <c r="H365">
        <f>"9780199678112"</f>
        <v>0</v>
      </c>
      <c r="I365">
        <v>0</v>
      </c>
      <c r="J365">
        <v>3.87</v>
      </c>
      <c r="K365" t="s">
        <v>1530</v>
      </c>
      <c r="L365" t="s">
        <v>1707</v>
      </c>
      <c r="M365">
        <v>328</v>
      </c>
      <c r="N365">
        <v>2014</v>
      </c>
      <c r="O365">
        <v>2014</v>
      </c>
      <c r="Q365" t="s">
        <v>1775</v>
      </c>
      <c r="R365" t="s">
        <v>1820</v>
      </c>
      <c r="S365" t="s">
        <v>2092</v>
      </c>
      <c r="T365" t="s">
        <v>1820</v>
      </c>
      <c r="X365">
        <v>0</v>
      </c>
      <c r="AA365">
        <v>0</v>
      </c>
    </row>
    <row r="366" spans="1:27">
      <c r="A366" s="1">
        <v>364</v>
      </c>
      <c r="B366">
        <v>13629</v>
      </c>
      <c r="C366" t="s">
        <v>395</v>
      </c>
      <c r="D366" t="s">
        <v>821</v>
      </c>
      <c r="E366" t="s">
        <v>1197</v>
      </c>
      <c r="G366">
        <f>"0201835959"</f>
        <v>0</v>
      </c>
      <c r="H366">
        <f>"9780201835953"</f>
        <v>0</v>
      </c>
      <c r="I366">
        <v>0</v>
      </c>
      <c r="J366">
        <v>4.04</v>
      </c>
      <c r="K366" t="s">
        <v>1651</v>
      </c>
      <c r="L366" t="s">
        <v>1705</v>
      </c>
      <c r="M366">
        <v>322</v>
      </c>
      <c r="N366">
        <v>1995</v>
      </c>
      <c r="O366">
        <v>1975</v>
      </c>
      <c r="Q366" t="s">
        <v>1773</v>
      </c>
      <c r="R366" t="s">
        <v>1820</v>
      </c>
      <c r="S366" t="s">
        <v>2093</v>
      </c>
      <c r="T366" t="s">
        <v>1820</v>
      </c>
      <c r="X366">
        <v>0</v>
      </c>
      <c r="AA366">
        <v>0</v>
      </c>
    </row>
    <row r="367" spans="1:27">
      <c r="A367" s="1">
        <v>365</v>
      </c>
      <c r="B367">
        <v>24583</v>
      </c>
      <c r="C367" t="s">
        <v>396</v>
      </c>
      <c r="D367" t="s">
        <v>608</v>
      </c>
      <c r="E367" t="s">
        <v>984</v>
      </c>
      <c r="F367" t="s">
        <v>1379</v>
      </c>
      <c r="G367">
        <f>"0143039563"</f>
        <v>0</v>
      </c>
      <c r="H367">
        <f>"9780143039563"</f>
        <v>0</v>
      </c>
      <c r="I367">
        <v>0</v>
      </c>
      <c r="J367">
        <v>3.91</v>
      </c>
      <c r="K367" t="s">
        <v>1449</v>
      </c>
      <c r="L367" t="s">
        <v>1705</v>
      </c>
      <c r="M367">
        <v>244</v>
      </c>
      <c r="N367">
        <v>2006</v>
      </c>
      <c r="O367">
        <v>1875</v>
      </c>
      <c r="Q367" t="s">
        <v>1773</v>
      </c>
      <c r="R367" t="s">
        <v>1820</v>
      </c>
      <c r="S367" t="s">
        <v>2094</v>
      </c>
      <c r="T367" t="s">
        <v>1820</v>
      </c>
      <c r="X367">
        <v>0</v>
      </c>
      <c r="AA367">
        <v>0</v>
      </c>
    </row>
    <row r="368" spans="1:27">
      <c r="A368" s="1">
        <v>366</v>
      </c>
      <c r="B368">
        <v>40102</v>
      </c>
      <c r="C368" t="s">
        <v>397</v>
      </c>
      <c r="D368" t="s">
        <v>822</v>
      </c>
      <c r="E368" t="s">
        <v>1198</v>
      </c>
      <c r="G368">
        <f>"0316010669"</f>
        <v>0</v>
      </c>
      <c r="H368">
        <f>"9780316010665"</f>
        <v>0</v>
      </c>
      <c r="I368">
        <v>0</v>
      </c>
      <c r="J368">
        <v>3.93</v>
      </c>
      <c r="K368" t="s">
        <v>1604</v>
      </c>
      <c r="L368" t="s">
        <v>1705</v>
      </c>
      <c r="M368">
        <v>296</v>
      </c>
      <c r="N368">
        <v>2007</v>
      </c>
      <c r="O368">
        <v>2005</v>
      </c>
      <c r="Q368" t="s">
        <v>1773</v>
      </c>
      <c r="R368" t="s">
        <v>1820</v>
      </c>
      <c r="S368" t="s">
        <v>2095</v>
      </c>
      <c r="T368" t="s">
        <v>1820</v>
      </c>
      <c r="X368">
        <v>0</v>
      </c>
      <c r="AA368">
        <v>0</v>
      </c>
    </row>
    <row r="369" spans="1:27">
      <c r="A369" s="1">
        <v>367</v>
      </c>
      <c r="B369">
        <v>78127</v>
      </c>
      <c r="C369" t="s">
        <v>398</v>
      </c>
      <c r="D369" t="s">
        <v>662</v>
      </c>
      <c r="E369" t="s">
        <v>1038</v>
      </c>
      <c r="G369">
        <f>"0316191442"</f>
        <v>0</v>
      </c>
      <c r="H369">
        <f>"9780316191449"</f>
        <v>0</v>
      </c>
      <c r="I369">
        <v>0</v>
      </c>
      <c r="J369">
        <v>4.17</v>
      </c>
      <c r="K369" t="s">
        <v>1604</v>
      </c>
      <c r="L369" t="s">
        <v>1705</v>
      </c>
      <c r="M369">
        <v>367</v>
      </c>
      <c r="N369">
        <v>2003</v>
      </c>
      <c r="O369">
        <v>1995</v>
      </c>
      <c r="Q369" t="s">
        <v>1773</v>
      </c>
      <c r="T369" t="s">
        <v>2097</v>
      </c>
      <c r="X369">
        <v>1</v>
      </c>
      <c r="AA369">
        <v>0</v>
      </c>
    </row>
    <row r="370" spans="1:27">
      <c r="A370" s="1">
        <v>368</v>
      </c>
      <c r="B370">
        <v>12936</v>
      </c>
      <c r="C370" t="s">
        <v>399</v>
      </c>
      <c r="D370" t="s">
        <v>673</v>
      </c>
      <c r="E370" t="s">
        <v>1049</v>
      </c>
      <c r="G370">
        <f>"0385732562"</f>
        <v>0</v>
      </c>
      <c r="H370">
        <f>"9780385732567"</f>
        <v>0</v>
      </c>
      <c r="I370">
        <v>0</v>
      </c>
      <c r="J370">
        <v>3.82</v>
      </c>
      <c r="K370" t="s">
        <v>1652</v>
      </c>
      <c r="L370" t="s">
        <v>1705</v>
      </c>
      <c r="M370">
        <v>240</v>
      </c>
      <c r="N370">
        <v>2000</v>
      </c>
      <c r="O370">
        <v>2000</v>
      </c>
      <c r="Q370" t="s">
        <v>1773</v>
      </c>
      <c r="T370" t="s">
        <v>2097</v>
      </c>
      <c r="X370">
        <v>1</v>
      </c>
      <c r="AA370">
        <v>0</v>
      </c>
    </row>
    <row r="371" spans="1:27">
      <c r="A371" s="1">
        <v>369</v>
      </c>
      <c r="B371">
        <v>12930</v>
      </c>
      <c r="C371" t="s">
        <v>400</v>
      </c>
      <c r="D371" t="s">
        <v>673</v>
      </c>
      <c r="E371" t="s">
        <v>1049</v>
      </c>
      <c r="G371">
        <f>"0385732538"</f>
        <v>0</v>
      </c>
      <c r="H371">
        <f>"9780385732536"</f>
        <v>0</v>
      </c>
      <c r="I371">
        <v>0</v>
      </c>
      <c r="J371">
        <v>3.91</v>
      </c>
      <c r="K371" t="s">
        <v>1653</v>
      </c>
      <c r="L371" t="s">
        <v>1705</v>
      </c>
      <c r="M371">
        <v>169</v>
      </c>
      <c r="N371">
        <v>2006</v>
      </c>
      <c r="O371">
        <v>2004</v>
      </c>
      <c r="Q371" t="s">
        <v>1773</v>
      </c>
      <c r="T371" t="s">
        <v>2097</v>
      </c>
      <c r="X371">
        <v>1</v>
      </c>
      <c r="AA371">
        <v>0</v>
      </c>
    </row>
    <row r="372" spans="1:27">
      <c r="A372" s="1">
        <v>370</v>
      </c>
      <c r="B372">
        <v>19057</v>
      </c>
      <c r="C372" t="s">
        <v>401</v>
      </c>
      <c r="D372" t="s">
        <v>823</v>
      </c>
      <c r="E372" t="s">
        <v>1199</v>
      </c>
      <c r="F372" t="s">
        <v>1380</v>
      </c>
      <c r="G372">
        <f>"0375836675"</f>
        <v>0</v>
      </c>
      <c r="H372">
        <f>"9780375836671"</f>
        <v>0</v>
      </c>
      <c r="I372">
        <v>0</v>
      </c>
      <c r="J372">
        <v>4.07</v>
      </c>
      <c r="K372" t="s">
        <v>1654</v>
      </c>
      <c r="L372" t="s">
        <v>1705</v>
      </c>
      <c r="M372">
        <v>357</v>
      </c>
      <c r="N372">
        <v>2006</v>
      </c>
      <c r="O372">
        <v>2002</v>
      </c>
      <c r="Q372" t="s">
        <v>1773</v>
      </c>
      <c r="T372" t="s">
        <v>2097</v>
      </c>
      <c r="X372">
        <v>1</v>
      </c>
      <c r="AA372">
        <v>0</v>
      </c>
    </row>
    <row r="373" spans="1:27">
      <c r="A373" s="1">
        <v>371</v>
      </c>
      <c r="B373">
        <v>27127656</v>
      </c>
      <c r="C373" t="s">
        <v>402</v>
      </c>
      <c r="D373" t="s">
        <v>264</v>
      </c>
      <c r="E373" t="s">
        <v>965</v>
      </c>
      <c r="G373">
        <f>"1517514614"</f>
        <v>0</v>
      </c>
      <c r="H373">
        <f>"9781517514617"</f>
        <v>0</v>
      </c>
      <c r="I373">
        <v>0</v>
      </c>
      <c r="J373">
        <v>3.5</v>
      </c>
      <c r="K373" t="s">
        <v>1655</v>
      </c>
      <c r="L373" t="s">
        <v>1705</v>
      </c>
      <c r="M373">
        <v>738</v>
      </c>
      <c r="N373">
        <v>2015</v>
      </c>
      <c r="O373">
        <v>2015</v>
      </c>
      <c r="Q373" t="s">
        <v>1773</v>
      </c>
      <c r="T373" t="s">
        <v>2097</v>
      </c>
      <c r="X373">
        <v>1</v>
      </c>
      <c r="AA373">
        <v>0</v>
      </c>
    </row>
    <row r="374" spans="1:27">
      <c r="A374" s="1">
        <v>372</v>
      </c>
      <c r="B374">
        <v>23106539</v>
      </c>
      <c r="C374" t="s">
        <v>403</v>
      </c>
      <c r="D374" t="s">
        <v>824</v>
      </c>
      <c r="E374" t="s">
        <v>1200</v>
      </c>
      <c r="G374">
        <f>"1905559658"</f>
        <v>0</v>
      </c>
      <c r="H374">
        <f>"9781905559657"</f>
        <v>0</v>
      </c>
      <c r="I374">
        <v>0</v>
      </c>
      <c r="J374">
        <v>3.65</v>
      </c>
      <c r="K374" t="s">
        <v>1656</v>
      </c>
      <c r="L374" t="s">
        <v>1709</v>
      </c>
      <c r="M374">
        <v>336</v>
      </c>
      <c r="N374">
        <v>2014</v>
      </c>
      <c r="O374">
        <v>2014</v>
      </c>
      <c r="Q374" t="s">
        <v>1773</v>
      </c>
      <c r="R374" t="s">
        <v>1820</v>
      </c>
      <c r="S374" t="s">
        <v>2096</v>
      </c>
      <c r="T374" t="s">
        <v>1820</v>
      </c>
      <c r="X374">
        <v>0</v>
      </c>
      <c r="AA374">
        <v>0</v>
      </c>
    </row>
    <row r="375" spans="1:27">
      <c r="A375" s="1">
        <v>373</v>
      </c>
      <c r="B375">
        <v>33507</v>
      </c>
      <c r="C375" t="s">
        <v>404</v>
      </c>
      <c r="D375" t="s">
        <v>623</v>
      </c>
      <c r="E375" t="s">
        <v>999</v>
      </c>
      <c r="F375" t="s">
        <v>1381</v>
      </c>
      <c r="G375">
        <f>"076072850X"</f>
        <v>0</v>
      </c>
      <c r="H375">
        <f>"9780760728505"</f>
        <v>0</v>
      </c>
      <c r="I375">
        <v>0</v>
      </c>
      <c r="J375">
        <v>3.89</v>
      </c>
      <c r="K375" t="s">
        <v>1657</v>
      </c>
      <c r="L375" t="s">
        <v>1707</v>
      </c>
      <c r="M375">
        <v>394</v>
      </c>
      <c r="N375">
        <v>2002</v>
      </c>
      <c r="O375">
        <v>1869</v>
      </c>
      <c r="Q375" t="s">
        <v>1773</v>
      </c>
      <c r="T375" t="s">
        <v>2097</v>
      </c>
      <c r="X375">
        <v>1</v>
      </c>
      <c r="AA375">
        <v>0</v>
      </c>
    </row>
    <row r="376" spans="1:27">
      <c r="A376" s="1">
        <v>374</v>
      </c>
      <c r="B376">
        <v>32831</v>
      </c>
      <c r="C376" t="s">
        <v>405</v>
      </c>
      <c r="D376" t="s">
        <v>623</v>
      </c>
      <c r="E376" t="s">
        <v>999</v>
      </c>
      <c r="F376" t="s">
        <v>1382</v>
      </c>
      <c r="G376">
        <f>"0812972120"</f>
        <v>0</v>
      </c>
      <c r="H376">
        <f>"9780812972122"</f>
        <v>0</v>
      </c>
      <c r="I376">
        <v>0</v>
      </c>
      <c r="J376">
        <v>4.11</v>
      </c>
      <c r="K376" t="s">
        <v>1492</v>
      </c>
      <c r="L376" t="s">
        <v>1705</v>
      </c>
      <c r="M376">
        <v>723</v>
      </c>
      <c r="N376">
        <v>2004</v>
      </c>
      <c r="O376">
        <v>1865</v>
      </c>
      <c r="Q376" t="s">
        <v>1773</v>
      </c>
      <c r="T376" t="s">
        <v>2097</v>
      </c>
      <c r="X376">
        <v>1</v>
      </c>
      <c r="AA376">
        <v>0</v>
      </c>
    </row>
    <row r="377" spans="1:27">
      <c r="A377" s="1">
        <v>375</v>
      </c>
      <c r="B377">
        <v>5308</v>
      </c>
      <c r="C377" t="s">
        <v>406</v>
      </c>
      <c r="D377" t="s">
        <v>597</v>
      </c>
      <c r="E377" t="s">
        <v>973</v>
      </c>
      <c r="G377">
        <f>"0142000698"</f>
        <v>0</v>
      </c>
      <c r="H377">
        <f>"9780142000694"</f>
        <v>0</v>
      </c>
      <c r="I377">
        <v>0</v>
      </c>
      <c r="J377">
        <v>3.47</v>
      </c>
      <c r="K377" t="s">
        <v>1428</v>
      </c>
      <c r="L377" t="s">
        <v>1705</v>
      </c>
      <c r="M377">
        <v>96</v>
      </c>
      <c r="N377">
        <v>2002</v>
      </c>
      <c r="O377">
        <v>1947</v>
      </c>
      <c r="Q377" t="s">
        <v>1773</v>
      </c>
      <c r="T377" t="s">
        <v>2097</v>
      </c>
      <c r="X377">
        <v>1</v>
      </c>
      <c r="AA377">
        <v>0</v>
      </c>
    </row>
    <row r="378" spans="1:27">
      <c r="A378" s="1">
        <v>376</v>
      </c>
      <c r="B378">
        <v>5907</v>
      </c>
      <c r="C378" t="s">
        <v>407</v>
      </c>
      <c r="D378" t="s">
        <v>825</v>
      </c>
      <c r="E378" t="s">
        <v>1201</v>
      </c>
      <c r="G378">
        <f>"0618260307"</f>
        <v>0</v>
      </c>
      <c r="H378">
        <f>"9780618260300"</f>
        <v>0</v>
      </c>
      <c r="I378">
        <v>0</v>
      </c>
      <c r="J378">
        <v>4.27</v>
      </c>
      <c r="K378" t="s">
        <v>1586</v>
      </c>
      <c r="L378" t="s">
        <v>1705</v>
      </c>
      <c r="M378">
        <v>366</v>
      </c>
      <c r="N378">
        <v>2002</v>
      </c>
      <c r="O378">
        <v>1937</v>
      </c>
      <c r="Q378" t="s">
        <v>1773</v>
      </c>
      <c r="T378" t="s">
        <v>2097</v>
      </c>
      <c r="X378">
        <v>1</v>
      </c>
      <c r="AA378">
        <v>0</v>
      </c>
    </row>
    <row r="379" spans="1:27">
      <c r="A379" s="1">
        <v>377</v>
      </c>
      <c r="B379">
        <v>136251</v>
      </c>
      <c r="C379" t="s">
        <v>408</v>
      </c>
      <c r="D379" t="s">
        <v>826</v>
      </c>
      <c r="E379" t="s">
        <v>1202</v>
      </c>
      <c r="G379">
        <f>"0545010225"</f>
        <v>0</v>
      </c>
      <c r="H379">
        <f>"9780545010221"</f>
        <v>0</v>
      </c>
      <c r="I379">
        <v>0</v>
      </c>
      <c r="J379">
        <v>4.62</v>
      </c>
      <c r="K379" t="s">
        <v>1658</v>
      </c>
      <c r="L379" t="s">
        <v>1707</v>
      </c>
      <c r="M379">
        <v>759</v>
      </c>
      <c r="N379">
        <v>2007</v>
      </c>
      <c r="O379">
        <v>2007</v>
      </c>
      <c r="Q379" t="s">
        <v>1773</v>
      </c>
      <c r="T379" t="s">
        <v>2097</v>
      </c>
      <c r="X379">
        <v>1</v>
      </c>
      <c r="AA379">
        <v>0</v>
      </c>
    </row>
    <row r="380" spans="1:27">
      <c r="A380" s="1">
        <v>378</v>
      </c>
      <c r="B380">
        <v>1</v>
      </c>
      <c r="C380" t="s">
        <v>409</v>
      </c>
      <c r="D380" t="s">
        <v>826</v>
      </c>
      <c r="E380" t="s">
        <v>1202</v>
      </c>
      <c r="G380">
        <f>""</f>
        <v>0</v>
      </c>
      <c r="H380">
        <f>""</f>
        <v>0</v>
      </c>
      <c r="I380">
        <v>0</v>
      </c>
      <c r="J380">
        <v>4.57</v>
      </c>
      <c r="K380" t="s">
        <v>1659</v>
      </c>
      <c r="L380" t="s">
        <v>1705</v>
      </c>
      <c r="M380">
        <v>652</v>
      </c>
      <c r="N380">
        <v>2006</v>
      </c>
      <c r="O380">
        <v>2005</v>
      </c>
      <c r="Q380" t="s">
        <v>1773</v>
      </c>
      <c r="T380" t="s">
        <v>2097</v>
      </c>
      <c r="X380">
        <v>1</v>
      </c>
      <c r="AA380">
        <v>0</v>
      </c>
    </row>
    <row r="381" spans="1:27">
      <c r="A381" s="1">
        <v>379</v>
      </c>
      <c r="B381">
        <v>2</v>
      </c>
      <c r="C381" t="s">
        <v>410</v>
      </c>
      <c r="D381" t="s">
        <v>826</v>
      </c>
      <c r="E381" t="s">
        <v>1202</v>
      </c>
      <c r="F381" t="s">
        <v>1383</v>
      </c>
      <c r="G381">
        <f>"0439358078"</f>
        <v>0</v>
      </c>
      <c r="H381">
        <f>"9780439358071"</f>
        <v>0</v>
      </c>
      <c r="I381">
        <v>0</v>
      </c>
      <c r="J381">
        <v>4.5</v>
      </c>
      <c r="K381" t="s">
        <v>1659</v>
      </c>
      <c r="L381" t="s">
        <v>1705</v>
      </c>
      <c r="M381">
        <v>870</v>
      </c>
      <c r="N381">
        <v>2004</v>
      </c>
      <c r="O381">
        <v>2003</v>
      </c>
      <c r="Q381" t="s">
        <v>1773</v>
      </c>
      <c r="T381" t="s">
        <v>2097</v>
      </c>
      <c r="X381">
        <v>1</v>
      </c>
      <c r="AA381">
        <v>0</v>
      </c>
    </row>
    <row r="382" spans="1:27">
      <c r="A382" s="1">
        <v>380</v>
      </c>
      <c r="B382">
        <v>6</v>
      </c>
      <c r="C382" t="s">
        <v>411</v>
      </c>
      <c r="D382" t="s">
        <v>826</v>
      </c>
      <c r="E382" t="s">
        <v>1202</v>
      </c>
      <c r="F382" t="s">
        <v>1383</v>
      </c>
      <c r="G382">
        <f>""</f>
        <v>0</v>
      </c>
      <c r="H382">
        <f>""</f>
        <v>0</v>
      </c>
      <c r="I382">
        <v>0</v>
      </c>
      <c r="J382">
        <v>4.56</v>
      </c>
      <c r="K382" t="s">
        <v>1660</v>
      </c>
      <c r="L382" t="s">
        <v>1705</v>
      </c>
      <c r="M382">
        <v>734</v>
      </c>
      <c r="N382">
        <v>2002</v>
      </c>
      <c r="O382">
        <v>2000</v>
      </c>
      <c r="Q382" t="s">
        <v>1773</v>
      </c>
      <c r="T382" t="s">
        <v>2097</v>
      </c>
      <c r="X382">
        <v>1</v>
      </c>
      <c r="AA382">
        <v>0</v>
      </c>
    </row>
    <row r="383" spans="1:27">
      <c r="A383" s="1">
        <v>381</v>
      </c>
      <c r="B383">
        <v>15881</v>
      </c>
      <c r="C383" t="s">
        <v>412</v>
      </c>
      <c r="D383" t="s">
        <v>826</v>
      </c>
      <c r="E383" t="s">
        <v>1202</v>
      </c>
      <c r="F383" t="s">
        <v>1383</v>
      </c>
      <c r="G383">
        <f>"0439064864"</f>
        <v>0</v>
      </c>
      <c r="H383">
        <f>"9780439064866"</f>
        <v>0</v>
      </c>
      <c r="I383">
        <v>0</v>
      </c>
      <c r="J383">
        <v>4.42</v>
      </c>
      <c r="K383" t="s">
        <v>1658</v>
      </c>
      <c r="L383" t="s">
        <v>1707</v>
      </c>
      <c r="M383">
        <v>341</v>
      </c>
      <c r="N383">
        <v>1999</v>
      </c>
      <c r="O383">
        <v>1998</v>
      </c>
      <c r="Q383" t="s">
        <v>1773</v>
      </c>
      <c r="T383" t="s">
        <v>2097</v>
      </c>
      <c r="X383">
        <v>1</v>
      </c>
      <c r="AA383">
        <v>0</v>
      </c>
    </row>
    <row r="384" spans="1:27">
      <c r="A384" s="1">
        <v>382</v>
      </c>
      <c r="B384">
        <v>5</v>
      </c>
      <c r="C384" t="s">
        <v>413</v>
      </c>
      <c r="D384" t="s">
        <v>826</v>
      </c>
      <c r="E384" t="s">
        <v>1202</v>
      </c>
      <c r="F384" t="s">
        <v>1383</v>
      </c>
      <c r="G384">
        <f>"043965548X"</f>
        <v>0</v>
      </c>
      <c r="H384">
        <f>"9780439655484"</f>
        <v>0</v>
      </c>
      <c r="I384">
        <v>0</v>
      </c>
      <c r="J384">
        <v>4.57</v>
      </c>
      <c r="K384" t="s">
        <v>1659</v>
      </c>
      <c r="L384" t="s">
        <v>1706</v>
      </c>
      <c r="M384">
        <v>435</v>
      </c>
      <c r="N384">
        <v>2004</v>
      </c>
      <c r="O384">
        <v>1999</v>
      </c>
      <c r="Q384" t="s">
        <v>1773</v>
      </c>
      <c r="T384" t="s">
        <v>2097</v>
      </c>
      <c r="X384">
        <v>1</v>
      </c>
      <c r="AA384">
        <v>0</v>
      </c>
    </row>
    <row r="385" spans="1:27">
      <c r="A385" s="1">
        <v>383</v>
      </c>
      <c r="B385">
        <v>3</v>
      </c>
      <c r="C385" t="s">
        <v>414</v>
      </c>
      <c r="D385" t="s">
        <v>826</v>
      </c>
      <c r="E385" t="s">
        <v>1202</v>
      </c>
      <c r="F385" t="s">
        <v>1383</v>
      </c>
      <c r="G385">
        <f>""</f>
        <v>0</v>
      </c>
      <c r="H385">
        <f>""</f>
        <v>0</v>
      </c>
      <c r="I385">
        <v>0</v>
      </c>
      <c r="J385">
        <v>4.47</v>
      </c>
      <c r="K385" t="s">
        <v>1661</v>
      </c>
      <c r="L385" t="s">
        <v>1707</v>
      </c>
      <c r="M385">
        <v>309</v>
      </c>
      <c r="N385">
        <v>2003</v>
      </c>
      <c r="O385">
        <v>1997</v>
      </c>
      <c r="Q385" t="s">
        <v>1773</v>
      </c>
      <c r="T385" t="s">
        <v>2097</v>
      </c>
      <c r="X385">
        <v>1</v>
      </c>
      <c r="AA385">
        <v>0</v>
      </c>
    </row>
    <row r="386" spans="1:27">
      <c r="A386" s="1">
        <v>384</v>
      </c>
      <c r="B386">
        <v>43015</v>
      </c>
      <c r="C386" t="s">
        <v>415</v>
      </c>
      <c r="D386" t="s">
        <v>827</v>
      </c>
      <c r="E386" t="s">
        <v>1203</v>
      </c>
      <c r="G386">
        <f>"0374105235"</f>
        <v>0</v>
      </c>
      <c r="H386">
        <f>"9780374105235"</f>
        <v>0</v>
      </c>
      <c r="I386">
        <v>0</v>
      </c>
      <c r="J386">
        <v>4.16</v>
      </c>
      <c r="K386" t="s">
        <v>1662</v>
      </c>
      <c r="L386" t="s">
        <v>1707</v>
      </c>
      <c r="M386">
        <v>229</v>
      </c>
      <c r="N386">
        <v>2007</v>
      </c>
      <c r="O386">
        <v>2007</v>
      </c>
      <c r="Q386" t="s">
        <v>1773</v>
      </c>
      <c r="T386" t="s">
        <v>2097</v>
      </c>
      <c r="X386">
        <v>1</v>
      </c>
      <c r="AA386">
        <v>0</v>
      </c>
    </row>
    <row r="387" spans="1:27">
      <c r="A387" s="1">
        <v>385</v>
      </c>
      <c r="B387">
        <v>3758</v>
      </c>
      <c r="C387" t="s">
        <v>416</v>
      </c>
      <c r="D387" t="s">
        <v>828</v>
      </c>
      <c r="E387" t="s">
        <v>1204</v>
      </c>
      <c r="G387">
        <f>"014200202X"</f>
        <v>0</v>
      </c>
      <c r="H387">
        <f>"9780142002025"</f>
        <v>0</v>
      </c>
      <c r="I387">
        <v>0</v>
      </c>
      <c r="J387">
        <v>3.73</v>
      </c>
      <c r="K387" t="s">
        <v>1483</v>
      </c>
      <c r="L387" t="s">
        <v>1705</v>
      </c>
      <c r="M387">
        <v>181</v>
      </c>
      <c r="N387">
        <v>2002</v>
      </c>
      <c r="O387">
        <v>1953</v>
      </c>
      <c r="Q387" t="s">
        <v>1773</v>
      </c>
      <c r="T387" t="s">
        <v>2097</v>
      </c>
      <c r="X387">
        <v>1</v>
      </c>
      <c r="AA387">
        <v>0</v>
      </c>
    </row>
    <row r="388" spans="1:27">
      <c r="A388" s="1">
        <v>386</v>
      </c>
      <c r="B388">
        <v>29981</v>
      </c>
      <c r="C388" t="s">
        <v>417</v>
      </c>
      <c r="D388" t="s">
        <v>829</v>
      </c>
      <c r="E388" t="s">
        <v>1205</v>
      </c>
      <c r="G388">
        <f>"0553214322"</f>
        <v>0</v>
      </c>
      <c r="H388">
        <f>"9780553214321"</f>
        <v>0</v>
      </c>
      <c r="I388">
        <v>0</v>
      </c>
      <c r="J388">
        <v>3.73</v>
      </c>
      <c r="K388" t="s">
        <v>1457</v>
      </c>
      <c r="L388" t="s">
        <v>1705</v>
      </c>
      <c r="M388">
        <v>153</v>
      </c>
      <c r="N388">
        <v>1994</v>
      </c>
      <c r="O388">
        <v>1896</v>
      </c>
      <c r="Q388" t="s">
        <v>1773</v>
      </c>
      <c r="T388" t="s">
        <v>2097</v>
      </c>
      <c r="X388">
        <v>1</v>
      </c>
      <c r="AA388">
        <v>0</v>
      </c>
    </row>
    <row r="389" spans="1:27">
      <c r="A389" s="1">
        <v>387</v>
      </c>
      <c r="B389">
        <v>2657</v>
      </c>
      <c r="C389" t="s">
        <v>418</v>
      </c>
      <c r="D389" t="s">
        <v>830</v>
      </c>
      <c r="E389" t="s">
        <v>1206</v>
      </c>
      <c r="G389">
        <f>""</f>
        <v>0</v>
      </c>
      <c r="H389">
        <f>""</f>
        <v>0</v>
      </c>
      <c r="I389">
        <v>0</v>
      </c>
      <c r="J389">
        <v>4.28</v>
      </c>
      <c r="K389" t="s">
        <v>1663</v>
      </c>
      <c r="L389" t="s">
        <v>1705</v>
      </c>
      <c r="M389">
        <v>324</v>
      </c>
      <c r="N389">
        <v>2006</v>
      </c>
      <c r="O389">
        <v>1960</v>
      </c>
      <c r="Q389" t="s">
        <v>1773</v>
      </c>
      <c r="T389" t="s">
        <v>2097</v>
      </c>
      <c r="X389">
        <v>1</v>
      </c>
      <c r="AA389">
        <v>0</v>
      </c>
    </row>
    <row r="390" spans="1:27">
      <c r="A390" s="1">
        <v>388</v>
      </c>
      <c r="B390">
        <v>34890015</v>
      </c>
      <c r="C390" t="s">
        <v>419</v>
      </c>
      <c r="D390" t="s">
        <v>831</v>
      </c>
      <c r="E390" t="s">
        <v>1207</v>
      </c>
      <c r="F390" t="s">
        <v>1384</v>
      </c>
      <c r="G390">
        <f>"1473637465"</f>
        <v>0</v>
      </c>
      <c r="H390">
        <f>"9781473637467"</f>
        <v>0</v>
      </c>
      <c r="I390">
        <v>0</v>
      </c>
      <c r="J390">
        <v>4.38</v>
      </c>
      <c r="K390" t="s">
        <v>1664</v>
      </c>
      <c r="L390" t="s">
        <v>1707</v>
      </c>
      <c r="M390">
        <v>342</v>
      </c>
      <c r="N390">
        <v>2018</v>
      </c>
      <c r="O390">
        <v>2018</v>
      </c>
      <c r="Q390" t="s">
        <v>1773</v>
      </c>
      <c r="T390" t="s">
        <v>2097</v>
      </c>
      <c r="X390">
        <v>1</v>
      </c>
      <c r="AA390">
        <v>0</v>
      </c>
    </row>
    <row r="391" spans="1:27">
      <c r="A391" s="1">
        <v>389</v>
      </c>
      <c r="B391">
        <v>3698</v>
      </c>
      <c r="C391" t="s">
        <v>420</v>
      </c>
      <c r="D391" t="s">
        <v>632</v>
      </c>
      <c r="E391" t="s">
        <v>1008</v>
      </c>
      <c r="F391" t="s">
        <v>1385</v>
      </c>
      <c r="G391">
        <f>"0143039024"</f>
        <v>0</v>
      </c>
      <c r="H391">
        <f>"9780143039020"</f>
        <v>0</v>
      </c>
      <c r="I391">
        <v>0</v>
      </c>
      <c r="J391">
        <v>3.97</v>
      </c>
      <c r="K391" t="s">
        <v>1665</v>
      </c>
      <c r="L391" t="s">
        <v>1705</v>
      </c>
      <c r="M391">
        <v>180</v>
      </c>
      <c r="N391">
        <v>2004</v>
      </c>
      <c r="O391">
        <v>1955</v>
      </c>
      <c r="Q391" t="s">
        <v>1773</v>
      </c>
      <c r="T391" t="s">
        <v>2097</v>
      </c>
      <c r="X391">
        <v>1</v>
      </c>
      <c r="AA391">
        <v>0</v>
      </c>
    </row>
    <row r="392" spans="1:27">
      <c r="A392" s="1">
        <v>390</v>
      </c>
      <c r="B392">
        <v>170448</v>
      </c>
      <c r="C392" t="s">
        <v>421</v>
      </c>
      <c r="D392" t="s">
        <v>832</v>
      </c>
      <c r="E392" t="s">
        <v>1208</v>
      </c>
      <c r="F392" t="s">
        <v>1386</v>
      </c>
      <c r="G392">
        <f>"0451526341"</f>
        <v>0</v>
      </c>
      <c r="H392">
        <f>"9780451526342"</f>
        <v>0</v>
      </c>
      <c r="I392">
        <v>0</v>
      </c>
      <c r="J392">
        <v>3.94</v>
      </c>
      <c r="K392" t="s">
        <v>1594</v>
      </c>
      <c r="L392" t="s">
        <v>1706</v>
      </c>
      <c r="M392">
        <v>141</v>
      </c>
      <c r="N392">
        <v>1996</v>
      </c>
      <c r="O392">
        <v>1945</v>
      </c>
      <c r="Q392" t="s">
        <v>1773</v>
      </c>
      <c r="T392" t="s">
        <v>2097</v>
      </c>
      <c r="X392">
        <v>1</v>
      </c>
      <c r="AA392">
        <v>0</v>
      </c>
    </row>
    <row r="393" spans="1:27">
      <c r="A393" s="1">
        <v>391</v>
      </c>
      <c r="B393">
        <v>1052</v>
      </c>
      <c r="C393" t="s">
        <v>422</v>
      </c>
      <c r="D393" t="s">
        <v>833</v>
      </c>
      <c r="E393" t="s">
        <v>1209</v>
      </c>
      <c r="G393">
        <f>"0451205367"</f>
        <v>0</v>
      </c>
      <c r="H393">
        <f>"9780451205360"</f>
        <v>0</v>
      </c>
      <c r="I393">
        <v>0</v>
      </c>
      <c r="J393">
        <v>4.26</v>
      </c>
      <c r="K393" t="s">
        <v>1593</v>
      </c>
      <c r="L393" t="s">
        <v>1705</v>
      </c>
      <c r="M393">
        <v>194</v>
      </c>
      <c r="N393">
        <v>2008</v>
      </c>
      <c r="O393">
        <v>1926</v>
      </c>
      <c r="Q393" t="s">
        <v>1773</v>
      </c>
      <c r="T393" t="s">
        <v>2097</v>
      </c>
      <c r="X393">
        <v>1</v>
      </c>
      <c r="AA393">
        <v>0</v>
      </c>
    </row>
    <row r="394" spans="1:27">
      <c r="A394" s="1">
        <v>392</v>
      </c>
      <c r="B394">
        <v>49455</v>
      </c>
      <c r="C394" t="s">
        <v>423</v>
      </c>
      <c r="D394" t="s">
        <v>834</v>
      </c>
      <c r="E394" t="s">
        <v>1210</v>
      </c>
      <c r="F394" t="s">
        <v>1387</v>
      </c>
      <c r="G394">
        <f>"067973452X"</f>
        <v>0</v>
      </c>
      <c r="H394">
        <f>"9780679734529"</f>
        <v>0</v>
      </c>
      <c r="I394">
        <v>0</v>
      </c>
      <c r="J394">
        <v>4.16</v>
      </c>
      <c r="K394" t="s">
        <v>1666</v>
      </c>
      <c r="L394" t="s">
        <v>1705</v>
      </c>
      <c r="M394">
        <v>136</v>
      </c>
      <c r="N394">
        <v>1994</v>
      </c>
      <c r="O394">
        <v>1864</v>
      </c>
      <c r="Q394" t="s">
        <v>1773</v>
      </c>
      <c r="T394" t="s">
        <v>2097</v>
      </c>
      <c r="X394">
        <v>1</v>
      </c>
      <c r="AA394">
        <v>0</v>
      </c>
    </row>
    <row r="395" spans="1:27">
      <c r="A395" s="1">
        <v>393</v>
      </c>
      <c r="B395">
        <v>17877</v>
      </c>
      <c r="C395" t="s">
        <v>424</v>
      </c>
      <c r="D395" t="s">
        <v>834</v>
      </c>
      <c r="E395" t="s">
        <v>1210</v>
      </c>
      <c r="F395" t="s">
        <v>1388</v>
      </c>
      <c r="G395">
        <f>"0486434095"</f>
        <v>0</v>
      </c>
      <c r="H395">
        <f>"9780486434094"</f>
        <v>0</v>
      </c>
      <c r="I395">
        <v>0</v>
      </c>
      <c r="J395">
        <v>4.05</v>
      </c>
      <c r="K395" t="s">
        <v>1439</v>
      </c>
      <c r="L395" t="s">
        <v>1705</v>
      </c>
      <c r="M395">
        <v>247</v>
      </c>
      <c r="N395">
        <v>2004</v>
      </c>
      <c r="O395">
        <v>1861</v>
      </c>
      <c r="Q395" t="s">
        <v>1773</v>
      </c>
      <c r="T395" t="s">
        <v>2097</v>
      </c>
      <c r="X395">
        <v>1</v>
      </c>
      <c r="AA395">
        <v>0</v>
      </c>
    </row>
    <row r="396" spans="1:27">
      <c r="A396" s="1">
        <v>394</v>
      </c>
      <c r="B396">
        <v>17690</v>
      </c>
      <c r="C396" t="s">
        <v>425</v>
      </c>
      <c r="D396" t="s">
        <v>559</v>
      </c>
      <c r="E396" t="s">
        <v>934</v>
      </c>
      <c r="F396" t="s">
        <v>1389</v>
      </c>
      <c r="G396">
        <f>"0099428644"</f>
        <v>0</v>
      </c>
      <c r="H396">
        <f>"9780099428640"</f>
        <v>0</v>
      </c>
      <c r="I396">
        <v>0</v>
      </c>
      <c r="J396">
        <v>3.98</v>
      </c>
      <c r="K396" t="s">
        <v>1507</v>
      </c>
      <c r="L396" t="s">
        <v>1705</v>
      </c>
      <c r="M396">
        <v>255</v>
      </c>
      <c r="N396">
        <v>2001</v>
      </c>
      <c r="O396">
        <v>1925</v>
      </c>
      <c r="Q396" t="s">
        <v>1818</v>
      </c>
      <c r="T396" t="s">
        <v>2097</v>
      </c>
      <c r="X396">
        <v>1</v>
      </c>
      <c r="AA396">
        <v>0</v>
      </c>
    </row>
    <row r="397" spans="1:27">
      <c r="A397" s="1">
        <v>395</v>
      </c>
      <c r="B397">
        <v>23158207</v>
      </c>
      <c r="C397" t="s">
        <v>426</v>
      </c>
      <c r="D397" t="s">
        <v>835</v>
      </c>
      <c r="E397" t="s">
        <v>1211</v>
      </c>
      <c r="F397" t="s">
        <v>1390</v>
      </c>
      <c r="G397">
        <f>""</f>
        <v>0</v>
      </c>
      <c r="H397">
        <f>""</f>
        <v>0</v>
      </c>
      <c r="I397">
        <v>0</v>
      </c>
      <c r="J397">
        <v>4.06</v>
      </c>
      <c r="K397" t="s">
        <v>1667</v>
      </c>
      <c r="L397" t="s">
        <v>1708</v>
      </c>
      <c r="M397">
        <v>305</v>
      </c>
      <c r="N397">
        <v>2014</v>
      </c>
      <c r="O397">
        <v>2014</v>
      </c>
      <c r="Q397" t="s">
        <v>1818</v>
      </c>
      <c r="T397" t="s">
        <v>2097</v>
      </c>
      <c r="X397">
        <v>1</v>
      </c>
      <c r="AA397">
        <v>0</v>
      </c>
    </row>
    <row r="398" spans="1:27">
      <c r="A398" s="1">
        <v>396</v>
      </c>
      <c r="B398">
        <v>15849465</v>
      </c>
      <c r="C398" t="s">
        <v>427</v>
      </c>
      <c r="D398" t="s">
        <v>817</v>
      </c>
      <c r="E398" t="s">
        <v>1193</v>
      </c>
      <c r="G398">
        <f>"0307730700"</f>
        <v>0</v>
      </c>
      <c r="H398">
        <f>"9780307730701"</f>
        <v>0</v>
      </c>
      <c r="I398">
        <v>0</v>
      </c>
      <c r="J398">
        <v>4.55</v>
      </c>
      <c r="K398" t="s">
        <v>1668</v>
      </c>
      <c r="L398" t="s">
        <v>1705</v>
      </c>
      <c r="M398">
        <v>368</v>
      </c>
      <c r="N398">
        <v>2013</v>
      </c>
      <c r="O398">
        <v>2012</v>
      </c>
      <c r="Q398" t="s">
        <v>1818</v>
      </c>
      <c r="T398" t="s">
        <v>2097</v>
      </c>
      <c r="X398">
        <v>1</v>
      </c>
      <c r="AA398">
        <v>0</v>
      </c>
    </row>
    <row r="399" spans="1:27">
      <c r="A399" s="1">
        <v>397</v>
      </c>
      <c r="B399">
        <v>31253737</v>
      </c>
      <c r="C399" t="s">
        <v>428</v>
      </c>
      <c r="D399" t="s">
        <v>836</v>
      </c>
      <c r="E399" t="s">
        <v>1212</v>
      </c>
      <c r="G399">
        <f>"1524756202"</f>
        <v>0</v>
      </c>
      <c r="H399">
        <f>"9781524756208"</f>
        <v>0</v>
      </c>
      <c r="I399">
        <v>0</v>
      </c>
      <c r="J399">
        <v>4.35</v>
      </c>
      <c r="K399" t="s">
        <v>1669</v>
      </c>
      <c r="L399" t="s">
        <v>1705</v>
      </c>
      <c r="M399">
        <v>656</v>
      </c>
      <c r="N399">
        <v>2017</v>
      </c>
      <c r="O399">
        <v>2017</v>
      </c>
      <c r="Q399" t="s">
        <v>1818</v>
      </c>
      <c r="T399" t="s">
        <v>2097</v>
      </c>
      <c r="X399">
        <v>1</v>
      </c>
      <c r="AA399">
        <v>0</v>
      </c>
    </row>
    <row r="400" spans="1:27">
      <c r="A400" s="1">
        <v>398</v>
      </c>
      <c r="B400">
        <v>1971304</v>
      </c>
      <c r="C400" t="s">
        <v>429</v>
      </c>
      <c r="D400" t="s">
        <v>837</v>
      </c>
      <c r="E400" t="s">
        <v>1213</v>
      </c>
      <c r="G400">
        <f>"0670018708"</f>
        <v>0</v>
      </c>
      <c r="H400">
        <f>"9780670018703"</f>
        <v>0</v>
      </c>
      <c r="I400">
        <v>0</v>
      </c>
      <c r="J400">
        <v>4.3</v>
      </c>
      <c r="K400" t="s">
        <v>1670</v>
      </c>
      <c r="L400" t="s">
        <v>1707</v>
      </c>
      <c r="M400">
        <v>258</v>
      </c>
      <c r="N400">
        <v>2008</v>
      </c>
      <c r="O400">
        <v>2008</v>
      </c>
      <c r="Q400" t="s">
        <v>1818</v>
      </c>
      <c r="T400" t="s">
        <v>2097</v>
      </c>
      <c r="X400">
        <v>1</v>
      </c>
      <c r="AA400">
        <v>0</v>
      </c>
    </row>
    <row r="401" spans="1:27">
      <c r="A401" s="1">
        <v>399</v>
      </c>
      <c r="B401">
        <v>394535</v>
      </c>
      <c r="C401" t="s">
        <v>430</v>
      </c>
      <c r="D401" t="s">
        <v>838</v>
      </c>
      <c r="E401" t="s">
        <v>1214</v>
      </c>
      <c r="G401">
        <f>""</f>
        <v>0</v>
      </c>
      <c r="H401">
        <f>""</f>
        <v>0</v>
      </c>
      <c r="I401">
        <v>0</v>
      </c>
      <c r="J401">
        <v>4.17</v>
      </c>
      <c r="K401" t="s">
        <v>1433</v>
      </c>
      <c r="L401" t="s">
        <v>1705</v>
      </c>
      <c r="M401">
        <v>351</v>
      </c>
      <c r="N401">
        <v>1992</v>
      </c>
      <c r="O401">
        <v>1985</v>
      </c>
      <c r="Q401" t="s">
        <v>1818</v>
      </c>
      <c r="T401" t="s">
        <v>2097</v>
      </c>
      <c r="X401">
        <v>1</v>
      </c>
      <c r="AA401">
        <v>0</v>
      </c>
    </row>
    <row r="402" spans="1:27">
      <c r="A402" s="1">
        <v>400</v>
      </c>
      <c r="B402">
        <v>31158752</v>
      </c>
      <c r="C402" t="s">
        <v>431</v>
      </c>
      <c r="D402" t="s">
        <v>839</v>
      </c>
      <c r="E402" t="s">
        <v>1215</v>
      </c>
      <c r="G402">
        <f>"1524722960"</f>
        <v>0</v>
      </c>
      <c r="H402">
        <f>"9781524722968"</f>
        <v>0</v>
      </c>
      <c r="I402">
        <v>0</v>
      </c>
      <c r="J402">
        <v>4.28</v>
      </c>
      <c r="K402" t="s">
        <v>1633</v>
      </c>
      <c r="L402" t="s">
        <v>1715</v>
      </c>
      <c r="N402">
        <v>2017</v>
      </c>
      <c r="O402">
        <v>2017</v>
      </c>
      <c r="Q402" t="s">
        <v>1818</v>
      </c>
      <c r="T402" t="s">
        <v>2097</v>
      </c>
      <c r="X402">
        <v>1</v>
      </c>
      <c r="AA402">
        <v>0</v>
      </c>
    </row>
    <row r="403" spans="1:27">
      <c r="A403" s="1">
        <v>401</v>
      </c>
      <c r="B403">
        <v>253203</v>
      </c>
      <c r="C403" t="s">
        <v>432</v>
      </c>
      <c r="D403" t="s">
        <v>840</v>
      </c>
      <c r="E403" t="s">
        <v>1216</v>
      </c>
      <c r="G403">
        <f>"0767922719"</f>
        <v>0</v>
      </c>
      <c r="H403">
        <f>"9780767922715"</f>
        <v>0</v>
      </c>
      <c r="I403">
        <v>0</v>
      </c>
      <c r="J403">
        <v>4.16</v>
      </c>
      <c r="K403" t="s">
        <v>1671</v>
      </c>
      <c r="L403" t="s">
        <v>1705</v>
      </c>
      <c r="M403">
        <v>217</v>
      </c>
      <c r="N403">
        <v>2006</v>
      </c>
      <c r="O403">
        <v>2006</v>
      </c>
      <c r="Q403" t="s">
        <v>1818</v>
      </c>
      <c r="T403" t="s">
        <v>2097</v>
      </c>
      <c r="X403">
        <v>1</v>
      </c>
      <c r="AA403">
        <v>0</v>
      </c>
    </row>
    <row r="404" spans="1:27">
      <c r="A404" s="1">
        <v>402</v>
      </c>
      <c r="B404">
        <v>17245</v>
      </c>
      <c r="C404" t="s">
        <v>433</v>
      </c>
      <c r="D404" t="s">
        <v>841</v>
      </c>
      <c r="E404" t="s">
        <v>1217</v>
      </c>
      <c r="F404" t="s">
        <v>1391</v>
      </c>
      <c r="G404">
        <f>"0393970124"</f>
        <v>0</v>
      </c>
      <c r="H404">
        <f>"9780393970128"</f>
        <v>0</v>
      </c>
      <c r="I404">
        <v>0</v>
      </c>
      <c r="J404">
        <v>4</v>
      </c>
      <c r="K404" t="s">
        <v>1672</v>
      </c>
      <c r="L404" t="s">
        <v>1705</v>
      </c>
      <c r="M404">
        <v>488</v>
      </c>
      <c r="N404">
        <v>1986</v>
      </c>
      <c r="O404">
        <v>1897</v>
      </c>
      <c r="Q404" t="s">
        <v>1818</v>
      </c>
      <c r="T404" t="s">
        <v>2097</v>
      </c>
      <c r="X404">
        <v>1</v>
      </c>
      <c r="AA404">
        <v>0</v>
      </c>
    </row>
    <row r="405" spans="1:27">
      <c r="A405" s="1">
        <v>403</v>
      </c>
      <c r="B405">
        <v>667</v>
      </c>
      <c r="C405" t="s">
        <v>434</v>
      </c>
      <c r="D405" t="s">
        <v>842</v>
      </c>
      <c r="E405" t="s">
        <v>1218</v>
      </c>
      <c r="G405">
        <f>"0452281253"</f>
        <v>0</v>
      </c>
      <c r="H405">
        <f>"9780452281257"</f>
        <v>0</v>
      </c>
      <c r="I405">
        <v>0</v>
      </c>
      <c r="J405">
        <v>3.63</v>
      </c>
      <c r="K405" t="s">
        <v>1582</v>
      </c>
      <c r="L405" t="s">
        <v>1705</v>
      </c>
      <c r="M405">
        <v>105</v>
      </c>
      <c r="N405">
        <v>1999</v>
      </c>
      <c r="O405">
        <v>1938</v>
      </c>
      <c r="Q405" t="s">
        <v>1818</v>
      </c>
      <c r="T405" t="s">
        <v>2097</v>
      </c>
      <c r="X405">
        <v>1</v>
      </c>
      <c r="AA405">
        <v>0</v>
      </c>
    </row>
    <row r="406" spans="1:27">
      <c r="A406" s="1">
        <v>404</v>
      </c>
      <c r="B406">
        <v>662</v>
      </c>
      <c r="C406" t="s">
        <v>435</v>
      </c>
      <c r="D406" t="s">
        <v>842</v>
      </c>
      <c r="E406" t="s">
        <v>1218</v>
      </c>
      <c r="F406" t="s">
        <v>1392</v>
      </c>
      <c r="G406">
        <f>"0452011876"</f>
        <v>0</v>
      </c>
      <c r="H406">
        <f>"9780452011878"</f>
        <v>0</v>
      </c>
      <c r="I406">
        <v>0</v>
      </c>
      <c r="J406">
        <v>3.69</v>
      </c>
      <c r="K406" t="s">
        <v>1673</v>
      </c>
      <c r="L406" t="s">
        <v>1705</v>
      </c>
      <c r="M406">
        <v>1168</v>
      </c>
      <c r="N406">
        <v>1999</v>
      </c>
      <c r="O406">
        <v>1957</v>
      </c>
      <c r="Q406" t="s">
        <v>1818</v>
      </c>
      <c r="T406" t="s">
        <v>2097</v>
      </c>
      <c r="X406">
        <v>1</v>
      </c>
      <c r="AA406">
        <v>0</v>
      </c>
    </row>
    <row r="407" spans="1:27">
      <c r="A407" s="1">
        <v>405</v>
      </c>
      <c r="B407">
        <v>2122</v>
      </c>
      <c r="C407" t="s">
        <v>436</v>
      </c>
      <c r="D407" t="s">
        <v>842</v>
      </c>
      <c r="E407" t="s">
        <v>1218</v>
      </c>
      <c r="F407" t="s">
        <v>1392</v>
      </c>
      <c r="G407">
        <f>"0451191153"</f>
        <v>0</v>
      </c>
      <c r="H407">
        <f>"9780451191151"</f>
        <v>0</v>
      </c>
      <c r="I407">
        <v>0</v>
      </c>
      <c r="J407">
        <v>3.87</v>
      </c>
      <c r="K407" t="s">
        <v>1674</v>
      </c>
      <c r="L407" t="s">
        <v>1706</v>
      </c>
      <c r="M407">
        <v>704</v>
      </c>
      <c r="N407">
        <v>1996</v>
      </c>
      <c r="O407">
        <v>1943</v>
      </c>
      <c r="Q407" t="s">
        <v>1818</v>
      </c>
      <c r="T407" t="s">
        <v>2097</v>
      </c>
      <c r="X407">
        <v>1</v>
      </c>
      <c r="AA407">
        <v>0</v>
      </c>
    </row>
    <row r="408" spans="1:27">
      <c r="A408" s="1">
        <v>406</v>
      </c>
      <c r="B408">
        <v>4465</v>
      </c>
      <c r="C408" t="s">
        <v>437</v>
      </c>
      <c r="D408" t="s">
        <v>556</v>
      </c>
      <c r="E408" t="s">
        <v>931</v>
      </c>
      <c r="G408">
        <f>"1842055062"</f>
        <v>0</v>
      </c>
      <c r="H408">
        <f>"9781842055069"</f>
        <v>0</v>
      </c>
      <c r="I408">
        <v>0</v>
      </c>
      <c r="J408">
        <v>4.38</v>
      </c>
      <c r="K408" t="s">
        <v>1675</v>
      </c>
      <c r="M408">
        <v>189</v>
      </c>
      <c r="N408">
        <v>2004</v>
      </c>
      <c r="O408">
        <v>1892</v>
      </c>
      <c r="Q408" t="s">
        <v>1818</v>
      </c>
      <c r="T408" t="s">
        <v>2097</v>
      </c>
      <c r="X408">
        <v>1</v>
      </c>
      <c r="AA408">
        <v>0</v>
      </c>
    </row>
    <row r="409" spans="1:27">
      <c r="A409" s="1">
        <v>407</v>
      </c>
      <c r="B409">
        <v>41716921</v>
      </c>
      <c r="C409" t="s">
        <v>438</v>
      </c>
      <c r="D409" t="s">
        <v>843</v>
      </c>
      <c r="E409" t="s">
        <v>1219</v>
      </c>
      <c r="G409">
        <f>"0316441430"</f>
        <v>0</v>
      </c>
      <c r="H409">
        <f>"9780316441438"</f>
        <v>0</v>
      </c>
      <c r="I409">
        <v>0</v>
      </c>
      <c r="J409">
        <v>4.21</v>
      </c>
      <c r="K409" t="s">
        <v>1676</v>
      </c>
      <c r="L409" t="s">
        <v>1707</v>
      </c>
      <c r="M409">
        <v>560</v>
      </c>
      <c r="N409">
        <v>2019</v>
      </c>
      <c r="O409">
        <v>2019</v>
      </c>
      <c r="Q409" t="s">
        <v>1818</v>
      </c>
      <c r="T409" t="s">
        <v>2097</v>
      </c>
      <c r="X409">
        <v>1</v>
      </c>
      <c r="AA409">
        <v>0</v>
      </c>
    </row>
    <row r="410" spans="1:27">
      <c r="A410" s="1">
        <v>408</v>
      </c>
      <c r="B410">
        <v>48855</v>
      </c>
      <c r="C410" t="s">
        <v>439</v>
      </c>
      <c r="D410" t="s">
        <v>844</v>
      </c>
      <c r="E410" t="s">
        <v>1220</v>
      </c>
      <c r="F410" t="s">
        <v>1393</v>
      </c>
      <c r="G410">
        <f>""</f>
        <v>0</v>
      </c>
      <c r="H410">
        <f>""</f>
        <v>0</v>
      </c>
      <c r="I410">
        <v>0</v>
      </c>
      <c r="J410">
        <v>4.14</v>
      </c>
      <c r="K410" t="s">
        <v>1648</v>
      </c>
      <c r="L410" t="s">
        <v>1706</v>
      </c>
      <c r="M410">
        <v>283</v>
      </c>
      <c r="N410">
        <v>1993</v>
      </c>
      <c r="O410">
        <v>1947</v>
      </c>
      <c r="Q410" t="s">
        <v>1818</v>
      </c>
      <c r="T410" t="s">
        <v>2097</v>
      </c>
      <c r="X410">
        <v>1</v>
      </c>
      <c r="AA410">
        <v>0</v>
      </c>
    </row>
    <row r="411" spans="1:27">
      <c r="A411" s="1">
        <v>409</v>
      </c>
      <c r="B411">
        <v>113440</v>
      </c>
      <c r="C411" t="s">
        <v>440</v>
      </c>
      <c r="D411" t="s">
        <v>845</v>
      </c>
      <c r="E411" t="s">
        <v>1221</v>
      </c>
      <c r="F411" t="s">
        <v>1394</v>
      </c>
      <c r="G411">
        <f>"0226674339"</f>
        <v>0</v>
      </c>
      <c r="H411">
        <f>"9780226674339"</f>
        <v>0</v>
      </c>
      <c r="I411">
        <v>0</v>
      </c>
      <c r="J411">
        <v>4.29</v>
      </c>
      <c r="K411" t="s">
        <v>1437</v>
      </c>
      <c r="L411" t="s">
        <v>1705</v>
      </c>
      <c r="M411">
        <v>232</v>
      </c>
      <c r="N411">
        <v>2007</v>
      </c>
      <c r="O411">
        <v>2002</v>
      </c>
      <c r="Q411" t="s">
        <v>1818</v>
      </c>
      <c r="T411" t="s">
        <v>2097</v>
      </c>
      <c r="X411">
        <v>1</v>
      </c>
      <c r="AA411">
        <v>0</v>
      </c>
    </row>
    <row r="412" spans="1:27">
      <c r="A412" s="1">
        <v>410</v>
      </c>
      <c r="B412">
        <v>40538681</v>
      </c>
      <c r="C412" t="s">
        <v>441</v>
      </c>
      <c r="D412" t="s">
        <v>846</v>
      </c>
      <c r="E412" t="s">
        <v>1222</v>
      </c>
      <c r="G412">
        <f>"1501134612"</f>
        <v>0</v>
      </c>
      <c r="H412">
        <f>"9781501134616"</f>
        <v>0</v>
      </c>
      <c r="I412">
        <v>0</v>
      </c>
      <c r="J412">
        <v>4.4</v>
      </c>
      <c r="K412" t="s">
        <v>1459</v>
      </c>
      <c r="L412" t="s">
        <v>1707</v>
      </c>
      <c r="M412">
        <v>538</v>
      </c>
      <c r="N412">
        <v>2019</v>
      </c>
      <c r="O412">
        <v>2019</v>
      </c>
      <c r="Q412" t="s">
        <v>1818</v>
      </c>
      <c r="T412" t="s">
        <v>2097</v>
      </c>
      <c r="X412">
        <v>1</v>
      </c>
      <c r="AA412">
        <v>0</v>
      </c>
    </row>
    <row r="413" spans="1:27">
      <c r="A413" s="1">
        <v>411</v>
      </c>
      <c r="B413">
        <v>2165</v>
      </c>
      <c r="C413" t="s">
        <v>442</v>
      </c>
      <c r="D413" t="s">
        <v>650</v>
      </c>
      <c r="E413" t="s">
        <v>1026</v>
      </c>
      <c r="G413">
        <f>"0684830493"</f>
        <v>0</v>
      </c>
      <c r="H413">
        <f>"9780684830490"</f>
        <v>0</v>
      </c>
      <c r="I413">
        <v>0</v>
      </c>
      <c r="J413">
        <v>3.77</v>
      </c>
      <c r="K413" t="s">
        <v>1430</v>
      </c>
      <c r="L413" t="s">
        <v>1707</v>
      </c>
      <c r="M413">
        <v>96</v>
      </c>
      <c r="N413">
        <v>1996</v>
      </c>
      <c r="O413">
        <v>1952</v>
      </c>
      <c r="Q413" t="s">
        <v>1819</v>
      </c>
      <c r="T413" t="s">
        <v>2097</v>
      </c>
      <c r="X413">
        <v>1</v>
      </c>
      <c r="AA413">
        <v>0</v>
      </c>
    </row>
    <row r="414" spans="1:27">
      <c r="A414" s="1">
        <v>412</v>
      </c>
      <c r="B414">
        <v>4934</v>
      </c>
      <c r="C414" t="s">
        <v>443</v>
      </c>
      <c r="D414" t="s">
        <v>834</v>
      </c>
      <c r="E414" t="s">
        <v>1210</v>
      </c>
      <c r="F414" t="s">
        <v>1395</v>
      </c>
      <c r="G414">
        <f>"0374528373"</f>
        <v>0</v>
      </c>
      <c r="H414">
        <f>"9780374528379"</f>
        <v>0</v>
      </c>
      <c r="I414">
        <v>0</v>
      </c>
      <c r="J414">
        <v>4.32</v>
      </c>
      <c r="K414" t="s">
        <v>1438</v>
      </c>
      <c r="L414" t="s">
        <v>1705</v>
      </c>
      <c r="M414">
        <v>796</v>
      </c>
      <c r="N414">
        <v>2002</v>
      </c>
      <c r="O414">
        <v>1879</v>
      </c>
      <c r="Q414" t="s">
        <v>1772</v>
      </c>
      <c r="T414" t="s">
        <v>2097</v>
      </c>
      <c r="X414">
        <v>1</v>
      </c>
      <c r="AA414">
        <v>0</v>
      </c>
    </row>
    <row r="415" spans="1:27">
      <c r="A415" s="1">
        <v>413</v>
      </c>
      <c r="B415">
        <v>3636</v>
      </c>
      <c r="C415" t="s">
        <v>444</v>
      </c>
      <c r="D415" t="s">
        <v>673</v>
      </c>
      <c r="E415" t="s">
        <v>1049</v>
      </c>
      <c r="G415">
        <f>"0385732554"</f>
        <v>0</v>
      </c>
      <c r="H415">
        <f>"9780385732550"</f>
        <v>0</v>
      </c>
      <c r="I415">
        <v>0</v>
      </c>
      <c r="J415">
        <v>4.13</v>
      </c>
      <c r="K415" t="s">
        <v>1653</v>
      </c>
      <c r="L415" t="s">
        <v>1705</v>
      </c>
      <c r="M415">
        <v>208</v>
      </c>
      <c r="N415">
        <v>2006</v>
      </c>
      <c r="O415">
        <v>1993</v>
      </c>
      <c r="Q415" t="s">
        <v>1772</v>
      </c>
      <c r="T415" t="s">
        <v>2097</v>
      </c>
      <c r="X415">
        <v>1</v>
      </c>
      <c r="AA415">
        <v>0</v>
      </c>
    </row>
    <row r="416" spans="1:27">
      <c r="A416" s="1">
        <v>414</v>
      </c>
      <c r="B416">
        <v>176691</v>
      </c>
      <c r="C416" t="s">
        <v>445</v>
      </c>
      <c r="D416" t="s">
        <v>847</v>
      </c>
      <c r="E416" t="s">
        <v>1223</v>
      </c>
      <c r="G416">
        <f>"1574889494"</f>
        <v>0</v>
      </c>
      <c r="H416">
        <f>"9781574889499"</f>
        <v>0</v>
      </c>
      <c r="I416">
        <v>0</v>
      </c>
      <c r="J416">
        <v>4</v>
      </c>
      <c r="K416" t="s">
        <v>1677</v>
      </c>
      <c r="L416" t="s">
        <v>1707</v>
      </c>
      <c r="M416">
        <v>306</v>
      </c>
      <c r="N416">
        <v>2006</v>
      </c>
      <c r="O416">
        <v>2006</v>
      </c>
      <c r="Q416" t="s">
        <v>1772</v>
      </c>
      <c r="T416" t="s">
        <v>2097</v>
      </c>
      <c r="X416">
        <v>1</v>
      </c>
      <c r="AA416">
        <v>0</v>
      </c>
    </row>
    <row r="417" spans="1:27">
      <c r="A417" s="1">
        <v>415</v>
      </c>
      <c r="B417">
        <v>31920777</v>
      </c>
      <c r="C417" t="s">
        <v>446</v>
      </c>
      <c r="D417" t="s">
        <v>848</v>
      </c>
      <c r="E417" t="s">
        <v>1224</v>
      </c>
      <c r="G417">
        <f>"1591848148"</f>
        <v>0</v>
      </c>
      <c r="H417">
        <f>"9781591848141"</f>
        <v>0</v>
      </c>
      <c r="I417">
        <v>0</v>
      </c>
      <c r="J417">
        <v>4.34</v>
      </c>
      <c r="K417" t="s">
        <v>1610</v>
      </c>
      <c r="L417" t="s">
        <v>1707</v>
      </c>
      <c r="M417">
        <v>328</v>
      </c>
      <c r="N417">
        <v>2017</v>
      </c>
      <c r="O417">
        <v>2017</v>
      </c>
      <c r="Q417" t="s">
        <v>1772</v>
      </c>
      <c r="T417" t="s">
        <v>2097</v>
      </c>
      <c r="X417">
        <v>1</v>
      </c>
      <c r="AA417">
        <v>0</v>
      </c>
    </row>
    <row r="418" spans="1:27">
      <c r="A418" s="1">
        <v>416</v>
      </c>
      <c r="B418">
        <v>77203</v>
      </c>
      <c r="C418" t="s">
        <v>447</v>
      </c>
      <c r="D418" t="s">
        <v>849</v>
      </c>
      <c r="E418" t="s">
        <v>1225</v>
      </c>
      <c r="F418" t="s">
        <v>1396</v>
      </c>
      <c r="G418">
        <f>""</f>
        <v>0</v>
      </c>
      <c r="H418">
        <f>""</f>
        <v>0</v>
      </c>
      <c r="I418">
        <v>0</v>
      </c>
      <c r="J418">
        <v>4.3</v>
      </c>
      <c r="K418" t="s">
        <v>1443</v>
      </c>
      <c r="L418" t="s">
        <v>1705</v>
      </c>
      <c r="M418">
        <v>371</v>
      </c>
      <c r="N418">
        <v>2004</v>
      </c>
      <c r="O418">
        <v>2003</v>
      </c>
      <c r="Q418" t="s">
        <v>1772</v>
      </c>
      <c r="T418" t="s">
        <v>2097</v>
      </c>
      <c r="X418">
        <v>1</v>
      </c>
      <c r="AA418">
        <v>0</v>
      </c>
    </row>
    <row r="419" spans="1:27">
      <c r="A419" s="1">
        <v>417</v>
      </c>
      <c r="B419">
        <v>37781</v>
      </c>
      <c r="C419" t="s">
        <v>448</v>
      </c>
      <c r="D419" t="s">
        <v>850</v>
      </c>
      <c r="E419" t="s">
        <v>1226</v>
      </c>
      <c r="G419">
        <f>""</f>
        <v>0</v>
      </c>
      <c r="H419">
        <f>""</f>
        <v>0</v>
      </c>
      <c r="I419">
        <v>0</v>
      </c>
      <c r="J419">
        <v>3.67</v>
      </c>
      <c r="K419" t="s">
        <v>1511</v>
      </c>
      <c r="L419" t="s">
        <v>1705</v>
      </c>
      <c r="M419">
        <v>209</v>
      </c>
      <c r="N419">
        <v>1994</v>
      </c>
      <c r="O419">
        <v>1958</v>
      </c>
      <c r="Q419" t="s">
        <v>1772</v>
      </c>
      <c r="T419" t="s">
        <v>2097</v>
      </c>
      <c r="X419">
        <v>1</v>
      </c>
      <c r="AA419">
        <v>0</v>
      </c>
    </row>
    <row r="420" spans="1:27">
      <c r="A420" s="1">
        <v>418</v>
      </c>
      <c r="B420">
        <v>6288</v>
      </c>
      <c r="C420" t="s">
        <v>449</v>
      </c>
      <c r="D420" t="s">
        <v>838</v>
      </c>
      <c r="E420" t="s">
        <v>1214</v>
      </c>
      <c r="G420">
        <f>"0307265439"</f>
        <v>0</v>
      </c>
      <c r="H420">
        <f>"9780307265432"</f>
        <v>0</v>
      </c>
      <c r="I420">
        <v>0</v>
      </c>
      <c r="J420">
        <v>3.97</v>
      </c>
      <c r="K420" t="s">
        <v>1442</v>
      </c>
      <c r="L420" t="s">
        <v>1707</v>
      </c>
      <c r="M420">
        <v>241</v>
      </c>
      <c r="N420">
        <v>2006</v>
      </c>
      <c r="O420">
        <v>2006</v>
      </c>
      <c r="Q420" t="s">
        <v>1772</v>
      </c>
      <c r="T420" t="s">
        <v>2097</v>
      </c>
      <c r="X420">
        <v>1</v>
      </c>
      <c r="AA420">
        <v>0</v>
      </c>
    </row>
    <row r="421" spans="1:27">
      <c r="A421" s="1">
        <v>419</v>
      </c>
      <c r="B421">
        <v>25241317</v>
      </c>
      <c r="C421" t="s">
        <v>450</v>
      </c>
      <c r="D421" t="s">
        <v>851</v>
      </c>
      <c r="E421" t="s">
        <v>1227</v>
      </c>
      <c r="G421">
        <f>"0385538227"</f>
        <v>0</v>
      </c>
      <c r="H421">
        <f>"9780385538220"</f>
        <v>0</v>
      </c>
      <c r="I421">
        <v>0</v>
      </c>
      <c r="J421">
        <v>4.35</v>
      </c>
      <c r="K421" t="s">
        <v>1461</v>
      </c>
      <c r="L421" t="s">
        <v>1709</v>
      </c>
      <c r="M421">
        <v>368</v>
      </c>
      <c r="N421">
        <v>2015</v>
      </c>
      <c r="O421">
        <v>2016</v>
      </c>
      <c r="Q421" t="s">
        <v>1772</v>
      </c>
      <c r="T421" t="s">
        <v>2097</v>
      </c>
      <c r="X421">
        <v>1</v>
      </c>
      <c r="AA421">
        <v>0</v>
      </c>
    </row>
    <row r="422" spans="1:27">
      <c r="A422" s="1">
        <v>420</v>
      </c>
      <c r="B422">
        <v>4900</v>
      </c>
      <c r="C422" t="s">
        <v>451</v>
      </c>
      <c r="D422" t="s">
        <v>852</v>
      </c>
      <c r="E422" t="s">
        <v>1228</v>
      </c>
      <c r="F422" t="s">
        <v>1397</v>
      </c>
      <c r="G422">
        <f>"1892295490"</f>
        <v>0</v>
      </c>
      <c r="H422">
        <f>"9781892295491"</f>
        <v>0</v>
      </c>
      <c r="I422">
        <v>0</v>
      </c>
      <c r="J422">
        <v>3.42</v>
      </c>
      <c r="K422" t="s">
        <v>1678</v>
      </c>
      <c r="L422" t="s">
        <v>1705</v>
      </c>
      <c r="M422">
        <v>188</v>
      </c>
      <c r="N422">
        <v>2003</v>
      </c>
      <c r="O422">
        <v>1899</v>
      </c>
      <c r="Q422" t="s">
        <v>1772</v>
      </c>
      <c r="T422" t="s">
        <v>2097</v>
      </c>
      <c r="X422">
        <v>1</v>
      </c>
      <c r="AA422">
        <v>0</v>
      </c>
    </row>
    <row r="423" spans="1:27">
      <c r="A423" s="1">
        <v>421</v>
      </c>
      <c r="B423">
        <v>15823480</v>
      </c>
      <c r="C423" t="s">
        <v>452</v>
      </c>
      <c r="D423" t="s">
        <v>544</v>
      </c>
      <c r="E423" t="s">
        <v>919</v>
      </c>
      <c r="F423" t="s">
        <v>1398</v>
      </c>
      <c r="G423">
        <f>""</f>
        <v>0</v>
      </c>
      <c r="H423">
        <f>""</f>
        <v>0</v>
      </c>
      <c r="I423">
        <v>0</v>
      </c>
      <c r="J423">
        <v>4.05</v>
      </c>
      <c r="K423" t="s">
        <v>1507</v>
      </c>
      <c r="L423" t="s">
        <v>1705</v>
      </c>
      <c r="M423">
        <v>964</v>
      </c>
      <c r="N423">
        <v>2012</v>
      </c>
      <c r="O423">
        <v>1877</v>
      </c>
      <c r="Q423" t="s">
        <v>1772</v>
      </c>
      <c r="T423" t="s">
        <v>2097</v>
      </c>
      <c r="X423">
        <v>1</v>
      </c>
      <c r="AA423">
        <v>0</v>
      </c>
    </row>
    <row r="424" spans="1:27">
      <c r="A424" s="1">
        <v>422</v>
      </c>
      <c r="B424">
        <v>11138</v>
      </c>
      <c r="C424" t="s">
        <v>453</v>
      </c>
      <c r="D424" t="s">
        <v>853</v>
      </c>
      <c r="E424" t="s">
        <v>1229</v>
      </c>
      <c r="G424">
        <f>"0684823780"</f>
        <v>0</v>
      </c>
      <c r="H424">
        <f>"9780684823782"</f>
        <v>0</v>
      </c>
      <c r="I424">
        <v>0</v>
      </c>
      <c r="J424">
        <v>4.33</v>
      </c>
      <c r="K424" t="s">
        <v>1542</v>
      </c>
      <c r="L424" t="s">
        <v>1705</v>
      </c>
      <c r="M424">
        <v>191</v>
      </c>
      <c r="N424">
        <v>1996</v>
      </c>
      <c r="O424">
        <v>1952</v>
      </c>
      <c r="Q424" t="s">
        <v>1772</v>
      </c>
      <c r="T424" t="s">
        <v>2097</v>
      </c>
      <c r="X424">
        <v>1</v>
      </c>
      <c r="AA424">
        <v>0</v>
      </c>
    </row>
    <row r="425" spans="1:27">
      <c r="A425" s="1">
        <v>423</v>
      </c>
      <c r="B425">
        <v>5148</v>
      </c>
      <c r="C425" t="s">
        <v>454</v>
      </c>
      <c r="D425" t="s">
        <v>854</v>
      </c>
      <c r="E425" t="s">
        <v>1230</v>
      </c>
      <c r="F425" t="s">
        <v>1399</v>
      </c>
      <c r="G425">
        <f>"0743253973"</f>
        <v>0</v>
      </c>
      <c r="H425">
        <f>"9780743253970"</f>
        <v>0</v>
      </c>
      <c r="I425">
        <v>0</v>
      </c>
      <c r="J425">
        <v>3.58</v>
      </c>
      <c r="K425" t="s">
        <v>1430</v>
      </c>
      <c r="L425" t="s">
        <v>1705</v>
      </c>
      <c r="M425">
        <v>208</v>
      </c>
      <c r="N425">
        <v>2003</v>
      </c>
      <c r="O425">
        <v>1959</v>
      </c>
      <c r="Q425" t="s">
        <v>1772</v>
      </c>
      <c r="T425" t="s">
        <v>2097</v>
      </c>
      <c r="X425">
        <v>1</v>
      </c>
      <c r="AA425">
        <v>0</v>
      </c>
    </row>
    <row r="426" spans="1:27">
      <c r="A426" s="1">
        <v>424</v>
      </c>
      <c r="B426">
        <v>30145126</v>
      </c>
      <c r="C426" t="s">
        <v>455</v>
      </c>
      <c r="D426" t="s">
        <v>855</v>
      </c>
      <c r="E426" t="s">
        <v>1231</v>
      </c>
      <c r="G426">
        <f>"1455540005"</f>
        <v>0</v>
      </c>
      <c r="H426">
        <f>"9781455540006"</f>
        <v>0</v>
      </c>
      <c r="I426">
        <v>0</v>
      </c>
      <c r="J426">
        <v>3.91</v>
      </c>
      <c r="K426" t="s">
        <v>1679</v>
      </c>
      <c r="L426" t="s">
        <v>1707</v>
      </c>
      <c r="M426">
        <v>328</v>
      </c>
      <c r="N426">
        <v>2017</v>
      </c>
      <c r="O426">
        <v>2017</v>
      </c>
      <c r="Q426" t="s">
        <v>1772</v>
      </c>
      <c r="T426" t="s">
        <v>2097</v>
      </c>
      <c r="X426">
        <v>1</v>
      </c>
      <c r="AA426">
        <v>0</v>
      </c>
    </row>
    <row r="427" spans="1:27">
      <c r="A427" s="1">
        <v>425</v>
      </c>
      <c r="B427">
        <v>16158491</v>
      </c>
      <c r="C427" t="s">
        <v>456</v>
      </c>
      <c r="D427" t="s">
        <v>856</v>
      </c>
      <c r="E427" t="s">
        <v>1232</v>
      </c>
      <c r="G427">
        <f>"1594204802"</f>
        <v>0</v>
      </c>
      <c r="H427">
        <f>"9781594204807"</f>
        <v>0</v>
      </c>
      <c r="I427">
        <v>0</v>
      </c>
      <c r="J427">
        <v>3.83</v>
      </c>
      <c r="K427" t="s">
        <v>1680</v>
      </c>
      <c r="L427" t="s">
        <v>1707</v>
      </c>
      <c r="M427">
        <v>381</v>
      </c>
      <c r="N427">
        <v>2013</v>
      </c>
      <c r="O427">
        <v>2013</v>
      </c>
      <c r="Q427" t="s">
        <v>1772</v>
      </c>
      <c r="T427" t="s">
        <v>2097</v>
      </c>
      <c r="X427">
        <v>1</v>
      </c>
      <c r="AA427">
        <v>0</v>
      </c>
    </row>
    <row r="428" spans="1:27">
      <c r="A428" s="1">
        <v>426</v>
      </c>
      <c r="B428">
        <v>20696006</v>
      </c>
      <c r="C428" t="s">
        <v>457</v>
      </c>
      <c r="D428" t="s">
        <v>857</v>
      </c>
      <c r="E428" t="s">
        <v>1233</v>
      </c>
      <c r="G428">
        <f>"0805095152"</f>
        <v>0</v>
      </c>
      <c r="H428">
        <f>"9780805095159"</f>
        <v>0</v>
      </c>
      <c r="I428">
        <v>0</v>
      </c>
      <c r="J428">
        <v>4.45</v>
      </c>
      <c r="K428" t="s">
        <v>1441</v>
      </c>
      <c r="L428" t="s">
        <v>1707</v>
      </c>
      <c r="M428">
        <v>282</v>
      </c>
      <c r="N428">
        <v>2014</v>
      </c>
      <c r="O428">
        <v>2014</v>
      </c>
      <c r="Q428" t="s">
        <v>1772</v>
      </c>
      <c r="T428" t="s">
        <v>2097</v>
      </c>
      <c r="X428">
        <v>1</v>
      </c>
      <c r="AA428">
        <v>0</v>
      </c>
    </row>
    <row r="429" spans="1:27">
      <c r="A429" s="1">
        <v>427</v>
      </c>
      <c r="B429">
        <v>25663872</v>
      </c>
      <c r="C429" t="s">
        <v>458</v>
      </c>
      <c r="D429" t="s">
        <v>858</v>
      </c>
      <c r="E429" t="s">
        <v>1234</v>
      </c>
      <c r="F429" t="s">
        <v>1400</v>
      </c>
      <c r="G429">
        <f>"125008136X"</f>
        <v>0</v>
      </c>
      <c r="H429">
        <f>"9781250081360"</f>
        <v>0</v>
      </c>
      <c r="I429">
        <v>0</v>
      </c>
      <c r="J429">
        <v>3.86</v>
      </c>
      <c r="K429" t="s">
        <v>1638</v>
      </c>
      <c r="L429" t="s">
        <v>1707</v>
      </c>
      <c r="M429">
        <v>320</v>
      </c>
      <c r="N429">
        <v>2016</v>
      </c>
      <c r="O429">
        <v>2016</v>
      </c>
      <c r="Q429" t="s">
        <v>1772</v>
      </c>
      <c r="T429" t="s">
        <v>2097</v>
      </c>
      <c r="X429">
        <v>1</v>
      </c>
      <c r="AA429">
        <v>0</v>
      </c>
    </row>
    <row r="430" spans="1:27">
      <c r="A430" s="1">
        <v>428</v>
      </c>
      <c r="B430">
        <v>32682</v>
      </c>
      <c r="C430" t="s">
        <v>459</v>
      </c>
      <c r="D430" t="s">
        <v>711</v>
      </c>
      <c r="E430" t="s">
        <v>1087</v>
      </c>
      <c r="G430">
        <f>"0425134350"</f>
        <v>0</v>
      </c>
      <c r="H430">
        <f>"9780425134351"</f>
        <v>0</v>
      </c>
      <c r="I430">
        <v>0</v>
      </c>
      <c r="J430">
        <v>4.14</v>
      </c>
      <c r="K430" t="s">
        <v>1681</v>
      </c>
      <c r="L430" t="s">
        <v>1705</v>
      </c>
      <c r="M430">
        <v>503</v>
      </c>
      <c r="N430">
        <v>1992</v>
      </c>
      <c r="O430">
        <v>1987</v>
      </c>
      <c r="Q430" t="s">
        <v>1772</v>
      </c>
      <c r="T430" t="s">
        <v>2097</v>
      </c>
      <c r="X430">
        <v>1</v>
      </c>
      <c r="AA430">
        <v>0</v>
      </c>
    </row>
    <row r="431" spans="1:27">
      <c r="A431" s="1">
        <v>429</v>
      </c>
      <c r="B431">
        <v>113576</v>
      </c>
      <c r="C431" t="s">
        <v>460</v>
      </c>
      <c r="D431" t="s">
        <v>859</v>
      </c>
      <c r="E431" t="s">
        <v>1235</v>
      </c>
      <c r="F431" t="s">
        <v>1401</v>
      </c>
      <c r="G431">
        <f>"1591840538"</f>
        <v>0</v>
      </c>
      <c r="H431">
        <f>"9781591840534"</f>
        <v>0</v>
      </c>
      <c r="I431">
        <v>0</v>
      </c>
      <c r="J431">
        <v>4.2</v>
      </c>
      <c r="K431" t="s">
        <v>1682</v>
      </c>
      <c r="L431" t="s">
        <v>1705</v>
      </c>
      <c r="M431">
        <v>480</v>
      </c>
      <c r="N431">
        <v>2004</v>
      </c>
      <c r="O431">
        <v>2003</v>
      </c>
      <c r="Q431" t="s">
        <v>1772</v>
      </c>
      <c r="T431" t="s">
        <v>2097</v>
      </c>
      <c r="X431">
        <v>1</v>
      </c>
      <c r="AA431">
        <v>0</v>
      </c>
    </row>
    <row r="432" spans="1:27">
      <c r="A432" s="1">
        <v>430</v>
      </c>
      <c r="B432">
        <v>17286725</v>
      </c>
      <c r="C432" t="s">
        <v>461</v>
      </c>
      <c r="D432" t="s">
        <v>860</v>
      </c>
      <c r="E432" t="s">
        <v>1236</v>
      </c>
      <c r="G432">
        <f>"0805094970"</f>
        <v>0</v>
      </c>
      <c r="H432">
        <f>"9780805094978"</f>
        <v>0</v>
      </c>
      <c r="I432">
        <v>0</v>
      </c>
      <c r="J432">
        <v>4.07</v>
      </c>
      <c r="K432" t="s">
        <v>1621</v>
      </c>
      <c r="L432" t="s">
        <v>1707</v>
      </c>
      <c r="M432">
        <v>416</v>
      </c>
      <c r="N432">
        <v>2013</v>
      </c>
      <c r="O432">
        <v>2013</v>
      </c>
      <c r="Q432" t="s">
        <v>1772</v>
      </c>
      <c r="T432" t="s">
        <v>2097</v>
      </c>
      <c r="X432">
        <v>1</v>
      </c>
      <c r="AA432">
        <v>0</v>
      </c>
    </row>
    <row r="433" spans="1:27">
      <c r="A433" s="1">
        <v>431</v>
      </c>
      <c r="B433">
        <v>25733505</v>
      </c>
      <c r="C433" t="s">
        <v>462</v>
      </c>
      <c r="D433" t="s">
        <v>861</v>
      </c>
      <c r="E433" t="s">
        <v>1237</v>
      </c>
      <c r="G433">
        <f>"1400067960"</f>
        <v>0</v>
      </c>
      <c r="H433">
        <f>"9781400067961"</f>
        <v>0</v>
      </c>
      <c r="I433">
        <v>0</v>
      </c>
      <c r="J433">
        <v>4.22</v>
      </c>
      <c r="K433" t="s">
        <v>1476</v>
      </c>
      <c r="L433" t="s">
        <v>1707</v>
      </c>
      <c r="M433">
        <v>416</v>
      </c>
      <c r="N433">
        <v>2016</v>
      </c>
      <c r="O433">
        <v>2016</v>
      </c>
      <c r="Q433" t="s">
        <v>1772</v>
      </c>
      <c r="T433" t="s">
        <v>2097</v>
      </c>
      <c r="X433">
        <v>1</v>
      </c>
      <c r="AA433">
        <v>0</v>
      </c>
    </row>
    <row r="434" spans="1:27">
      <c r="A434" s="1">
        <v>432</v>
      </c>
      <c r="B434">
        <v>19063</v>
      </c>
      <c r="C434" t="s">
        <v>463</v>
      </c>
      <c r="D434" t="s">
        <v>823</v>
      </c>
      <c r="E434" t="s">
        <v>1199</v>
      </c>
      <c r="G434">
        <f>"0375831002"</f>
        <v>0</v>
      </c>
      <c r="H434">
        <f>"9780375831003"</f>
        <v>0</v>
      </c>
      <c r="I434">
        <v>0</v>
      </c>
      <c r="J434">
        <v>4.37</v>
      </c>
      <c r="K434" t="s">
        <v>1442</v>
      </c>
      <c r="L434" t="s">
        <v>1707</v>
      </c>
      <c r="M434">
        <v>552</v>
      </c>
      <c r="N434">
        <v>2006</v>
      </c>
      <c r="O434">
        <v>2005</v>
      </c>
      <c r="Q434" t="s">
        <v>1772</v>
      </c>
      <c r="T434" t="s">
        <v>2097</v>
      </c>
      <c r="X434">
        <v>1</v>
      </c>
      <c r="AA434">
        <v>0</v>
      </c>
    </row>
    <row r="435" spans="1:27">
      <c r="A435" s="1">
        <v>433</v>
      </c>
      <c r="B435">
        <v>31823677</v>
      </c>
      <c r="C435" t="s">
        <v>464</v>
      </c>
      <c r="D435" t="s">
        <v>862</v>
      </c>
      <c r="E435" t="s">
        <v>1238</v>
      </c>
      <c r="F435" t="s">
        <v>1402</v>
      </c>
      <c r="G435">
        <f>""</f>
        <v>0</v>
      </c>
      <c r="H435">
        <f>""</f>
        <v>0</v>
      </c>
      <c r="I435">
        <v>0</v>
      </c>
      <c r="J435">
        <v>4.15</v>
      </c>
      <c r="K435" t="s">
        <v>1529</v>
      </c>
      <c r="L435" t="s">
        <v>1708</v>
      </c>
      <c r="M435">
        <v>707</v>
      </c>
      <c r="N435">
        <v>2016</v>
      </c>
      <c r="O435">
        <v>2016</v>
      </c>
      <c r="Q435" t="s">
        <v>1772</v>
      </c>
      <c r="T435" t="s">
        <v>2097</v>
      </c>
      <c r="X435">
        <v>1</v>
      </c>
      <c r="AA435">
        <v>0</v>
      </c>
    </row>
    <row r="436" spans="1:27">
      <c r="A436" s="1">
        <v>434</v>
      </c>
      <c r="B436">
        <v>44882</v>
      </c>
      <c r="C436" t="s">
        <v>465</v>
      </c>
      <c r="D436" t="s">
        <v>863</v>
      </c>
      <c r="E436" t="s">
        <v>1239</v>
      </c>
      <c r="G436">
        <f>"0735611319"</f>
        <v>0</v>
      </c>
      <c r="H436">
        <f>"9780735611313"</f>
        <v>0</v>
      </c>
      <c r="I436">
        <v>0</v>
      </c>
      <c r="J436">
        <v>4.4</v>
      </c>
      <c r="K436" t="s">
        <v>1683</v>
      </c>
      <c r="L436" t="s">
        <v>1705</v>
      </c>
      <c r="M436">
        <v>400</v>
      </c>
      <c r="N436">
        <v>2000</v>
      </c>
      <c r="O436">
        <v>1999</v>
      </c>
      <c r="Q436" t="s">
        <v>1772</v>
      </c>
      <c r="T436" t="s">
        <v>2097</v>
      </c>
      <c r="X436">
        <v>1</v>
      </c>
      <c r="AA436">
        <v>0</v>
      </c>
    </row>
    <row r="437" spans="1:27">
      <c r="A437" s="1">
        <v>435</v>
      </c>
      <c r="B437">
        <v>274064</v>
      </c>
      <c r="C437" t="s">
        <v>466</v>
      </c>
      <c r="D437" t="s">
        <v>864</v>
      </c>
      <c r="E437" t="s">
        <v>1240</v>
      </c>
      <c r="F437" t="s">
        <v>1403</v>
      </c>
      <c r="G437">
        <f>"0395393884"</f>
        <v>0</v>
      </c>
      <c r="H437">
        <f>"9780395393888"</f>
        <v>0</v>
      </c>
      <c r="I437">
        <v>0</v>
      </c>
      <c r="J437">
        <v>4.17</v>
      </c>
      <c r="K437" t="s">
        <v>1468</v>
      </c>
      <c r="L437" t="s">
        <v>1705</v>
      </c>
      <c r="M437">
        <v>228</v>
      </c>
      <c r="N437">
        <v>1985</v>
      </c>
      <c r="O437">
        <v>1984</v>
      </c>
      <c r="Q437" t="s">
        <v>1772</v>
      </c>
      <c r="T437" t="s">
        <v>2097</v>
      </c>
      <c r="X437">
        <v>1</v>
      </c>
      <c r="AA437">
        <v>0</v>
      </c>
    </row>
    <row r="438" spans="1:27">
      <c r="A438" s="1">
        <v>436</v>
      </c>
      <c r="B438">
        <v>13590828</v>
      </c>
      <c r="C438" t="s">
        <v>467</v>
      </c>
      <c r="D438" t="s">
        <v>865</v>
      </c>
      <c r="E438" t="s">
        <v>1241</v>
      </c>
      <c r="F438" t="s">
        <v>1404</v>
      </c>
      <c r="G438">
        <f>"1611760712"</f>
        <v>0</v>
      </c>
      <c r="H438">
        <f>"9781611760712"</f>
        <v>0</v>
      </c>
      <c r="I438">
        <v>0</v>
      </c>
      <c r="J438">
        <v>3.83</v>
      </c>
      <c r="K438" t="s">
        <v>1684</v>
      </c>
      <c r="L438" t="s">
        <v>1715</v>
      </c>
      <c r="M438">
        <v>11</v>
      </c>
      <c r="N438">
        <v>2012</v>
      </c>
      <c r="O438">
        <v>2012</v>
      </c>
      <c r="Q438" t="s">
        <v>1772</v>
      </c>
      <c r="T438" t="s">
        <v>2097</v>
      </c>
      <c r="X438">
        <v>1</v>
      </c>
      <c r="AA438">
        <v>0</v>
      </c>
    </row>
    <row r="439" spans="1:27">
      <c r="A439" s="1">
        <v>437</v>
      </c>
      <c r="B439">
        <v>83882</v>
      </c>
      <c r="C439" t="s">
        <v>468</v>
      </c>
      <c r="D439" t="s">
        <v>866</v>
      </c>
      <c r="E439" t="s">
        <v>1242</v>
      </c>
      <c r="G439">
        <f>"048624864X"</f>
        <v>0</v>
      </c>
      <c r="H439">
        <f>"9780486248646"</f>
        <v>0</v>
      </c>
      <c r="I439">
        <v>0</v>
      </c>
      <c r="J439">
        <v>3.68</v>
      </c>
      <c r="K439" t="s">
        <v>1439</v>
      </c>
      <c r="L439" t="s">
        <v>1705</v>
      </c>
      <c r="M439">
        <v>454</v>
      </c>
      <c r="N439">
        <v>1985</v>
      </c>
      <c r="O439">
        <v>1974</v>
      </c>
      <c r="Q439" t="s">
        <v>1772</v>
      </c>
      <c r="T439" t="s">
        <v>2097</v>
      </c>
      <c r="X439">
        <v>1</v>
      </c>
      <c r="AA439">
        <v>0</v>
      </c>
    </row>
    <row r="440" spans="1:27">
      <c r="A440" s="1">
        <v>438</v>
      </c>
      <c r="B440">
        <v>450248</v>
      </c>
      <c r="C440" t="s">
        <v>469</v>
      </c>
      <c r="D440" t="s">
        <v>867</v>
      </c>
      <c r="E440" t="s">
        <v>1243</v>
      </c>
      <c r="G440">
        <f>"0486241041"</f>
        <v>0</v>
      </c>
      <c r="H440">
        <f>"9780486241043"</f>
        <v>0</v>
      </c>
      <c r="I440">
        <v>0</v>
      </c>
      <c r="J440">
        <v>4.16</v>
      </c>
      <c r="K440" t="s">
        <v>1439</v>
      </c>
      <c r="L440" t="s">
        <v>1705</v>
      </c>
      <c r="M440">
        <v>482</v>
      </c>
      <c r="N440">
        <v>1981</v>
      </c>
      <c r="O440">
        <v>1959</v>
      </c>
      <c r="Q440" t="s">
        <v>1772</v>
      </c>
      <c r="T440" t="s">
        <v>2097</v>
      </c>
      <c r="X440">
        <v>1</v>
      </c>
      <c r="AA440">
        <v>0</v>
      </c>
    </row>
    <row r="441" spans="1:27">
      <c r="A441" s="1">
        <v>439</v>
      </c>
      <c r="B441">
        <v>19668</v>
      </c>
      <c r="C441" t="s">
        <v>470</v>
      </c>
      <c r="D441" t="s">
        <v>711</v>
      </c>
      <c r="E441" t="s">
        <v>1087</v>
      </c>
      <c r="G441">
        <f>"0425143325"</f>
        <v>0</v>
      </c>
      <c r="H441">
        <f>"9780425143322"</f>
        <v>0</v>
      </c>
      <c r="I441">
        <v>0</v>
      </c>
      <c r="J441">
        <v>4.18</v>
      </c>
      <c r="K441" t="s">
        <v>1593</v>
      </c>
      <c r="L441" t="s">
        <v>1705</v>
      </c>
      <c r="M441">
        <v>750</v>
      </c>
      <c r="N441">
        <v>1994</v>
      </c>
      <c r="O441">
        <v>1993</v>
      </c>
      <c r="Q441" t="s">
        <v>1772</v>
      </c>
      <c r="T441" t="s">
        <v>2097</v>
      </c>
      <c r="X441">
        <v>1</v>
      </c>
      <c r="AA441">
        <v>0</v>
      </c>
    </row>
    <row r="442" spans="1:27">
      <c r="A442" s="1">
        <v>440</v>
      </c>
      <c r="B442">
        <v>5720</v>
      </c>
      <c r="C442" t="s">
        <v>471</v>
      </c>
      <c r="D442" t="s">
        <v>711</v>
      </c>
      <c r="E442" t="s">
        <v>1087</v>
      </c>
      <c r="F442" t="s">
        <v>1405</v>
      </c>
      <c r="G442">
        <f>"0425170349"</f>
        <v>0</v>
      </c>
      <c r="H442">
        <f>"9780425170342"</f>
        <v>0</v>
      </c>
      <c r="I442">
        <v>0</v>
      </c>
      <c r="J442">
        <v>4.09</v>
      </c>
      <c r="K442" t="s">
        <v>1593</v>
      </c>
      <c r="L442" t="s">
        <v>1706</v>
      </c>
      <c r="M442">
        <v>912</v>
      </c>
      <c r="N442">
        <v>1999</v>
      </c>
      <c r="O442">
        <v>1998</v>
      </c>
      <c r="Q442" t="s">
        <v>1772</v>
      </c>
      <c r="T442" t="s">
        <v>2097</v>
      </c>
      <c r="X442">
        <v>1</v>
      </c>
      <c r="AA442">
        <v>0</v>
      </c>
    </row>
    <row r="443" spans="1:27">
      <c r="A443" s="1">
        <v>441</v>
      </c>
      <c r="B443">
        <v>1103400</v>
      </c>
      <c r="C443" t="s">
        <v>472</v>
      </c>
      <c r="D443" t="s">
        <v>868</v>
      </c>
      <c r="E443" t="s">
        <v>1244</v>
      </c>
      <c r="G443">
        <f>"0446611824"</f>
        <v>0</v>
      </c>
      <c r="H443">
        <f>"9780446611824"</f>
        <v>0</v>
      </c>
      <c r="I443">
        <v>0</v>
      </c>
      <c r="J443">
        <v>3.94</v>
      </c>
      <c r="K443" t="s">
        <v>1679</v>
      </c>
      <c r="L443" t="s">
        <v>1705</v>
      </c>
      <c r="M443">
        <v>528</v>
      </c>
      <c r="N443">
        <v>2002</v>
      </c>
      <c r="O443">
        <v>2001</v>
      </c>
      <c r="Q443" t="s">
        <v>1772</v>
      </c>
      <c r="T443" t="s">
        <v>2097</v>
      </c>
      <c r="X443">
        <v>1</v>
      </c>
      <c r="AA443">
        <v>0</v>
      </c>
    </row>
    <row r="444" spans="1:27">
      <c r="A444" s="1">
        <v>442</v>
      </c>
      <c r="B444">
        <v>24396871</v>
      </c>
      <c r="C444" t="s">
        <v>473</v>
      </c>
      <c r="D444" t="s">
        <v>843</v>
      </c>
      <c r="E444" t="s">
        <v>1219</v>
      </c>
      <c r="G444">
        <f>"0316371769"</f>
        <v>0</v>
      </c>
      <c r="H444">
        <f>"9780316371766"</f>
        <v>0</v>
      </c>
      <c r="I444">
        <v>0</v>
      </c>
      <c r="J444">
        <v>3.88</v>
      </c>
      <c r="K444" t="s">
        <v>1562</v>
      </c>
      <c r="L444" t="s">
        <v>1707</v>
      </c>
      <c r="M444">
        <v>560</v>
      </c>
      <c r="N444">
        <v>2015</v>
      </c>
      <c r="O444">
        <v>2015</v>
      </c>
      <c r="Q444" t="s">
        <v>1772</v>
      </c>
      <c r="T444" t="s">
        <v>2097</v>
      </c>
      <c r="X444">
        <v>1</v>
      </c>
      <c r="AA444">
        <v>0</v>
      </c>
    </row>
    <row r="445" spans="1:27">
      <c r="A445" s="1">
        <v>443</v>
      </c>
      <c r="B445">
        <v>24113</v>
      </c>
      <c r="C445" t="s">
        <v>474</v>
      </c>
      <c r="D445" t="s">
        <v>757</v>
      </c>
      <c r="E445" t="s">
        <v>1133</v>
      </c>
      <c r="G445">
        <f>"0465026567"</f>
        <v>0</v>
      </c>
      <c r="H445">
        <f>"9780465026562"</f>
        <v>0</v>
      </c>
      <c r="I445">
        <v>0</v>
      </c>
      <c r="J445">
        <v>4.29</v>
      </c>
      <c r="K445" t="s">
        <v>1489</v>
      </c>
      <c r="L445" t="s">
        <v>1705</v>
      </c>
      <c r="M445">
        <v>777</v>
      </c>
      <c r="N445">
        <v>1999</v>
      </c>
      <c r="O445">
        <v>1979</v>
      </c>
      <c r="Q445" t="s">
        <v>1772</v>
      </c>
      <c r="T445" t="s">
        <v>2097</v>
      </c>
      <c r="X445">
        <v>1</v>
      </c>
      <c r="AA445">
        <v>0</v>
      </c>
    </row>
    <row r="446" spans="1:27">
      <c r="A446" s="1">
        <v>444</v>
      </c>
      <c r="B446">
        <v>1000990</v>
      </c>
      <c r="C446" t="s">
        <v>475</v>
      </c>
      <c r="D446" t="s">
        <v>869</v>
      </c>
      <c r="E446" t="s">
        <v>1245</v>
      </c>
      <c r="G446">
        <f>"0618494782"</f>
        <v>0</v>
      </c>
      <c r="H446">
        <f>"9780618494781"</f>
        <v>0</v>
      </c>
      <c r="I446">
        <v>0</v>
      </c>
      <c r="J446">
        <v>3.62</v>
      </c>
      <c r="K446" t="s">
        <v>1561</v>
      </c>
      <c r="L446" t="s">
        <v>1705</v>
      </c>
      <c r="M446">
        <v>96</v>
      </c>
      <c r="N446">
        <v>2004</v>
      </c>
      <c r="O446">
        <v>2009</v>
      </c>
      <c r="Q446" t="s">
        <v>1772</v>
      </c>
      <c r="T446" t="s">
        <v>2097</v>
      </c>
      <c r="X446">
        <v>1</v>
      </c>
      <c r="AA446">
        <v>0</v>
      </c>
    </row>
    <row r="447" spans="1:27">
      <c r="A447" s="1">
        <v>445</v>
      </c>
      <c r="B447">
        <v>34127824</v>
      </c>
      <c r="C447" t="s">
        <v>476</v>
      </c>
      <c r="D447" t="s">
        <v>870</v>
      </c>
      <c r="E447" t="s">
        <v>1246</v>
      </c>
      <c r="G447">
        <f>"1501145037"</f>
        <v>0</v>
      </c>
      <c r="H447">
        <f>"9781501145032"</f>
        <v>0</v>
      </c>
      <c r="I447">
        <v>0</v>
      </c>
      <c r="J447">
        <v>4.43</v>
      </c>
      <c r="K447" t="s">
        <v>1430</v>
      </c>
      <c r="L447" t="s">
        <v>1707</v>
      </c>
      <c r="M447">
        <v>320</v>
      </c>
      <c r="N447">
        <v>2017</v>
      </c>
      <c r="O447">
        <v>2017</v>
      </c>
      <c r="Q447" t="s">
        <v>1772</v>
      </c>
      <c r="T447" t="s">
        <v>2097</v>
      </c>
      <c r="X447">
        <v>1</v>
      </c>
      <c r="AA447">
        <v>0</v>
      </c>
    </row>
    <row r="448" spans="1:27">
      <c r="A448" s="1">
        <v>446</v>
      </c>
      <c r="B448">
        <v>253272</v>
      </c>
      <c r="C448" t="s">
        <v>477</v>
      </c>
      <c r="D448" t="s">
        <v>871</v>
      </c>
      <c r="E448" t="s">
        <v>1247</v>
      </c>
      <c r="F448" t="s">
        <v>1406</v>
      </c>
      <c r="G448">
        <f>"0425101339"</f>
        <v>0</v>
      </c>
      <c r="H448">
        <f>"9780425101339"</f>
        <v>0</v>
      </c>
      <c r="I448">
        <v>0</v>
      </c>
      <c r="J448">
        <v>4.18</v>
      </c>
      <c r="K448" t="s">
        <v>1681</v>
      </c>
      <c r="L448" t="s">
        <v>1705</v>
      </c>
      <c r="M448">
        <v>240</v>
      </c>
      <c r="N448">
        <v>1986</v>
      </c>
      <c r="O448">
        <v>1978</v>
      </c>
      <c r="Q448" t="s">
        <v>1772</v>
      </c>
      <c r="T448" t="s">
        <v>2097</v>
      </c>
      <c r="X448">
        <v>1</v>
      </c>
      <c r="AA448">
        <v>0</v>
      </c>
    </row>
    <row r="449" spans="1:27">
      <c r="A449" s="1">
        <v>447</v>
      </c>
      <c r="B449">
        <v>55403</v>
      </c>
      <c r="C449" t="s">
        <v>478</v>
      </c>
      <c r="D449" t="s">
        <v>872</v>
      </c>
      <c r="E449" t="s">
        <v>1248</v>
      </c>
      <c r="G449">
        <f>"0871137380"</f>
        <v>0</v>
      </c>
      <c r="H449">
        <f>"9780871137388"</f>
        <v>0</v>
      </c>
      <c r="I449">
        <v>0</v>
      </c>
      <c r="J449">
        <v>4.29</v>
      </c>
      <c r="K449" t="s">
        <v>1620</v>
      </c>
      <c r="L449" t="s">
        <v>1707</v>
      </c>
      <c r="M449">
        <v>386</v>
      </c>
      <c r="N449">
        <v>1999</v>
      </c>
      <c r="O449">
        <v>1999</v>
      </c>
      <c r="Q449" t="s">
        <v>1772</v>
      </c>
      <c r="T449" t="s">
        <v>2097</v>
      </c>
      <c r="X449">
        <v>1</v>
      </c>
      <c r="AA449">
        <v>0</v>
      </c>
    </row>
    <row r="450" spans="1:27">
      <c r="A450" s="1">
        <v>448</v>
      </c>
      <c r="B450">
        <v>865</v>
      </c>
      <c r="C450" t="s">
        <v>479</v>
      </c>
      <c r="D450" t="s">
        <v>873</v>
      </c>
      <c r="E450" t="s">
        <v>1249</v>
      </c>
      <c r="F450" t="s">
        <v>1407</v>
      </c>
      <c r="G450">
        <f>"0061122416"</f>
        <v>0</v>
      </c>
      <c r="H450">
        <f>"9780061122415"</f>
        <v>0</v>
      </c>
      <c r="I450">
        <v>0</v>
      </c>
      <c r="J450">
        <v>3.87</v>
      </c>
      <c r="K450" t="s">
        <v>1484</v>
      </c>
      <c r="L450" t="s">
        <v>1705</v>
      </c>
      <c r="M450">
        <v>197</v>
      </c>
      <c r="N450">
        <v>1993</v>
      </c>
      <c r="O450">
        <v>1988</v>
      </c>
      <c r="Q450" t="s">
        <v>1772</v>
      </c>
      <c r="T450" t="s">
        <v>2097</v>
      </c>
      <c r="X450">
        <v>1</v>
      </c>
      <c r="AA450">
        <v>0</v>
      </c>
    </row>
    <row r="451" spans="1:27">
      <c r="A451" s="1">
        <v>449</v>
      </c>
      <c r="B451">
        <v>414999</v>
      </c>
      <c r="C451" t="s">
        <v>480</v>
      </c>
      <c r="D451" t="s">
        <v>641</v>
      </c>
      <c r="E451" t="s">
        <v>1017</v>
      </c>
      <c r="G451">
        <f>""</f>
        <v>0</v>
      </c>
      <c r="H451">
        <f>""</f>
        <v>0</v>
      </c>
      <c r="I451">
        <v>0</v>
      </c>
      <c r="J451">
        <v>4.11</v>
      </c>
      <c r="K451" t="s">
        <v>1685</v>
      </c>
      <c r="L451" t="s">
        <v>1706</v>
      </c>
      <c r="M451">
        <v>224</v>
      </c>
      <c r="N451">
        <v>1987</v>
      </c>
      <c r="O451">
        <v>1953</v>
      </c>
      <c r="Q451" t="s">
        <v>1772</v>
      </c>
      <c r="T451" t="s">
        <v>2097</v>
      </c>
      <c r="X451">
        <v>1</v>
      </c>
      <c r="AA451">
        <v>0</v>
      </c>
    </row>
    <row r="452" spans="1:27">
      <c r="A452" s="1">
        <v>450</v>
      </c>
      <c r="B452">
        <v>187181</v>
      </c>
      <c r="C452" t="s">
        <v>481</v>
      </c>
      <c r="D452" t="s">
        <v>874</v>
      </c>
      <c r="E452" t="s">
        <v>1250</v>
      </c>
      <c r="G452">
        <f>"0449213447"</f>
        <v>0</v>
      </c>
      <c r="H452">
        <f>"9780449213445"</f>
        <v>0</v>
      </c>
      <c r="I452">
        <v>0</v>
      </c>
      <c r="J452">
        <v>4.05</v>
      </c>
      <c r="K452" t="s">
        <v>1686</v>
      </c>
      <c r="L452" t="s">
        <v>1706</v>
      </c>
      <c r="M452">
        <v>304</v>
      </c>
      <c r="N452">
        <v>1987</v>
      </c>
      <c r="O452">
        <v>1966</v>
      </c>
      <c r="Q452" t="s">
        <v>1772</v>
      </c>
      <c r="T452" t="s">
        <v>2097</v>
      </c>
      <c r="X452">
        <v>1</v>
      </c>
      <c r="AA452">
        <v>0</v>
      </c>
    </row>
    <row r="453" spans="1:27">
      <c r="A453" s="1">
        <v>451</v>
      </c>
      <c r="B453">
        <v>1305</v>
      </c>
      <c r="C453" t="s">
        <v>482</v>
      </c>
      <c r="D453" t="s">
        <v>875</v>
      </c>
      <c r="E453" t="s">
        <v>1251</v>
      </c>
      <c r="G453">
        <f>"055338368X"</f>
        <v>0</v>
      </c>
      <c r="H453">
        <f>"9780553383683"</f>
        <v>0</v>
      </c>
      <c r="I453">
        <v>0</v>
      </c>
      <c r="J453">
        <v>4.42</v>
      </c>
      <c r="K453" t="s">
        <v>1648</v>
      </c>
      <c r="L453" t="s">
        <v>1705</v>
      </c>
      <c r="M453">
        <v>392</v>
      </c>
      <c r="N453">
        <v>2005</v>
      </c>
      <c r="O453">
        <v>1998</v>
      </c>
      <c r="Q453" t="s">
        <v>1772</v>
      </c>
      <c r="T453" t="s">
        <v>2097</v>
      </c>
      <c r="X453">
        <v>1</v>
      </c>
      <c r="AA453">
        <v>0</v>
      </c>
    </row>
    <row r="454" spans="1:27">
      <c r="A454" s="1">
        <v>452</v>
      </c>
      <c r="B454">
        <v>38315</v>
      </c>
      <c r="C454" t="s">
        <v>483</v>
      </c>
      <c r="D454" t="s">
        <v>701</v>
      </c>
      <c r="E454" t="s">
        <v>1077</v>
      </c>
      <c r="G454">
        <f>"0812975219"</f>
        <v>0</v>
      </c>
      <c r="H454">
        <f>"9780812975215"</f>
        <v>0</v>
      </c>
      <c r="I454">
        <v>0</v>
      </c>
      <c r="J454">
        <v>4.06</v>
      </c>
      <c r="K454" t="s">
        <v>1640</v>
      </c>
      <c r="L454" t="s">
        <v>1705</v>
      </c>
      <c r="M454">
        <v>368</v>
      </c>
      <c r="N454">
        <v>2005</v>
      </c>
      <c r="O454">
        <v>2001</v>
      </c>
      <c r="Q454" t="s">
        <v>1772</v>
      </c>
      <c r="T454" t="s">
        <v>2097</v>
      </c>
      <c r="X454">
        <v>1</v>
      </c>
      <c r="AA454">
        <v>0</v>
      </c>
    </row>
    <row r="455" spans="1:27">
      <c r="A455" s="1">
        <v>453</v>
      </c>
      <c r="B455">
        <v>13530973</v>
      </c>
      <c r="C455" t="s">
        <v>484</v>
      </c>
      <c r="D455" t="s">
        <v>701</v>
      </c>
      <c r="E455" t="s">
        <v>1077</v>
      </c>
      <c r="G455">
        <f>"1400067820"</f>
        <v>0</v>
      </c>
      <c r="H455">
        <f>"9781400067824"</f>
        <v>0</v>
      </c>
      <c r="I455">
        <v>0</v>
      </c>
      <c r="J455">
        <v>4.1</v>
      </c>
      <c r="K455" t="s">
        <v>1476</v>
      </c>
      <c r="L455" t="s">
        <v>1707</v>
      </c>
      <c r="M455">
        <v>426</v>
      </c>
      <c r="N455">
        <v>2012</v>
      </c>
      <c r="O455">
        <v>2012</v>
      </c>
      <c r="Q455" t="s">
        <v>1772</v>
      </c>
      <c r="T455" t="s">
        <v>2097</v>
      </c>
      <c r="X455">
        <v>1</v>
      </c>
      <c r="AA455">
        <v>0</v>
      </c>
    </row>
    <row r="456" spans="1:27">
      <c r="A456" s="1">
        <v>454</v>
      </c>
      <c r="B456">
        <v>242472</v>
      </c>
      <c r="C456" t="s">
        <v>485</v>
      </c>
      <c r="D456" t="s">
        <v>701</v>
      </c>
      <c r="E456" t="s">
        <v>1077</v>
      </c>
      <c r="G456">
        <f>"1400063515"</f>
        <v>0</v>
      </c>
      <c r="H456">
        <f>"9781400063512"</f>
        <v>0</v>
      </c>
      <c r="I456">
        <v>0</v>
      </c>
      <c r="J456">
        <v>3.93</v>
      </c>
      <c r="K456" t="s">
        <v>1687</v>
      </c>
      <c r="L456" t="s">
        <v>1707</v>
      </c>
      <c r="M456">
        <v>366</v>
      </c>
      <c r="N456">
        <v>2007</v>
      </c>
      <c r="O456">
        <v>2007</v>
      </c>
      <c r="Q456" t="s">
        <v>1772</v>
      </c>
      <c r="T456" t="s">
        <v>2097</v>
      </c>
      <c r="X456">
        <v>1</v>
      </c>
      <c r="AA456">
        <v>0</v>
      </c>
    </row>
    <row r="457" spans="1:27">
      <c r="A457" s="1">
        <v>455</v>
      </c>
      <c r="B457">
        <v>386162</v>
      </c>
      <c r="C457" t="s">
        <v>486</v>
      </c>
      <c r="D457" t="s">
        <v>876</v>
      </c>
      <c r="E457" t="s">
        <v>1252</v>
      </c>
      <c r="G457">
        <f>""</f>
        <v>0</v>
      </c>
      <c r="H457">
        <f>""</f>
        <v>0</v>
      </c>
      <c r="I457">
        <v>0</v>
      </c>
      <c r="J457">
        <v>4.22</v>
      </c>
      <c r="K457" t="s">
        <v>1688</v>
      </c>
      <c r="L457" t="s">
        <v>1705</v>
      </c>
      <c r="M457">
        <v>193</v>
      </c>
      <c r="N457">
        <v>2007</v>
      </c>
      <c r="O457">
        <v>1979</v>
      </c>
      <c r="Q457" t="s">
        <v>1772</v>
      </c>
      <c r="T457" t="s">
        <v>2097</v>
      </c>
      <c r="X457">
        <v>1</v>
      </c>
      <c r="AA457">
        <v>0</v>
      </c>
    </row>
    <row r="458" spans="1:27">
      <c r="A458" s="1">
        <v>456</v>
      </c>
      <c r="B458">
        <v>12917124</v>
      </c>
      <c r="C458" t="s">
        <v>487</v>
      </c>
      <c r="D458" t="s">
        <v>877</v>
      </c>
      <c r="E458" t="s">
        <v>1253</v>
      </c>
      <c r="G458">
        <f>"0307887170"</f>
        <v>0</v>
      </c>
      <c r="H458">
        <f>"9780307887177"</f>
        <v>0</v>
      </c>
      <c r="I458">
        <v>0</v>
      </c>
      <c r="J458">
        <v>4.09</v>
      </c>
      <c r="K458" t="s">
        <v>1689</v>
      </c>
      <c r="L458" t="s">
        <v>1707</v>
      </c>
      <c r="M458">
        <v>368</v>
      </c>
      <c r="N458">
        <v>2012</v>
      </c>
      <c r="O458">
        <v>2012</v>
      </c>
      <c r="Q458" t="s">
        <v>1772</v>
      </c>
      <c r="T458" t="s">
        <v>2097</v>
      </c>
      <c r="X458">
        <v>1</v>
      </c>
      <c r="AA458">
        <v>0</v>
      </c>
    </row>
    <row r="459" spans="1:27">
      <c r="A459" s="1">
        <v>457</v>
      </c>
      <c r="B459">
        <v>48757</v>
      </c>
      <c r="C459" t="s">
        <v>488</v>
      </c>
      <c r="D459" t="s">
        <v>878</v>
      </c>
      <c r="E459" t="s">
        <v>1254</v>
      </c>
      <c r="F459" t="s">
        <v>1408</v>
      </c>
      <c r="G459">
        <f>"1405204265"</f>
        <v>0</v>
      </c>
      <c r="H459">
        <f>"9781405204262"</f>
        <v>0</v>
      </c>
      <c r="I459">
        <v>0</v>
      </c>
      <c r="J459">
        <v>4.01</v>
      </c>
      <c r="K459" t="s">
        <v>1690</v>
      </c>
      <c r="L459" t="s">
        <v>1705</v>
      </c>
      <c r="M459">
        <v>176</v>
      </c>
      <c r="N459">
        <v>2003</v>
      </c>
      <c r="O459">
        <v>1982</v>
      </c>
      <c r="Q459" t="s">
        <v>1772</v>
      </c>
      <c r="T459" t="s">
        <v>2097</v>
      </c>
      <c r="X459">
        <v>1</v>
      </c>
      <c r="AA459">
        <v>0</v>
      </c>
    </row>
    <row r="460" spans="1:27">
      <c r="A460" s="1">
        <v>458</v>
      </c>
      <c r="B460">
        <v>43536</v>
      </c>
      <c r="C460" t="s">
        <v>489</v>
      </c>
      <c r="D460" t="s">
        <v>879</v>
      </c>
      <c r="E460" t="s">
        <v>1255</v>
      </c>
      <c r="F460" t="s">
        <v>1409</v>
      </c>
      <c r="G460">
        <f>"0809230410"</f>
        <v>0</v>
      </c>
      <c r="H460">
        <f>"9780809230419"</f>
        <v>0</v>
      </c>
      <c r="I460">
        <v>0</v>
      </c>
      <c r="J460">
        <v>4.45</v>
      </c>
      <c r="K460" t="s">
        <v>1691</v>
      </c>
      <c r="L460" t="s">
        <v>1707</v>
      </c>
      <c r="M460">
        <v>201</v>
      </c>
      <c r="N460">
        <v>1997</v>
      </c>
      <c r="O460">
        <v>1997</v>
      </c>
      <c r="Q460" t="s">
        <v>1772</v>
      </c>
      <c r="T460" t="s">
        <v>2097</v>
      </c>
      <c r="X460">
        <v>1</v>
      </c>
      <c r="AA460">
        <v>0</v>
      </c>
    </row>
    <row r="461" spans="1:27">
      <c r="A461" s="1">
        <v>459</v>
      </c>
      <c r="B461">
        <v>1622</v>
      </c>
      <c r="C461" t="s">
        <v>490</v>
      </c>
      <c r="D461" t="s">
        <v>557</v>
      </c>
      <c r="E461" t="s">
        <v>932</v>
      </c>
      <c r="F461" t="s">
        <v>1410</v>
      </c>
      <c r="G461">
        <f>"0743477545"</f>
        <v>0</v>
      </c>
      <c r="H461">
        <f>"9780743477543"</f>
        <v>0</v>
      </c>
      <c r="I461">
        <v>0</v>
      </c>
      <c r="J461">
        <v>3.95</v>
      </c>
      <c r="K461" t="s">
        <v>1692</v>
      </c>
      <c r="L461" t="s">
        <v>1705</v>
      </c>
      <c r="M461">
        <v>240</v>
      </c>
      <c r="N461">
        <v>2016</v>
      </c>
      <c r="O461">
        <v>1595</v>
      </c>
      <c r="Q461" t="s">
        <v>1772</v>
      </c>
      <c r="T461" t="s">
        <v>2097</v>
      </c>
      <c r="X461">
        <v>1</v>
      </c>
      <c r="AA461">
        <v>0</v>
      </c>
    </row>
    <row r="462" spans="1:27">
      <c r="A462" s="1">
        <v>460</v>
      </c>
      <c r="B462">
        <v>7624</v>
      </c>
      <c r="C462" t="s">
        <v>491</v>
      </c>
      <c r="D462" t="s">
        <v>880</v>
      </c>
      <c r="E462" t="s">
        <v>1256</v>
      </c>
      <c r="G462">
        <f>"0140283331"</f>
        <v>0</v>
      </c>
      <c r="H462">
        <f>"9780140283334"</f>
        <v>0</v>
      </c>
      <c r="I462">
        <v>0</v>
      </c>
      <c r="J462">
        <v>3.68</v>
      </c>
      <c r="K462" t="s">
        <v>1693</v>
      </c>
      <c r="L462" t="s">
        <v>1705</v>
      </c>
      <c r="M462">
        <v>182</v>
      </c>
      <c r="N462">
        <v>1999</v>
      </c>
      <c r="O462">
        <v>1954</v>
      </c>
      <c r="Q462" t="s">
        <v>1772</v>
      </c>
      <c r="T462" t="s">
        <v>2097</v>
      </c>
      <c r="X462">
        <v>1</v>
      </c>
      <c r="AA462">
        <v>0</v>
      </c>
    </row>
    <row r="463" spans="1:27">
      <c r="A463" s="1">
        <v>461</v>
      </c>
      <c r="B463">
        <v>5470</v>
      </c>
      <c r="C463" t="s">
        <v>492</v>
      </c>
      <c r="D463" t="s">
        <v>832</v>
      </c>
      <c r="E463" t="s">
        <v>1208</v>
      </c>
      <c r="F463" t="s">
        <v>1411</v>
      </c>
      <c r="G463">
        <f>""</f>
        <v>0</v>
      </c>
      <c r="H463">
        <f>""</f>
        <v>0</v>
      </c>
      <c r="I463">
        <v>0</v>
      </c>
      <c r="J463">
        <v>4.18</v>
      </c>
      <c r="K463" t="s">
        <v>1694</v>
      </c>
      <c r="L463" t="s">
        <v>1706</v>
      </c>
      <c r="M463">
        <v>328</v>
      </c>
      <c r="N463">
        <v>1950</v>
      </c>
      <c r="O463">
        <v>1949</v>
      </c>
      <c r="Q463" t="s">
        <v>1772</v>
      </c>
      <c r="T463" t="s">
        <v>2097</v>
      </c>
      <c r="X463">
        <v>1</v>
      </c>
      <c r="AA463">
        <v>0</v>
      </c>
    </row>
    <row r="464" spans="1:27">
      <c r="A464" s="1">
        <v>462</v>
      </c>
      <c r="B464">
        <v>111300</v>
      </c>
      <c r="C464" t="s">
        <v>493</v>
      </c>
      <c r="D464" t="s">
        <v>597</v>
      </c>
      <c r="E464" t="s">
        <v>973</v>
      </c>
      <c r="F464" t="s">
        <v>1412</v>
      </c>
      <c r="G464">
        <f>"0141185503"</f>
        <v>0</v>
      </c>
      <c r="H464">
        <f>"9780141185507"</f>
        <v>0</v>
      </c>
      <c r="I464">
        <v>0</v>
      </c>
      <c r="J464">
        <v>3.94</v>
      </c>
      <c r="K464" t="s">
        <v>1449</v>
      </c>
      <c r="L464" t="s">
        <v>1705</v>
      </c>
      <c r="M464">
        <v>240</v>
      </c>
      <c r="N464">
        <v>2000</v>
      </c>
      <c r="O464">
        <v>1933</v>
      </c>
      <c r="Q464" t="s">
        <v>1772</v>
      </c>
      <c r="T464" t="s">
        <v>2097</v>
      </c>
      <c r="X464">
        <v>1</v>
      </c>
      <c r="AA464">
        <v>0</v>
      </c>
    </row>
    <row r="465" spans="1:27">
      <c r="A465" s="1">
        <v>463</v>
      </c>
      <c r="B465">
        <v>18114322</v>
      </c>
      <c r="C465" t="s">
        <v>494</v>
      </c>
      <c r="D465" t="s">
        <v>597</v>
      </c>
      <c r="E465" t="s">
        <v>973</v>
      </c>
      <c r="G465">
        <f>"067001690X"</f>
        <v>0</v>
      </c>
      <c r="H465">
        <f>"9780670016907"</f>
        <v>0</v>
      </c>
      <c r="I465">
        <v>0</v>
      </c>
      <c r="J465">
        <v>3.97</v>
      </c>
      <c r="K465" t="s">
        <v>1600</v>
      </c>
      <c r="L465" t="s">
        <v>1707</v>
      </c>
      <c r="M465">
        <v>479</v>
      </c>
      <c r="N465">
        <v>2014</v>
      </c>
      <c r="O465">
        <v>1939</v>
      </c>
      <c r="Q465" t="s">
        <v>1772</v>
      </c>
      <c r="T465" t="s">
        <v>2097</v>
      </c>
      <c r="X465">
        <v>1</v>
      </c>
      <c r="AA465">
        <v>0</v>
      </c>
    </row>
    <row r="466" spans="1:27">
      <c r="A466" s="1">
        <v>464</v>
      </c>
      <c r="B466">
        <v>4406</v>
      </c>
      <c r="C466" t="s">
        <v>495</v>
      </c>
      <c r="D466" t="s">
        <v>597</v>
      </c>
      <c r="E466" t="s">
        <v>973</v>
      </c>
      <c r="G466">
        <f>"0142000655"</f>
        <v>0</v>
      </c>
      <c r="H466">
        <f>"9780142000656"</f>
        <v>0</v>
      </c>
      <c r="I466">
        <v>0</v>
      </c>
      <c r="J466">
        <v>4.38</v>
      </c>
      <c r="K466" t="s">
        <v>1428</v>
      </c>
      <c r="L466" t="s">
        <v>1705</v>
      </c>
      <c r="M466">
        <v>601</v>
      </c>
      <c r="N466">
        <v>2002</v>
      </c>
      <c r="O466">
        <v>1952</v>
      </c>
      <c r="Q466" t="s">
        <v>1772</v>
      </c>
      <c r="T466" t="s">
        <v>2097</v>
      </c>
      <c r="X466">
        <v>1</v>
      </c>
      <c r="AA466">
        <v>0</v>
      </c>
    </row>
    <row r="467" spans="1:27">
      <c r="A467" s="1">
        <v>465</v>
      </c>
      <c r="B467">
        <v>3690</v>
      </c>
      <c r="C467" t="s">
        <v>496</v>
      </c>
      <c r="D467" t="s">
        <v>632</v>
      </c>
      <c r="E467" t="s">
        <v>1008</v>
      </c>
      <c r="F467" t="s">
        <v>1413</v>
      </c>
      <c r="G467">
        <f>"0142437301"</f>
        <v>0</v>
      </c>
      <c r="H467">
        <f>"9780142437308"</f>
        <v>0</v>
      </c>
      <c r="I467">
        <v>0</v>
      </c>
      <c r="J467">
        <v>3.99</v>
      </c>
      <c r="K467" t="s">
        <v>1428</v>
      </c>
      <c r="L467" t="s">
        <v>1705</v>
      </c>
      <c r="M467">
        <v>222</v>
      </c>
      <c r="N467">
        <v>2003</v>
      </c>
      <c r="O467">
        <v>1940</v>
      </c>
      <c r="Q467" t="s">
        <v>1772</v>
      </c>
      <c r="T467" t="s">
        <v>2097</v>
      </c>
      <c r="X467">
        <v>1</v>
      </c>
      <c r="AA467">
        <v>0</v>
      </c>
    </row>
    <row r="468" spans="1:27">
      <c r="A468" s="1">
        <v>466</v>
      </c>
      <c r="B468">
        <v>5197</v>
      </c>
      <c r="C468" t="s">
        <v>497</v>
      </c>
      <c r="D468" t="s">
        <v>881</v>
      </c>
      <c r="E468" t="s">
        <v>1257</v>
      </c>
      <c r="G468">
        <f>"0375702709"</f>
        <v>0</v>
      </c>
      <c r="H468">
        <f>"9780375702709"</f>
        <v>0</v>
      </c>
      <c r="I468">
        <v>0</v>
      </c>
      <c r="J468">
        <v>3.95</v>
      </c>
      <c r="K468" t="s">
        <v>1507</v>
      </c>
      <c r="L468" t="s">
        <v>1705</v>
      </c>
      <c r="M468">
        <v>256</v>
      </c>
      <c r="N468">
        <v>1997</v>
      </c>
      <c r="O468">
        <v>1993</v>
      </c>
      <c r="Q468" t="s">
        <v>1772</v>
      </c>
      <c r="T468" t="s">
        <v>2097</v>
      </c>
      <c r="X468">
        <v>1</v>
      </c>
      <c r="AA468">
        <v>0</v>
      </c>
    </row>
    <row r="469" spans="1:27">
      <c r="A469" s="1">
        <v>467</v>
      </c>
      <c r="B469">
        <v>30659</v>
      </c>
      <c r="C469" t="s">
        <v>498</v>
      </c>
      <c r="D469" t="s">
        <v>882</v>
      </c>
      <c r="E469" t="s">
        <v>1258</v>
      </c>
      <c r="F469" t="s">
        <v>1414</v>
      </c>
      <c r="G469">
        <f>"0140449337"</f>
        <v>0</v>
      </c>
      <c r="H469">
        <f>"9780140449334"</f>
        <v>0</v>
      </c>
      <c r="I469">
        <v>0</v>
      </c>
      <c r="J469">
        <v>4.24</v>
      </c>
      <c r="K469" t="s">
        <v>1428</v>
      </c>
      <c r="L469" t="s">
        <v>1705</v>
      </c>
      <c r="M469">
        <v>303</v>
      </c>
      <c r="N469">
        <v>2006</v>
      </c>
      <c r="O469">
        <v>180</v>
      </c>
      <c r="Q469" t="s">
        <v>1772</v>
      </c>
      <c r="T469" t="s">
        <v>2097</v>
      </c>
      <c r="X469">
        <v>1</v>
      </c>
      <c r="AA469">
        <v>0</v>
      </c>
    </row>
    <row r="470" spans="1:27">
      <c r="A470" s="1">
        <v>468</v>
      </c>
      <c r="B470">
        <v>1097</v>
      </c>
      <c r="C470" t="s">
        <v>499</v>
      </c>
      <c r="D470" t="s">
        <v>883</v>
      </c>
      <c r="E470" t="s">
        <v>1259</v>
      </c>
      <c r="G470">
        <f>"0060838582"</f>
        <v>0</v>
      </c>
      <c r="H470">
        <f>"9780060838584"</f>
        <v>0</v>
      </c>
      <c r="I470">
        <v>0</v>
      </c>
      <c r="J470">
        <v>3.74</v>
      </c>
      <c r="K470" t="s">
        <v>1463</v>
      </c>
      <c r="L470" t="s">
        <v>1705</v>
      </c>
      <c r="M470">
        <v>399</v>
      </c>
      <c r="N470">
        <v>2005</v>
      </c>
      <c r="O470">
        <v>2001</v>
      </c>
      <c r="Q470" t="s">
        <v>1772</v>
      </c>
      <c r="T470" t="s">
        <v>2097</v>
      </c>
      <c r="X470">
        <v>1</v>
      </c>
      <c r="AA470">
        <v>0</v>
      </c>
    </row>
    <row r="471" spans="1:27">
      <c r="A471" s="1">
        <v>469</v>
      </c>
      <c r="B471">
        <v>5695</v>
      </c>
      <c r="C471" t="s">
        <v>500</v>
      </c>
      <c r="D471" t="s">
        <v>834</v>
      </c>
      <c r="E471" t="s">
        <v>1210</v>
      </c>
      <c r="F471" t="s">
        <v>1415</v>
      </c>
      <c r="G471">
        <f>""</f>
        <v>0</v>
      </c>
      <c r="H471">
        <f>""</f>
        <v>0</v>
      </c>
      <c r="I471">
        <v>0</v>
      </c>
      <c r="J471">
        <v>4.27</v>
      </c>
      <c r="K471" t="s">
        <v>1507</v>
      </c>
      <c r="L471" t="s">
        <v>1705</v>
      </c>
      <c r="M471">
        <v>733</v>
      </c>
      <c r="N471">
        <v>1995</v>
      </c>
      <c r="O471">
        <v>1872</v>
      </c>
      <c r="Q471" t="s">
        <v>1772</v>
      </c>
      <c r="T471" t="s">
        <v>2097</v>
      </c>
      <c r="X471">
        <v>1</v>
      </c>
      <c r="AA471">
        <v>0</v>
      </c>
    </row>
    <row r="472" spans="1:27">
      <c r="A472" s="1">
        <v>470</v>
      </c>
      <c r="B472">
        <v>7144</v>
      </c>
      <c r="C472" t="s">
        <v>501</v>
      </c>
      <c r="D472" t="s">
        <v>834</v>
      </c>
      <c r="E472" t="s">
        <v>1210</v>
      </c>
      <c r="F472" t="s">
        <v>1416</v>
      </c>
      <c r="G472">
        <f>"0143058142"</f>
        <v>0</v>
      </c>
      <c r="H472">
        <f>"9780143058144"</f>
        <v>0</v>
      </c>
      <c r="I472">
        <v>0</v>
      </c>
      <c r="J472">
        <v>4.22</v>
      </c>
      <c r="K472" t="s">
        <v>1483</v>
      </c>
      <c r="L472" t="s">
        <v>1705</v>
      </c>
      <c r="M472">
        <v>671</v>
      </c>
      <c r="N472">
        <v>2002</v>
      </c>
      <c r="O472">
        <v>1866</v>
      </c>
      <c r="Q472" t="s">
        <v>1772</v>
      </c>
      <c r="T472" t="s">
        <v>2097</v>
      </c>
      <c r="X472">
        <v>1</v>
      </c>
      <c r="AA472">
        <v>0</v>
      </c>
    </row>
    <row r="473" spans="1:27">
      <c r="A473" s="1">
        <v>471</v>
      </c>
      <c r="B473">
        <v>49552</v>
      </c>
      <c r="C473" t="s">
        <v>502</v>
      </c>
      <c r="D473" t="s">
        <v>884</v>
      </c>
      <c r="E473" t="s">
        <v>1260</v>
      </c>
      <c r="F473" t="s">
        <v>1417</v>
      </c>
      <c r="G473">
        <f>""</f>
        <v>0</v>
      </c>
      <c r="H473">
        <f>""</f>
        <v>0</v>
      </c>
      <c r="I473">
        <v>0</v>
      </c>
      <c r="J473">
        <v>3.98</v>
      </c>
      <c r="K473" t="s">
        <v>1580</v>
      </c>
      <c r="L473" t="s">
        <v>1705</v>
      </c>
      <c r="M473">
        <v>123</v>
      </c>
      <c r="N473">
        <v>1989</v>
      </c>
      <c r="O473">
        <v>1942</v>
      </c>
      <c r="Q473" t="s">
        <v>1772</v>
      </c>
      <c r="T473" t="s">
        <v>2097</v>
      </c>
      <c r="X473">
        <v>1</v>
      </c>
      <c r="AA473">
        <v>0</v>
      </c>
    </row>
    <row r="474" spans="1:27">
      <c r="A474" s="1">
        <v>472</v>
      </c>
      <c r="B474">
        <v>12296</v>
      </c>
      <c r="C474" t="s">
        <v>503</v>
      </c>
      <c r="D474" t="s">
        <v>885</v>
      </c>
      <c r="E474" t="s">
        <v>1261</v>
      </c>
      <c r="F474" t="s">
        <v>1418</v>
      </c>
      <c r="G474">
        <f>"0142437263"</f>
        <v>0</v>
      </c>
      <c r="H474">
        <f>"9780142437261"</f>
        <v>0</v>
      </c>
      <c r="I474">
        <v>0</v>
      </c>
      <c r="J474">
        <v>3.4</v>
      </c>
      <c r="K474" t="s">
        <v>1428</v>
      </c>
      <c r="L474" t="s">
        <v>1705</v>
      </c>
      <c r="M474">
        <v>279</v>
      </c>
      <c r="N474">
        <v>2003</v>
      </c>
      <c r="O474">
        <v>1850</v>
      </c>
      <c r="Q474" t="s">
        <v>1772</v>
      </c>
      <c r="T474" t="s">
        <v>2097</v>
      </c>
      <c r="X474">
        <v>1</v>
      </c>
      <c r="AA474">
        <v>0</v>
      </c>
    </row>
    <row r="475" spans="1:27">
      <c r="A475" s="1">
        <v>473</v>
      </c>
      <c r="B475">
        <v>17098</v>
      </c>
      <c r="C475" t="s">
        <v>504</v>
      </c>
      <c r="D475" t="s">
        <v>571</v>
      </c>
      <c r="E475" t="s">
        <v>946</v>
      </c>
      <c r="G475">
        <f>"1400032954"</f>
        <v>0</v>
      </c>
      <c r="H475">
        <f>"9781400032952"</f>
        <v>0</v>
      </c>
      <c r="I475">
        <v>0</v>
      </c>
      <c r="J475">
        <v>3.84</v>
      </c>
      <c r="K475" t="s">
        <v>1507</v>
      </c>
      <c r="L475" t="s">
        <v>1705</v>
      </c>
      <c r="M475">
        <v>288</v>
      </c>
      <c r="N475">
        <v>2004</v>
      </c>
      <c r="O475">
        <v>2003</v>
      </c>
      <c r="Q475" t="s">
        <v>1772</v>
      </c>
      <c r="T475" t="s">
        <v>2097</v>
      </c>
      <c r="X475">
        <v>1</v>
      </c>
      <c r="AA475">
        <v>0</v>
      </c>
    </row>
    <row r="476" spans="1:27">
      <c r="A476" s="1">
        <v>474</v>
      </c>
      <c r="B476">
        <v>13160142</v>
      </c>
      <c r="C476" t="s">
        <v>505</v>
      </c>
      <c r="D476" t="s">
        <v>886</v>
      </c>
      <c r="E476" t="s">
        <v>1262</v>
      </c>
      <c r="G476">
        <f>"0310330718"</f>
        <v>0</v>
      </c>
      <c r="H476">
        <f>"9780310330714"</f>
        <v>0</v>
      </c>
      <c r="I476">
        <v>0</v>
      </c>
      <c r="J476">
        <v>4.16</v>
      </c>
      <c r="K476" t="s">
        <v>1695</v>
      </c>
      <c r="L476" t="s">
        <v>1707</v>
      </c>
      <c r="M476">
        <v>224</v>
      </c>
      <c r="N476">
        <v>2012</v>
      </c>
      <c r="O476">
        <v>2011</v>
      </c>
      <c r="Q476" t="s">
        <v>1772</v>
      </c>
      <c r="T476" t="s">
        <v>2097</v>
      </c>
      <c r="X476">
        <v>1</v>
      </c>
      <c r="AA476">
        <v>0</v>
      </c>
    </row>
    <row r="477" spans="1:27">
      <c r="A477" s="1">
        <v>475</v>
      </c>
      <c r="B477">
        <v>68143</v>
      </c>
      <c r="C477" t="s">
        <v>506</v>
      </c>
      <c r="D477" t="s">
        <v>887</v>
      </c>
      <c r="E477" t="s">
        <v>1263</v>
      </c>
      <c r="G477">
        <f>"0385721706"</f>
        <v>0</v>
      </c>
      <c r="H477">
        <f>"9780385721707"</f>
        <v>0</v>
      </c>
      <c r="I477">
        <v>0</v>
      </c>
      <c r="J477">
        <v>3.81</v>
      </c>
      <c r="K477" t="s">
        <v>1478</v>
      </c>
      <c r="L477" t="s">
        <v>1705</v>
      </c>
      <c r="M477">
        <v>306</v>
      </c>
      <c r="N477">
        <v>2005</v>
      </c>
      <c r="O477">
        <v>2004</v>
      </c>
      <c r="Q477" t="s">
        <v>1772</v>
      </c>
      <c r="T477" t="s">
        <v>2097</v>
      </c>
      <c r="X477">
        <v>1</v>
      </c>
      <c r="AA477">
        <v>0</v>
      </c>
    </row>
    <row r="478" spans="1:27">
      <c r="A478" s="1">
        <v>476</v>
      </c>
      <c r="B478">
        <v>937696</v>
      </c>
      <c r="C478" t="s">
        <v>507</v>
      </c>
      <c r="D478" t="s">
        <v>888</v>
      </c>
      <c r="E478" t="s">
        <v>1264</v>
      </c>
      <c r="G478">
        <f>"0891418725"</f>
        <v>0</v>
      </c>
      <c r="H478">
        <f>"9780891418726"</f>
        <v>0</v>
      </c>
      <c r="I478">
        <v>0</v>
      </c>
      <c r="J478">
        <v>4</v>
      </c>
      <c r="K478" t="s">
        <v>1696</v>
      </c>
      <c r="L478" t="s">
        <v>1707</v>
      </c>
      <c r="M478">
        <v>379</v>
      </c>
      <c r="N478">
        <v>2005</v>
      </c>
      <c r="O478">
        <v>2005</v>
      </c>
      <c r="Q478" t="s">
        <v>1772</v>
      </c>
      <c r="T478" t="s">
        <v>2097</v>
      </c>
      <c r="X478">
        <v>1</v>
      </c>
      <c r="AA478">
        <v>0</v>
      </c>
    </row>
    <row r="479" spans="1:27">
      <c r="A479" s="1">
        <v>477</v>
      </c>
      <c r="B479">
        <v>1945282</v>
      </c>
      <c r="C479" t="s">
        <v>508</v>
      </c>
      <c r="D479" t="s">
        <v>871</v>
      </c>
      <c r="E479" t="s">
        <v>1247</v>
      </c>
      <c r="G479">
        <f>"0425053466"</f>
        <v>0</v>
      </c>
      <c r="H479">
        <f>"9780425053461"</f>
        <v>0</v>
      </c>
      <c r="I479">
        <v>0</v>
      </c>
      <c r="J479">
        <v>4.11</v>
      </c>
      <c r="K479" t="s">
        <v>1697</v>
      </c>
      <c r="L479" t="s">
        <v>1705</v>
      </c>
      <c r="M479">
        <v>0</v>
      </c>
      <c r="N479">
        <v>1982</v>
      </c>
      <c r="O479">
        <v>1980</v>
      </c>
      <c r="Q479" t="s">
        <v>1772</v>
      </c>
      <c r="T479" t="s">
        <v>2097</v>
      </c>
      <c r="X479">
        <v>1</v>
      </c>
      <c r="AA479">
        <v>0</v>
      </c>
    </row>
    <row r="480" spans="1:27">
      <c r="A480" s="1">
        <v>478</v>
      </c>
      <c r="B480">
        <v>4069</v>
      </c>
      <c r="C480" t="s">
        <v>509</v>
      </c>
      <c r="D480" t="s">
        <v>889</v>
      </c>
      <c r="E480" t="s">
        <v>1265</v>
      </c>
      <c r="F480" t="s">
        <v>1419</v>
      </c>
      <c r="G480">
        <f>"080701429X"</f>
        <v>0</v>
      </c>
      <c r="H480">
        <f>"9780807014295"</f>
        <v>0</v>
      </c>
      <c r="I480">
        <v>0</v>
      </c>
      <c r="J480">
        <v>4.36</v>
      </c>
      <c r="K480" t="s">
        <v>1698</v>
      </c>
      <c r="L480" t="s">
        <v>1705</v>
      </c>
      <c r="M480">
        <v>165</v>
      </c>
      <c r="N480">
        <v>2006</v>
      </c>
      <c r="O480">
        <v>1946</v>
      </c>
      <c r="Q480" t="s">
        <v>1772</v>
      </c>
      <c r="T480" t="s">
        <v>2097</v>
      </c>
      <c r="X480">
        <v>1</v>
      </c>
      <c r="AA480">
        <v>0</v>
      </c>
    </row>
    <row r="481" spans="1:27">
      <c r="A481" s="1">
        <v>479</v>
      </c>
      <c r="B481">
        <v>95734</v>
      </c>
      <c r="C481" t="s">
        <v>510</v>
      </c>
      <c r="D481" t="s">
        <v>692</v>
      </c>
      <c r="E481" t="s">
        <v>1068</v>
      </c>
      <c r="G481">
        <f>"1573229377"</f>
        <v>0</v>
      </c>
      <c r="H481">
        <f>"9781573229371"</f>
        <v>0</v>
      </c>
      <c r="I481">
        <v>0</v>
      </c>
      <c r="J481">
        <v>4.16</v>
      </c>
      <c r="K481" t="s">
        <v>1443</v>
      </c>
      <c r="L481" t="s">
        <v>1705</v>
      </c>
      <c r="M481">
        <v>227</v>
      </c>
      <c r="N481">
        <v>2002</v>
      </c>
      <c r="O481">
        <v>2001</v>
      </c>
      <c r="Q481" t="s">
        <v>1772</v>
      </c>
      <c r="T481" t="s">
        <v>2097</v>
      </c>
      <c r="X481">
        <v>1</v>
      </c>
      <c r="AA481">
        <v>0</v>
      </c>
    </row>
    <row r="482" spans="1:27">
      <c r="A482" s="1">
        <v>480</v>
      </c>
      <c r="B482">
        <v>3228917</v>
      </c>
      <c r="C482" t="s">
        <v>511</v>
      </c>
      <c r="D482" t="s">
        <v>822</v>
      </c>
      <c r="E482" t="s">
        <v>1198</v>
      </c>
      <c r="G482">
        <f>"0316017922"</f>
        <v>0</v>
      </c>
      <c r="H482">
        <f>"9780316017923"</f>
        <v>0</v>
      </c>
      <c r="I482">
        <v>0</v>
      </c>
      <c r="J482">
        <v>4.16</v>
      </c>
      <c r="K482" t="s">
        <v>1562</v>
      </c>
      <c r="L482" t="s">
        <v>1707</v>
      </c>
      <c r="M482">
        <v>309</v>
      </c>
      <c r="N482">
        <v>2008</v>
      </c>
      <c r="O482">
        <v>2008</v>
      </c>
      <c r="Q482" t="s">
        <v>1772</v>
      </c>
      <c r="T482" t="s">
        <v>2097</v>
      </c>
      <c r="X482">
        <v>1</v>
      </c>
      <c r="AA482">
        <v>0</v>
      </c>
    </row>
    <row r="483" spans="1:27">
      <c r="A483" s="1">
        <v>481</v>
      </c>
      <c r="B483">
        <v>2334090</v>
      </c>
      <c r="C483" t="s">
        <v>512</v>
      </c>
      <c r="D483" t="s">
        <v>890</v>
      </c>
      <c r="E483" t="s">
        <v>1266</v>
      </c>
      <c r="F483" t="s">
        <v>890</v>
      </c>
      <c r="G483">
        <f>"0498025411"</f>
        <v>0</v>
      </c>
      <c r="H483">
        <f>"9780498025419"</f>
        <v>0</v>
      </c>
      <c r="I483">
        <v>0</v>
      </c>
      <c r="J483">
        <v>4</v>
      </c>
      <c r="K483" t="s">
        <v>1536</v>
      </c>
      <c r="L483" t="s">
        <v>1707</v>
      </c>
      <c r="M483">
        <v>273</v>
      </c>
      <c r="N483">
        <v>1981</v>
      </c>
      <c r="O483">
        <v>1981</v>
      </c>
      <c r="Q483" t="s">
        <v>1772</v>
      </c>
      <c r="T483" t="s">
        <v>2097</v>
      </c>
      <c r="X483">
        <v>1</v>
      </c>
      <c r="AA483">
        <v>0</v>
      </c>
    </row>
    <row r="484" spans="1:27">
      <c r="A484" s="1">
        <v>482</v>
      </c>
      <c r="B484">
        <v>18160</v>
      </c>
      <c r="C484" t="s">
        <v>513</v>
      </c>
      <c r="D484" t="s">
        <v>891</v>
      </c>
      <c r="E484" t="s">
        <v>1267</v>
      </c>
      <c r="F484" t="s">
        <v>1420</v>
      </c>
      <c r="G484">
        <f>"076454280X"</f>
        <v>0</v>
      </c>
      <c r="H484">
        <f>"9780764542800"</f>
        <v>0</v>
      </c>
      <c r="I484">
        <v>0</v>
      </c>
      <c r="J484">
        <v>3.76</v>
      </c>
      <c r="K484" t="s">
        <v>1572</v>
      </c>
      <c r="L484" t="s">
        <v>1705</v>
      </c>
      <c r="M484">
        <v>352</v>
      </c>
      <c r="N484">
        <v>2003</v>
      </c>
      <c r="O484">
        <v>2001</v>
      </c>
      <c r="Q484" t="s">
        <v>1772</v>
      </c>
      <c r="T484" t="s">
        <v>2097</v>
      </c>
      <c r="X484">
        <v>1</v>
      </c>
      <c r="AA484">
        <v>0</v>
      </c>
    </row>
    <row r="485" spans="1:27">
      <c r="A485" s="1">
        <v>483</v>
      </c>
      <c r="B485">
        <v>628070</v>
      </c>
      <c r="C485" t="s">
        <v>514</v>
      </c>
      <c r="D485" t="s">
        <v>892</v>
      </c>
      <c r="E485" t="s">
        <v>1268</v>
      </c>
      <c r="G485">
        <f>"0785274308"</f>
        <v>0</v>
      </c>
      <c r="H485">
        <f>"9780785274308"</f>
        <v>0</v>
      </c>
      <c r="I485">
        <v>0</v>
      </c>
      <c r="J485">
        <v>4.3</v>
      </c>
      <c r="K485" t="s">
        <v>1699</v>
      </c>
      <c r="L485" t="s">
        <v>1707</v>
      </c>
      <c r="M485">
        <v>209</v>
      </c>
      <c r="N485">
        <v>2000</v>
      </c>
      <c r="O485">
        <v>2000</v>
      </c>
      <c r="Q485" t="s">
        <v>1772</v>
      </c>
      <c r="T485" t="s">
        <v>2097</v>
      </c>
      <c r="X485">
        <v>1</v>
      </c>
      <c r="AA485">
        <v>0</v>
      </c>
    </row>
    <row r="486" spans="1:27">
      <c r="A486" s="1">
        <v>484</v>
      </c>
      <c r="B486">
        <v>115587</v>
      </c>
      <c r="C486" t="s">
        <v>515</v>
      </c>
      <c r="D486" t="s">
        <v>893</v>
      </c>
      <c r="E486" t="s">
        <v>1269</v>
      </c>
      <c r="G486">
        <f>"0385339364"</f>
        <v>0</v>
      </c>
      <c r="H486">
        <f>"9780385339360"</f>
        <v>0</v>
      </c>
      <c r="I486">
        <v>0</v>
      </c>
      <c r="J486">
        <v>4.14</v>
      </c>
      <c r="K486" t="s">
        <v>1700</v>
      </c>
      <c r="L486" t="s">
        <v>1705</v>
      </c>
      <c r="M486">
        <v>324</v>
      </c>
      <c r="N486">
        <v>2005</v>
      </c>
      <c r="O486">
        <v>2002</v>
      </c>
      <c r="Q486" t="s">
        <v>1772</v>
      </c>
      <c r="T486" t="s">
        <v>2097</v>
      </c>
      <c r="X486">
        <v>1</v>
      </c>
      <c r="AA486">
        <v>0</v>
      </c>
    </row>
    <row r="487" spans="1:27">
      <c r="A487" s="1">
        <v>485</v>
      </c>
      <c r="B487">
        <v>9755391</v>
      </c>
      <c r="C487" t="s">
        <v>516</v>
      </c>
      <c r="D487" t="s">
        <v>894</v>
      </c>
      <c r="E487" t="s">
        <v>1270</v>
      </c>
      <c r="F487" t="s">
        <v>1421</v>
      </c>
      <c r="G487">
        <f>"0553807579"</f>
        <v>0</v>
      </c>
      <c r="H487">
        <f>"9780553807578"</f>
        <v>0</v>
      </c>
      <c r="I487">
        <v>0</v>
      </c>
      <c r="J487">
        <v>4.32</v>
      </c>
      <c r="K487" t="s">
        <v>1648</v>
      </c>
      <c r="L487" t="s">
        <v>1707</v>
      </c>
      <c r="M487">
        <v>280</v>
      </c>
      <c r="N487">
        <v>2011</v>
      </c>
      <c r="O487">
        <v>2011</v>
      </c>
      <c r="Q487" t="s">
        <v>1772</v>
      </c>
      <c r="T487" t="s">
        <v>2097</v>
      </c>
      <c r="X487">
        <v>1</v>
      </c>
      <c r="AA487">
        <v>0</v>
      </c>
    </row>
    <row r="488" spans="1:27">
      <c r="A488" s="1">
        <v>486</v>
      </c>
      <c r="B488">
        <v>1303</v>
      </c>
      <c r="C488" t="s">
        <v>517</v>
      </c>
      <c r="D488" t="s">
        <v>706</v>
      </c>
      <c r="E488" t="s">
        <v>1082</v>
      </c>
      <c r="F488" t="s">
        <v>1422</v>
      </c>
      <c r="G488">
        <f>"0140280197"</f>
        <v>0</v>
      </c>
      <c r="H488">
        <f>"9780140280197"</f>
        <v>0</v>
      </c>
      <c r="I488">
        <v>0</v>
      </c>
      <c r="J488">
        <v>4.18</v>
      </c>
      <c r="K488" t="s">
        <v>1701</v>
      </c>
      <c r="L488" t="s">
        <v>1705</v>
      </c>
      <c r="M488">
        <v>452</v>
      </c>
      <c r="N488">
        <v>2000</v>
      </c>
      <c r="O488">
        <v>1998</v>
      </c>
      <c r="Q488" t="s">
        <v>1772</v>
      </c>
      <c r="T488" t="s">
        <v>2097</v>
      </c>
      <c r="X488">
        <v>1</v>
      </c>
      <c r="AA488">
        <v>0</v>
      </c>
    </row>
    <row r="489" spans="1:27">
      <c r="A489" s="1">
        <v>487</v>
      </c>
      <c r="B489">
        <v>431898</v>
      </c>
      <c r="C489" t="s">
        <v>518</v>
      </c>
      <c r="D489" t="s">
        <v>895</v>
      </c>
      <c r="E489" t="s">
        <v>1271</v>
      </c>
      <c r="F489" t="s">
        <v>1423</v>
      </c>
      <c r="G489">
        <f>"1400046955"</f>
        <v>0</v>
      </c>
      <c r="H489">
        <f>"9781400046959"</f>
        <v>0</v>
      </c>
      <c r="I489">
        <v>0</v>
      </c>
      <c r="J489">
        <v>4.2</v>
      </c>
      <c r="K489" t="s">
        <v>1671</v>
      </c>
      <c r="L489" t="s">
        <v>1705</v>
      </c>
      <c r="M489">
        <v>384</v>
      </c>
      <c r="N489">
        <v>2003</v>
      </c>
      <c r="O489">
        <v>2001</v>
      </c>
      <c r="Q489" t="s">
        <v>1772</v>
      </c>
      <c r="T489" t="s">
        <v>2097</v>
      </c>
      <c r="X489">
        <v>1</v>
      </c>
      <c r="AA489">
        <v>0</v>
      </c>
    </row>
    <row r="490" spans="1:27">
      <c r="A490" s="1">
        <v>488</v>
      </c>
      <c r="B490">
        <v>6117055</v>
      </c>
      <c r="C490" t="s">
        <v>519</v>
      </c>
      <c r="D490" t="s">
        <v>896</v>
      </c>
      <c r="E490" t="s">
        <v>1272</v>
      </c>
      <c r="G490">
        <f>"059306173X"</f>
        <v>0</v>
      </c>
      <c r="H490">
        <f>"9780593061732"</f>
        <v>0</v>
      </c>
      <c r="I490">
        <v>0</v>
      </c>
      <c r="J490">
        <v>4.16</v>
      </c>
      <c r="K490" t="s">
        <v>1498</v>
      </c>
      <c r="L490" t="s">
        <v>1707</v>
      </c>
      <c r="M490">
        <v>470</v>
      </c>
      <c r="N490">
        <v>2009</v>
      </c>
      <c r="O490">
        <v>2009</v>
      </c>
      <c r="Q490" t="s">
        <v>1772</v>
      </c>
      <c r="T490" t="s">
        <v>2097</v>
      </c>
      <c r="X490">
        <v>1</v>
      </c>
      <c r="AA490">
        <v>0</v>
      </c>
    </row>
    <row r="491" spans="1:27">
      <c r="A491" s="1">
        <v>489</v>
      </c>
      <c r="B491">
        <v>363486</v>
      </c>
      <c r="C491" t="s">
        <v>520</v>
      </c>
      <c r="D491" t="s">
        <v>897</v>
      </c>
      <c r="E491" t="s">
        <v>1273</v>
      </c>
      <c r="G491">
        <f>"0700610294"</f>
        <v>0</v>
      </c>
      <c r="H491">
        <f>"9780700610297"</f>
        <v>0</v>
      </c>
      <c r="I491">
        <v>0</v>
      </c>
      <c r="J491">
        <v>3.95</v>
      </c>
      <c r="K491" t="s">
        <v>1631</v>
      </c>
      <c r="L491" t="s">
        <v>1705</v>
      </c>
      <c r="M491">
        <v>422</v>
      </c>
      <c r="N491">
        <v>1998</v>
      </c>
      <c r="O491">
        <v>1998</v>
      </c>
      <c r="Q491" t="s">
        <v>1772</v>
      </c>
      <c r="T491" t="s">
        <v>2097</v>
      </c>
      <c r="X491">
        <v>1</v>
      </c>
      <c r="AA491">
        <v>0</v>
      </c>
    </row>
    <row r="492" spans="1:27">
      <c r="A492" s="1">
        <v>490</v>
      </c>
      <c r="B492">
        <v>21</v>
      </c>
      <c r="C492" t="s">
        <v>521</v>
      </c>
      <c r="D492" t="s">
        <v>898</v>
      </c>
      <c r="E492" t="s">
        <v>1274</v>
      </c>
      <c r="G492">
        <f>"076790818X"</f>
        <v>0</v>
      </c>
      <c r="H492">
        <f>"9780767908184"</f>
        <v>0</v>
      </c>
      <c r="I492">
        <v>0</v>
      </c>
      <c r="J492">
        <v>4.21</v>
      </c>
      <c r="K492" t="s">
        <v>1506</v>
      </c>
      <c r="L492" t="s">
        <v>1705</v>
      </c>
      <c r="M492">
        <v>544</v>
      </c>
      <c r="N492">
        <v>2004</v>
      </c>
      <c r="O492">
        <v>2003</v>
      </c>
      <c r="Q492" t="s">
        <v>1772</v>
      </c>
      <c r="T492" t="s">
        <v>2097</v>
      </c>
      <c r="X492">
        <v>1</v>
      </c>
      <c r="AA492">
        <v>0</v>
      </c>
    </row>
    <row r="493" spans="1:27">
      <c r="A493" s="1">
        <v>491</v>
      </c>
      <c r="B493">
        <v>3869</v>
      </c>
      <c r="C493" t="s">
        <v>522</v>
      </c>
      <c r="D493" t="s">
        <v>899</v>
      </c>
      <c r="E493" t="s">
        <v>1275</v>
      </c>
      <c r="G493">
        <f>"0553380168"</f>
        <v>0</v>
      </c>
      <c r="H493">
        <f>"9780553380163"</f>
        <v>0</v>
      </c>
      <c r="I493">
        <v>0</v>
      </c>
      <c r="J493">
        <v>4.18</v>
      </c>
      <c r="K493" t="s">
        <v>1702</v>
      </c>
      <c r="L493" t="s">
        <v>1705</v>
      </c>
      <c r="M493">
        <v>212</v>
      </c>
      <c r="N493">
        <v>1998</v>
      </c>
      <c r="O493">
        <v>1988</v>
      </c>
      <c r="Q493" t="s">
        <v>1772</v>
      </c>
      <c r="T493" t="s">
        <v>2097</v>
      </c>
      <c r="X493">
        <v>1</v>
      </c>
      <c r="AA493">
        <v>0</v>
      </c>
    </row>
    <row r="494" spans="1:27">
      <c r="A494" s="1">
        <v>492</v>
      </c>
      <c r="B494">
        <v>6346975</v>
      </c>
      <c r="C494" t="s">
        <v>523</v>
      </c>
      <c r="D494" t="s">
        <v>818</v>
      </c>
      <c r="E494" t="s">
        <v>1194</v>
      </c>
      <c r="G494">
        <f>"159420229X"</f>
        <v>0</v>
      </c>
      <c r="H494">
        <f>"9781594202292"</f>
        <v>0</v>
      </c>
      <c r="I494">
        <v>0</v>
      </c>
      <c r="J494">
        <v>3.87</v>
      </c>
      <c r="K494" t="s">
        <v>1703</v>
      </c>
      <c r="L494" t="s">
        <v>1707</v>
      </c>
      <c r="M494">
        <v>307</v>
      </c>
      <c r="N494">
        <v>2011</v>
      </c>
      <c r="O494">
        <v>2011</v>
      </c>
      <c r="Q494" t="s">
        <v>1772</v>
      </c>
      <c r="T494" t="s">
        <v>2097</v>
      </c>
      <c r="X494">
        <v>1</v>
      </c>
      <c r="AA494">
        <v>0</v>
      </c>
    </row>
    <row r="495" spans="1:27">
      <c r="A495" s="1">
        <v>493</v>
      </c>
      <c r="B495">
        <v>9739365</v>
      </c>
      <c r="C495" t="s">
        <v>524</v>
      </c>
      <c r="D495" t="s">
        <v>900</v>
      </c>
      <c r="E495" t="s">
        <v>1276</v>
      </c>
      <c r="F495" t="s">
        <v>1424</v>
      </c>
      <c r="G495">
        <f>"031269945X"</f>
        <v>0</v>
      </c>
      <c r="H495">
        <f>"9780312699451"</f>
        <v>0</v>
      </c>
      <c r="I495">
        <v>0</v>
      </c>
      <c r="J495">
        <v>4.04</v>
      </c>
      <c r="K495" t="s">
        <v>1638</v>
      </c>
      <c r="L495" t="s">
        <v>1707</v>
      </c>
      <c r="M495">
        <v>331</v>
      </c>
      <c r="N495">
        <v>2011</v>
      </c>
      <c r="O495">
        <v>2011</v>
      </c>
      <c r="Q495" t="s">
        <v>1772</v>
      </c>
      <c r="T495" t="s">
        <v>2097</v>
      </c>
      <c r="X495">
        <v>1</v>
      </c>
      <c r="AA495">
        <v>0</v>
      </c>
    </row>
    <row r="496" spans="1:27">
      <c r="A496" s="1">
        <v>494</v>
      </c>
      <c r="B496">
        <v>3392039</v>
      </c>
      <c r="C496" t="s">
        <v>525</v>
      </c>
      <c r="D496" t="s">
        <v>901</v>
      </c>
      <c r="E496" t="s">
        <v>1277</v>
      </c>
      <c r="F496" t="s">
        <v>1425</v>
      </c>
      <c r="G496">
        <f>"1596915323"</f>
        <v>0</v>
      </c>
      <c r="H496">
        <f>"9781596915329"</f>
        <v>0</v>
      </c>
      <c r="I496">
        <v>0</v>
      </c>
      <c r="J496">
        <v>3.59</v>
      </c>
      <c r="K496" t="s">
        <v>1704</v>
      </c>
      <c r="L496" t="s">
        <v>1707</v>
      </c>
      <c r="M496">
        <v>545</v>
      </c>
      <c r="N496">
        <v>2008</v>
      </c>
      <c r="O496">
        <v>2009</v>
      </c>
      <c r="Q496" t="s">
        <v>1772</v>
      </c>
      <c r="T496" t="s">
        <v>2097</v>
      </c>
      <c r="X496">
        <v>1</v>
      </c>
      <c r="AA496">
        <v>0</v>
      </c>
    </row>
    <row r="497" spans="1:27">
      <c r="A497" s="1">
        <v>495</v>
      </c>
      <c r="B497">
        <v>55030</v>
      </c>
      <c r="C497" t="s">
        <v>526</v>
      </c>
      <c r="D497" t="s">
        <v>575</v>
      </c>
      <c r="E497" t="s">
        <v>950</v>
      </c>
      <c r="G497">
        <f>"0375508325"</f>
        <v>0</v>
      </c>
      <c r="H497">
        <f>"9780375508325"</f>
        <v>0</v>
      </c>
      <c r="I497">
        <v>0</v>
      </c>
      <c r="J497">
        <v>4.37</v>
      </c>
      <c r="K497" t="s">
        <v>1476</v>
      </c>
      <c r="L497" t="s">
        <v>1706</v>
      </c>
      <c r="M497">
        <v>384</v>
      </c>
      <c r="N497">
        <v>2002</v>
      </c>
      <c r="O497">
        <v>1980</v>
      </c>
      <c r="Q497" t="s">
        <v>1772</v>
      </c>
      <c r="T497" t="s">
        <v>2097</v>
      </c>
      <c r="X497">
        <v>1</v>
      </c>
      <c r="AA49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2020-05-21T13:44:11Z</dcterms:created>
  <dcterms:modified xsi:type="dcterms:W3CDTF">2020-05-21T13:44:11Z</dcterms:modified>
</cp:coreProperties>
</file>