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thanMorse/Documents/personal/ethanmorse.github.io/knowledge/books/book_reviews/"/>
    </mc:Choice>
  </mc:AlternateContent>
  <xr:revisionPtr revIDLastSave="0" documentId="8_{11C5A96E-BF70-AA4A-87C3-8C7AD0D0E1E5}" xr6:coauthVersionLast="45" xr6:coauthVersionMax="45" xr10:uidLastSave="{00000000-0000-0000-0000-000000000000}"/>
  <bookViews>
    <workbookView xWindow="80" yWindow="460" windowWidth="25440" windowHeight="14600"/>
  </bookViews>
  <sheets>
    <sheet name="goodreads_library_export"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 i="1" l="1"/>
  <c r="G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F441" i="1"/>
  <c r="G441" i="1"/>
  <c r="F442" i="1"/>
  <c r="G442" i="1"/>
  <c r="F443" i="1"/>
  <c r="G443" i="1"/>
  <c r="F444" i="1"/>
  <c r="G444" i="1"/>
  <c r="F445" i="1"/>
  <c r="G445" i="1"/>
</calcChain>
</file>

<file path=xl/sharedStrings.xml><?xml version="1.0" encoding="utf-8"?>
<sst xmlns="http://schemas.openxmlformats.org/spreadsheetml/2006/main" count="3324" uniqueCount="1832">
  <si>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</si>
  <si>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</si>
  <si>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</si>
  <si>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</si>
  <si>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</si>
  <si>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</si>
  <si>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</si>
  <si>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</si>
  <si>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</si>
  <si>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</si>
  <si>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</si>
  <si>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</si>
  <si>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</si>
  <si>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</si>
  <si>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</si>
  <si>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</si>
  <si>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</si>
  <si>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</si>
  <si>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</si>
  <si>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</si>
  <si>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</si>
  <si>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</si>
  <si>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</si>
  <si>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</si>
  <si>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</si>
  <si>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</si>
  <si>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</si>
  <si>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</si>
  <si>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</si>
  <si>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</si>
  <si>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</si>
  <si>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The Bell Curve: Intelligence and Class Structure in American Life</t>
  </si>
  <si>
    <t>Richard J. Herrnstein</t>
  </si>
  <si>
    <t>Herrnstein, Richard J.</t>
  </si>
  <si>
    <t>Charles Murray</t>
  </si>
  <si>
    <t>Free Press</t>
  </si>
  <si>
    <t>Paperback</t>
  </si>
  <si>
    <t>to-read</t>
  </si>
  <si>
    <t>to-read (#232)</t>
  </si>
  <si>
    <t>The Ph.D. Grind: A Ph.D. Student Memoir</t>
  </si>
  <si>
    <t>Philip J. Guo</t>
  </si>
  <si>
    <t>Guo, Philip J.</t>
  </si>
  <si>
    <t>ebook</t>
  </si>
  <si>
    <t>to-read (#231)</t>
  </si>
  <si>
    <t>The Prospect of Immortality</t>
  </si>
  <si>
    <t>Robert C.W. Ettinger</t>
  </si>
  <si>
    <t>Ettinger, Robert C.W.</t>
  </si>
  <si>
    <t>Charles Tandy, R. Michael Perry</t>
  </si>
  <si>
    <t>Ria University Press</t>
  </si>
  <si>
    <t>Hardcover</t>
  </si>
  <si>
    <t>to-read (#230)</t>
  </si>
  <si>
    <t>The Information: A History, a Theory, a Flood</t>
  </si>
  <si>
    <t>James Gleick</t>
  </si>
  <si>
    <t>Gleick, James</t>
  </si>
  <si>
    <t>Knopf Doubleday Publishing Group</t>
  </si>
  <si>
    <t>favorites</t>
  </si>
  <si>
    <t>favorites (#3)</t>
  </si>
  <si>
    <t>read</t>
  </si>
  <si>
    <t>Lost Horizon</t>
  </si>
  <si>
    <t>James Hilton</t>
  </si>
  <si>
    <t>Hilton, James</t>
  </si>
  <si>
    <t>Open Road Media</t>
  </si>
  <si>
    <t>Kindle Edition</t>
  </si>
  <si>
    <t>favorites (#2)</t>
  </si>
  <si>
    <t>The Tartar Steppe</t>
  </si>
  <si>
    <t>Dino Buzzati</t>
  </si>
  <si>
    <t>Buzzati, Dino</t>
  </si>
  <si>
    <t>Stuart Hood, H√ºlya Tufan</t>
  </si>
  <si>
    <t>Verba Mundi</t>
  </si>
  <si>
    <t>favorites (#1)</t>
  </si>
  <si>
    <t>The Square and the Tower: Networks and Power, from the Freemasons to Facebook</t>
  </si>
  <si>
    <t>Niall Ferguson</t>
  </si>
  <si>
    <t>Ferguson, Niall</t>
  </si>
  <si>
    <t>Penguin Press</t>
  </si>
  <si>
    <t>currently-reading</t>
  </si>
  <si>
    <t>currently-reading (#3)</t>
  </si>
  <si>
    <t>The Snakehead: An Epic Tale of the Chinatown Underworld and the American Dream</t>
  </si>
  <si>
    <t>Patrick Radden Keefe</t>
  </si>
  <si>
    <t>Keefe, Patrick Radden</t>
  </si>
  <si>
    <t>Doubleday</t>
  </si>
  <si>
    <t>The term snakehead refers to a Chinese person who facilitates the smuggling of fellow Chinese into other countries, namely Western nations. The use of the verb "smuggling" should be noted here, as smuggling and trafficking are not synonymous. Smuggling is the illegal transportation of a cooperative person from location A to location B. Trafficking is the illegal transportation of an uncooperative person from location A to location B and generally involves sex and/or slavery, among other things. All of the people in this book were smuggled into the U.S. willingly and without coercion.&lt;br/&gt;&lt;br/&gt;The book revolves around two things: The most famous of snakeheads, &lt;a href="https://en.wikipedia.org/wiki/Sister_Ping"&gt;Cheng Chui Ping&lt;/a&gt; (image &lt;a href="https://media.newyorker.com/photos/590951662179605b11ad2fe2/1:1/w_290,h_290,c_limit/sister-ping.jpg"&gt;here&lt;/a&gt;, more commonly known by her moniker Sister Ping and the incident of the &lt;a href="https://en.wikipedia.org/wiki/Golden_Venture"&gt;&lt;i&gt;Golden Venture&lt;/i&gt;&lt;/a&gt;.&lt;br/&gt;&lt;br/&gt;Born in Fujian, China (where a majority of snakeheads are from), Sister Ping immigrated to &lt;a href="https://en.wikipedia.org/wiki/Chinatown,_Manhattan"&gt;New York City's Chinatown&lt;/a&gt; to run a shop, while also smuggling as her side hustle with her husband. She charged over $30,000 USD for a single person to be smuggled. Being from Fujian in that time generally meant that you were poor, an agreement was made: pay a small down payment, then pay the remaining balance after you got into the U.S. The remaining balance was paid through underground labor, e.g. dishwashing. Sister Ping's reputation was impeccable. She got people in safely and with money-back guarantee. As time progressed, other snakeheads got into the game, hopeful of the riches that came with the business. Snakeheads worked together to board people onto a common ship, making a single run cheaper than it would have been individually. Some even feigned association with Sister Ping to make their business seem more credible to prospective customers.&lt;br/&gt;&lt;br/&gt;The Golden Venture was a cargo ship that intentionally ran aground outside of New York City. Almost 300 illegal aliens were on board and jumped ship in their attempt to make it to the promised land that was the U.S. Those that did not drown (10) or were not caught (not sure the number here) were taken to various prisons throughout the U.S. to await sentencing. It was here that they applied for asylum. Here is where it gets tricky. Snakeheads had taught their customers how to essentially guarantee their asylum request was granted. Just say you were persecuted in China and/or that you feared for your life, and bam! you can stay. This is problematic for obvious reasons. How are these claims meant to be verified? Lawyers and law enforcement have a few methods to check the aliens' veracity: Repeat what they said back to them, but change a small detail (if they confirm your sentence, then it contradicts what they just said). Ask them about something they said a few days ago and see if the story changes. Cross-examine other witnesses or official accounts. Even then, the possibility remains that some are just excellent liars or just really stuck to their script (after all, they had many months to get their stories straight). This delegitimizes other immigrants' asylum requests. You're from North Korea? Let us vet you first, and if you're clean, welcome to America. You're from Saddam's Iraq and opposed the Ba'ath Party? Prove it and we'll welcome you to America.&lt;br/&gt;&lt;br/&gt;As you can see, immigration is a significant topic in this book and thankfully presents both sides of the still-ongoing, probably never-ending issue that was reignited during Trump's presidential campaign and administration. There are two landmarks in New York that are directly related to immigration:&lt;a href="https://en.wikipedia.org/wiki/Ellis_Island"&gt;Ellis Island&lt;/a&gt;, an island in New York Harbor that served as the first stop of new immigrants coming to America, and the &lt;a href="https://en.wikipedia.org/wiki/Statue_of_Liberty"&gt;Statue of Liberty&lt;/a&gt;. The Statue of Liberty is a beacon of hope for all, immigrants and citizens alike. It principally represents freedom‚Äîfreedom of speech, freedom of religion, and freedom to do what you like within reason‚Äîand is one of the main reasons the &lt;a href="https://www.usnews.com/news/best-countries/slideshows/10-countries-that-take-the-most-immigrants"&gt;U.S. is the country that accepts the most immigrants year after year&lt;/a&gt;. The poem &lt;a href="https://en.wikipedia.org/wiki/The_New_Colossus"&gt;&lt;i&gt;The New Colossus&lt;/i&gt;&lt;/a&gt; is posted inside the Statue, and includes the lines "Give me your tired, your poor, Your huddled masses yearning to breathe free." While this poem is not the law, it describes the attitude of the U.S. in the early 1900s. Many Americans are of the mind that &lt;a href="https://www.bushcenter.org/publications/resources-reports/reports/immigration.html"&gt;immigrants made this country what it is today&lt;/a&gt;. So, should we adhere to our ancestor's mindsets? Or has the world changed enough that it should remain a part of history? Being the most prosperous nation in the world (see Credit Suisse's 2019 global wealth report &lt;a href="https://www.credit-suisse.com/media/assets/corporate/docs/about-us/research/publications/global-wealth-report-2019-en.pdf"&gt;here&lt;/a&gt; (note: it will attempt to download a PDF) , do we have an obligation to accept immigrants of other countries that are plagued by conflict, adverse living conditions, and persecution? Should we offer reprieve to those who knowingly break their country's laws, even if the &lt;a href="https://en.wikipedia.org/wiki/One-child_policy"&gt;law&lt;/a&gt; is unjust (in our opinion)?This day and review are neither the time nor place for this topic, but the book begs these questions.&lt;br/&gt;&lt;br/&gt;The snakeheads' importation methods were diverse at the end, but the journey up to then was template-like. First, get the customers out of China. This was not too difficult (the place of leaving was generally Hong Kong or a corrupt SE Asian country, like Thailand), but the consequence of being caught by authorities was severe. After leaving China, the customers generally followed a path that looks like something out of Verne's &lt;a href="https://en.wikivoyage.org/wiki/Around_the_World_in_Eighty_Days"&gt;&lt;i&gt;Around the World in 80 Days&lt;/i&gt;&lt;/a&gt; (but including South America). For example, a one path was "Fuzhou‚ÄîHong Kong‚ÄîBangkok‚ÄîMoscow‚ÄîHavana‚ÄîManagua‚ÄîTucson". Entry in to the U.S. was done by boat, car (Sister Ping once used a false bottom in a vehicle to transport customers over the U.S.-Mexican border undetected), &lt;a href="https://en.wikipedia.org/wiki/Coyote_(person)"&gt;coyotes&lt;/a&gt;, or even plane. How did they get onto the plane, you ask? Fake identification. While on the plane, these were promptly destroyed and followed by‚Äîyou guessed it‚Äîan asylum request. Once in the U.S., it was a free-for-all. They diffused throughout the U.S. (with most going to NYC's Chinatown) and became a part of the underground economy, getting paid under the table by their employers. Official (the person, not the adjective) corruption was paramount to snakeheads, hence the inclusion of the South American countries (is a source really needed for this?), specifically Guatemala, in their path to freedom. &lt;br/&gt;&lt;br/&gt;The legal perspective of snakeheads is examined in-depth: investigations into gangs and their relationship with snakeheads (gangs often acted as enforcers for the snakeheads, but eventually  began having some form of control over the snakeheads), the trial of Sister Ping, and so on. &lt;br/&gt;&lt;br/&gt;Other topics discussed: Fujian culture, Chinese gangs and their terrorization of Chinatown (through acts like &lt;a href="https://en.wiktionary.org/wiki/protection_money"&gt;protection money&lt;/a&gt;), how the state of China at the time promoted the emigration of their own citizens.&lt;br/&gt;&lt;br/&gt;Keefe did an excellent job with this book. The sources are well-documented, he is impartial (asking tough questions of one side of the aisle does not mean you lean to the other side!), and a holistic view of the issue is presented.&lt;br/&gt;&lt;br/&gt;See also:&lt;br/&gt;	- &lt;a href="https://www.goodreads.com/book/show/40163119-say-nothing"&gt;&lt;i&gt;Say Nothing&lt;/i&gt;&lt;/a&gt; by Patrick Radden Keefe. His newest book (published 2019 vs. this one being 2009) that discusses &lt;a href="https://en.wikipedia.org/wiki/The_Troubles"&gt;The Troubles&lt;/a&gt;. It is formatted very similarly: focus is put on one event (the murder of Jean McConville) and multiple individuals involved with the conflict.&lt;br/&gt;	- &lt;a href="https://en.wikipedia.org/wiki/Immigration_policy_of_Donald_Trump"&gt;Immigration policy of Donald Trump&lt;/a&gt;. A rather controversial (putting it lightly) summary of Trump's policies. He campaigned on a strong legal immigration platform, vowing to keep criminals out of the U.S. and reserve certain jobs for Americans.&lt;br/&gt;&lt;a href="https://www.youtube.com/channel/UCLNoXf8gq6vhwsrYp-l0J-Q"&gt;Xiaomanyc&lt;/a&gt;. The YouTube channel of self-taught American Chinese speaker. He often goes around NYC Chinatown and surprises Chinese workers with his fluent, native-like Chinese. Fun reactions.</t>
  </si>
  <si>
    <t>The Demon-Haunted World: Science as a Candle in the Dark</t>
  </si>
  <si>
    <t>Carl Sagan</t>
  </si>
  <si>
    <t>Sagan, Carl</t>
  </si>
  <si>
    <t>Ann Druyan</t>
  </si>
  <si>
    <t>Ballantine Books</t>
  </si>
  <si>
    <t>to-read (#229)</t>
  </si>
  <si>
    <t>The Elephant in the Brain: Hidden Motives in Everyday Life</t>
  </si>
  <si>
    <t>Kevin Simler</t>
  </si>
  <si>
    <t>Simler, Kevin</t>
  </si>
  <si>
    <t>Robin Hanson</t>
  </si>
  <si>
    <t>Oxford University Press</t>
  </si>
  <si>
    <t>to-read (#228)</t>
  </si>
  <si>
    <t>House of Leaves</t>
  </si>
  <si>
    <t>Mark Z. Danielewski</t>
  </si>
  <si>
    <t>Danielewski, Mark Z.</t>
  </si>
  <si>
    <t>Random House</t>
  </si>
  <si>
    <t>to-read (#227)</t>
  </si>
  <si>
    <t>Manual Of Freediving: Underwater On A Single Breath</t>
  </si>
  <si>
    <t>Umberto Pelizzari</t>
  </si>
  <si>
    <t>Pelizzari, Umberto</t>
  </si>
  <si>
    <t>Stefano Tovaglieri</t>
  </si>
  <si>
    <t>Idelson Gnocchi Pub</t>
  </si>
  <si>
    <t>to-read (#226)</t>
  </si>
  <si>
    <t>Carnage and Culture: Landmark Battles in the Rise of Western Power</t>
  </si>
  <si>
    <t>Victor Davis Hanson</t>
  </si>
  <si>
    <t>Hanson, Victor Davis</t>
  </si>
  <si>
    <t>Anchor</t>
  </si>
  <si>
    <t>to-read (#225)</t>
  </si>
  <si>
    <t>Tribe: On Homecoming and Belonging</t>
  </si>
  <si>
    <t>Sebastian Junger</t>
  </si>
  <si>
    <t>Junger, Sebastian</t>
  </si>
  <si>
    <t>Twelve</t>
  </si>
  <si>
    <t>Junger's thesis is simple: Society is better when humans work and live peacefully together. He cited countless examples of how people's lives have markedly improved during or after a traumatic event or major conflict, e.g. &lt;a href="https://en.wikipedia.org/wiki/The_Blitz"&gt;The Blitz&lt;/a&gt; or the &lt;a href="https://en.wikipedia.org/wiki/September_11_attacks"&gt;September 11 attacks&lt;/a&gt;.&lt;br/&gt;&lt;br/&gt;While applicable to a lot of veterans, it is not exclusively for them. Everyone can learn something from this book, whether it be to promote inclusiveness in your community, not treat veterans as victims, or just to be kind to one another.&lt;br/&gt;&lt;br/&gt;The book itself is quite short. An average reader can probably finish it within 2 hours.&lt;br/&gt;&lt;br/&gt;See also:&lt;br/&gt;	- &lt;a href="https://www.goodreads.com/book/show/78127.On_Killing"&gt;On Killing: The Psychological Cost of Learning to Kill in War and Society&lt;/a&gt; by Lt. Col. Dave Grossman. An excellent, in-depth book about the effects of killing on the human psyche.&lt;br/&gt;	- &lt;a href="https://www.goodreads.com/book/show/4069.Man_s_Search_for_Meaning?ac=1&amp;from_search=true&amp;qid=U4XgSXPfF9&amp;rank=1"&gt;Man's Search for Meaning&lt;/a&gt;. A Holocaust survivor's account of his finding meaning in a concentration camp and what followed after.&lt;br/&gt;        - &lt;a href="https://www.youtube.com/channel/UCzQUP1qoWDoEbmsQxvdjxgQ"&gt;Joe Rogan Experience (podcast)&lt;/a&gt;. I first heard about this book on &lt;a href="https://www.youtube.com/watch?v=bz1Masw5QDs"&gt;podcast #1247 with Andy Stumpf&lt;/a&gt;, who also runs another podcast, &lt;a href="https://www.youtube.com/channel/UC10QThQSVbvlL-qFgDJiT8A"&gt;Cleared Hot&lt;/a&gt;.</t>
  </si>
  <si>
    <t>Requiem for a Dream</t>
  </si>
  <si>
    <t>Hubert Selby Jr.</t>
  </si>
  <si>
    <t>Jr., Hubert Selby</t>
  </si>
  <si>
    <t>Darren Aronofsky, Richard Price</t>
  </si>
  <si>
    <t>Da Capo Press</t>
  </si>
  <si>
    <t>Trade Paperback</t>
  </si>
  <si>
    <t>Full disclosure: I have never been addicted to anything. Drugs, alcohol, coffee, pornography, nothing. I haven't had the gross misfortune of being prescribed and becoming reliant on pain medication, only to have the rug pulled out from under my feeble feet, forcing me to search for alternative opiate sources, like heroin or oxycodone. I have never had to plan my day around an addiction, wondering how I'll last until lunch or closing unless I get my fix. I've never had to steal from friends or family in an effort to scrounge up enough for a 15 minutes of pleasure and reprieve from withdrawals. I do not claim to know what addiction is like, but reading from other sources (mainly the internet and friends), I have a minute fraction of an idea of how it develops and transforms a person.&lt;br/&gt;&lt;br/&gt;&lt;i&gt;Requiem for a Dream&lt;/i&gt; is a book about addiction and what it does to people's lives. Four individuals are followed over the course of an indeterminate time period: Harry, a drug-dealing heroin addict; Tyrone, Harry's partner and fellow addict; Marion, Harry's girlfriend and fellow addict; and Sara, Harry's mother and television and diet pill addict.&lt;br/&gt;&lt;br/&gt;Their lives start out addiction-free. Harry and Tyrone are semi-regular heroin users. Harry occasionally pawns  his mother's television to get enough money to score, and they both work odd jobs when needed. Marion doesn't do much work-wise. Sara eats quite a bit (bagels with cream cheese and danishes are her favorite) while watching television all day.&lt;br/&gt;&lt;br/&gt;Harry and Tyrone eventually come up with the bright idea of selling heroin, referred to as "dope" in the novel. (FYI: &lt;a href="https://www.urbandictionary.com/define.php?term=Dope"&gt;dope = heroin&lt;/a&gt; in the drug world. Dope =/= marijuana, cocaine, or anything else.) Their plan was simple: sell enough (but don't get high!!) to get rich enough to do whatever they wanted. Business starts booming for them, and Harry is able to afford a new TV for his mother and new clothes for himself and everything is going accordingly to plan and Marion and Harry have these amazing plans to build an open-air coffee house where artists can drink coffee from a hundred different countries while mingling and connecting with other artists. (That's a snippet of how the book is written. Many run-on sentences, some spanning over one page.) But this honeymoon phase only lasts so long. Harry and Marion start to up their dope usage. A hit here and there, but not much more than their normal amount.  The coffee house plans sit untouched while they continue to plan their lives together: what kind of family they'll have, the car and house they'll own, how they'll live. But they can easily stop anytime they want - this stuff doesn't have that much of a grip on them.&lt;br/&gt;&lt;br/&gt;Then the great shortage happens. There's no dope to be found in the city. Whispers on the street hint of a new supply coming tomorrow, the next day, next week, but the number of times those rumors are actually realized is small. This is the first time the reader realizes that Harry and Marion are addicted to dope. Selby's ability to transition the couple from average users to their current state is subtle and masterful. They start to realize their uncomfortableness when they won't or don't have a hit for the morning. Irritability and anxiety and dread soon follow. Now, I know what you're thinking, they're addicted. Well, that's where you're wrong. They can still stop anytime, but times are hard and this takes the edge off, so why stop now? (You can see the pattern of rationalizing that has been taking place.)&lt;br/&gt;&lt;br/&gt;Eventually, a reputable source is able to get heroin into the city. Every junkie from miles around converges on a single part of the city, Harry and Tyrone among them. They cop (buy), book it back to their place, get off, then cut and bag the rest (short, of course) for selling. Marion questions his supply: Do you really have to sell that much?  What if there is no more? What about us? How will we get our fix?&lt;br/&gt;&lt;br/&gt;Marion turns to selling herself to a heroin supplier. She does what she needs to with him without hesitation to score a few bags (without Harry knowing that she is hiding two of them), eventually getting with other women at the supplier's request to get her oh-so-precious fix. It was gross, but easy enough when considering what was on the line. Did she really want to be dopesick for hours on end, or just be uncomfortable for a half-hour?&lt;br/&gt;&lt;br/&gt;While all of this is going on, Sara is busy getting addicted to diet pills, prescribed to her by her doctor. These are amphetamines. For those that have ever taken Adderall, Vyvanse, methanphetamine, etc. you realize you don't think about eating nor get hungry. She really, really wants to fit into her beautiful red dress for when she eventually makes it onto television (she's going on, there's no way she isn't, they called her and everything and they still have her card and she's just waiting for the call to tell her what show she'll be on and she'll be ready, more ready than any of the other contestants, because she's been watching every single quiz show on the tube and practicing her walk-up and smile and wave and it's perfect, but she just needs the call!!!!!!!!). The pills do their job‚Äîshe's lost over 25 pounds‚Äîbut at a cost. She hasn't had a proper meal in months, and they are no longer having the same effect. She goes back to the doctor's office and gets prescribed &lt;a href="https://en.wikipedia.org/wiki/Diazepam"&gt;Valium&lt;/a&gt; to calm her down. This mix of uppers and downers is potent, sending her to hospital where she is deemed schizophrenic and is treated with &lt;a href="https://en.wikipedia.org/wiki/Electroconvulsive_therapy"&gt;electroconvulsive therapy&lt;/a&gt; at the recommendation of an impulsive doctor. She tries protesting, telling them she can't breath or eat and it hurts, but to no avail. She lives out the rest of her days in the mental hospital with no television to watch or cheese danishes to eat.&lt;br/&gt;&lt;br/&gt;The book ends with Harry and Tyrone driving straight to the source in Miami. Harry's arm becomes infected while in the &lt;a href="https://en.wikipedia.org/wiki/Deep_South"&gt;Deep South&lt;/a&gt;  and they both get arrested for being New York dopers in their town. Harry gets his arm amputated and Tyrone is sentenced to a few months on a work crew, where he is repeatedly harassed for being black.&lt;br/&gt;&lt;br/&gt;As I said, I've never been addicted to anything, nor do I plan on it (does anyone ever?). But I can say that addiction is hell for everyone. Short periods of temporary relief followed by longer periods of looking forward to the next fix leave the user in a perpetual hell, being cooled off every so often by ice water, yet still surrounded by scorching-hot flames. The pleasure of some of these drugs is a million times better than the best orgasm you've ever had, and you know how great that feels. Your brain chemistry will physically change and your body and mind and life will become dependent on the drug, subsequently changing your personality and behaviors and thoughts and the entire person you once were. You become a shell of your former self and lose family and friends to the only two-faced friend left in your life: the drug. Everything that used to give you pleasure‚Äîvideo games, food, theme parks‚Äîpales in comparison to this drug. Nothing will ever compare to this, and anything you do thereafter will never give you the same level of satisfaction as before.&lt;br/&gt;&lt;br/&gt;If you want to hear from (presumably) real opiate users on their experiences, I encourage you to browse the &lt;a href="https://www.reddit.com/r/opiates/"&gt;r/opiates subreddit&lt;/a&gt;. Users (no pun intended) discuss their use and addiction, as applicable. You can see how addiction develops, try to understand what withdrawal symptoms feel like and why they will do almost anything to avoid them, and get a general sense of what usage is like. Another glimpse into how quickly it gets real is &lt;a href="https://www.reddit.com/r/MuseumOfReddit/comments/68srty/spontaneoush_uses_heroin_gets_addicted_dies_gets/"&gt;u/SpontaneousH's experience with heroin&lt;/a&gt;. He spontaneously (hence the username) tried heroin and promptly got addicted, as seen in his post history &lt;a href="https://www.reddit.com/user/SpontaneousH/posts/"&gt;here&lt;/a&gt;. His original r/IAmA has telltale signs of what ends up happening. Thankfully, his last update told us he is 6 years clean.&lt;br/&gt;&lt;br/&gt;See also:&lt;br/&gt;	- &lt;a href="https://www.youtube.com/watch?v=ru-LgSvOCrE"&gt;Otherside by Macklemore and Ryan Lewis&lt;/a&gt;. A chilling song about Macklemore's personal experiences with drug addiction and what it does to people.&lt;br/&gt;	- &lt;a href="https://www.youtube.com/watch?v=B_pSXV8S-Gw&amp;feature=youtu.be"&gt;Stan Marsh on marijuana&lt;/a&gt;. Drug-related, but not necessarily directly addiction-related (because hey, it's impossible for marijuana to be addictive /s).&lt;br/&gt;</t>
  </si>
  <si>
    <t>The Wealth of Nations, Books 1-3</t>
  </si>
  <si>
    <t>Adam Smith</t>
  </si>
  <si>
    <t>Smith, Adam</t>
  </si>
  <si>
    <t>Andrew S. Skinner</t>
  </si>
  <si>
    <t>Penguin Classics</t>
  </si>
  <si>
    <t>to-read (#224)</t>
  </si>
  <si>
    <t>The General Theory of Employment, Interest, and Money</t>
  </si>
  <si>
    <t>John Maynard Keynes</t>
  </si>
  <si>
    <t>Keynes, John Maynard</t>
  </si>
  <si>
    <t>Prometheus Books</t>
  </si>
  <si>
    <t>to-read (#223)</t>
  </si>
  <si>
    <t>The Arab of the Future: A Childhood in the Middle East, 1978-1984: A Graphic Memoir</t>
  </si>
  <si>
    <t>Riad Sattouf</t>
  </si>
  <si>
    <t>Sattouf, Riad</t>
  </si>
  <si>
    <t>Metropolitan Books</t>
  </si>
  <si>
    <t>to-read (#222)</t>
  </si>
  <si>
    <t>Edward Hopper</t>
  </si>
  <si>
    <t>Lloyd Goodrich</t>
  </si>
  <si>
    <t>Goodrich, Lloyd</t>
  </si>
  <si>
    <t>Harry N. Abrams</t>
  </si>
  <si>
    <t>to-read (#221)</t>
  </si>
  <si>
    <t>Arabian Sands</t>
  </si>
  <si>
    <t>Wilfred Thesiger</t>
  </si>
  <si>
    <t>Thesiger, Wilfred</t>
  </si>
  <si>
    <t>Penguin</t>
  </si>
  <si>
    <t>Sometimes I wish I was born a few generations earlier. No, I am not a &lt;a href="https://knowyourmeme.com/memes/le-wrong-generation"&gt;le wrong generation kid&lt;/a&gt; complaining about &lt;a href="https://www.vulture.com/2018/04/2018-soundcloud-rappers-guide.html"&gt;Soundcloud rappers&lt;/a&gt;. I'm complaining about the lack of uncharted territory in the world. Reading Thesiger's account of his exploration of the &lt;a href="https://en.wikipedia.org/wiki/Rub%27_al_Khali"&gt;Empty Quarter&lt;/a&gt;. He is truly venturing into the unknown, without knowledge of what lies in that vast, arid, uninhabitable (the Bedu would beg to differ) region. There are &lt;a href="https://www.insider.com/unexplored-places-around-the-world-2019-12#surtsey-a-volcanic-island-off-of-iceland-has-only-ever-been-open-to-researchers-3"&gt;very few places&lt;/a&gt; left on Earth that are unexplored, namely islands and other hard-to-access places. I can only imagine the wonder and excitement Thesiger felt as he traveled in places no human had before.&lt;br/&gt;&lt;br/&gt;Keep in mind that this book was published in 1959, before the globalization and modernization of Arabia and the essential extinction of traditional Bedu culture.&lt;br/&gt;&lt;br/&gt;The book switches off between two topics: Thesiger's travel accounts and discussion of Arab, specifically Bedu, culture. The travel accounts are quite detailed, sometimes to the point of boring, but do an excellent job of describing the Sands and their brutality, monotony, and beauty. Rain is scarce, but an ample rainfall provides up to years of grazing for the Bedu's beloved camels (more on this later). The dunes stretch &lt;a href="https://www.wildfrontierstravel.com/media/cache/responsive/hero-1920/upload/6f/11/6f1135106019f2b03374ae86a0a8c8d0b5383964.jpeg?413f26a0"&gt;on and on and on and on for miles&lt;/a&gt; and &lt;a href="https://lh3.googleusercontent.com/proxy/BMikbnHP7oQeYVE4ZKc9B716MtCTSZLzroQ9hTnGnCKO8ziCDuij6EIr-wV6WCF0LEUN1aUg7vPuOHSDhxEzkjz57cbyy8Fi--9dp92NO4oYtqd6KsQ"&gt;rise up hundreds of feet&lt;/a&gt;, preventing even the most durable of camels from summiting. And yet Thesiger could not keep away. He found himself pining for the Sands whenever at home in England and did whatever he could to get back to his second home of Arabia. &lt;br/&gt;&lt;br/&gt;Back to camels: surprisingly, unless you are already knowledegable about the Bedu, they comprise a significant portion of the book. They are the Bedu's racehorse-equivalent, although the camels aren't &lt;a href="https://ftw.usatoday.com/2018/05/kentucky-derby-names-best"&gt;named like horses&lt;/a&gt;. Camels are treated with the utmost respect by their owners due to their career as a desert workhorse. Food, water, and rest are prioritized for the camels. Bedu are also similar to elephants in that they &lt;a href="https://www.scientificamerican.com/article/elephants-never-forget/"&gt;never forget&lt;/a&gt; (any camel they see). If they see a camel, it is forever burned into their memory. They also have the rather remarkable skill of being able to analyze a situation based off of a &lt;a href="https://c8.alamy.com/comp/ERM2R0/camel-tracks-in-the-red-sahara-sand-in-northern-sudan-150000-camels-ERM2R0.jpg"&gt;camel's tracks in the dry desert sand&lt;/a&gt;. This claim, which sounds like nonsense, is corroborated on &lt;a href="https://books.google.com/books?id=-zls4_rVzQgC&amp;pg=PA59&amp;lpg=PA59&amp;dq=bedu+camel+tracks&amp;source=bl&amp;ots=iqhKm_T2tr&amp;sig=ACfU3U0-E201d86MXwxtoWX9bocXO0yhDQ&amp;hl=en&amp;ppis=_e&amp;sa=X&amp;ved=2ahUKEwia-oCR6KfoAhUGeKwKHfdiC_kQ6AEwAXoECAsQAQ#v=onepage&amp;q=bedu%20camel%20tracks&amp;f=false"&gt;page 59&lt;/a&gt; of this 234-page book on camels, appropriately named &lt;i&gt;Camel&lt;/i&gt; and &lt;a href="https://archive.aramcoworld.com/issue/200402/reading.the.sands.htm"&gt;this article&lt;/a&gt; (Control-F the word "read" for the specific instances).&lt;br/&gt;&lt;br/&gt;Bedu personality is very peculiar. They will bicker with each other about money, even after the transaction is months old. They will absolutely not let a guest refuse a meal - if you're with them, you're eating, no questions asked. To look greedy is to be known as the guy that eats the last piece of [your friend group's favorite food here], but ten times worse. If you accidentally kill a Bedu, say by accidentally kicking him in his solar plexus (like Thesiger did), you will die. No joke. The list goes on. Thesiger learned all of these intricacies throughout his years of living amongst the Bedu.&lt;br/&gt;&lt;br/&gt;One passage spoke to me directly: "No, it is not the goal but the way there that matters, and the harder the way the more worth while the journey‚Ä¶ I felt instinctively that it was better to fail on Everest withut oxygen than to attain the summit with its use." it seems like most modern-day adventurers use (read: require) varying amounts of assistance, whether it be through tools or personnel. For example, only 5% of Everest summits have been without oxygen. That is not to take away from those who did it with the precious gas, but it is significantly less impressive than their counterparts. Why can't things go back to being raw? If you can't bench press that weight without elbow sleeves, a bench shirt, a Gateway-Arch-esque spine, and your hands touching the plate, you shouldn't be benching that weight, just like you shouldn't be climbing Everest if you need a porter, five oxygen tanks, and all the latest and greatest REI gear (I also wrote about this in my review of &lt;a href="https://www.goodreads.com/review/show/3102763674"&gt;&lt;i&gt;Into Thin Air&lt;/i&gt;&lt;/a&gt; (last paragraph before "Further Reading"). Mark Twight also embodies this. During his days at Gym Jones, they trained balls-to-the-wall in street clothes without worrying that their shirt wasn't of moisture-wicking technology. Anyway, rant over. Do what you want and what makes you happy.&lt;br/&gt;&lt;br/&gt;An insert is included, containing pictures of bin Kabina, one of Thesiger's longest travel mates and to whom the book is dedicated, other Bedu (such as falconers), and landscape shots. Names of Bedu that Thesiger travels with can be difficult to keep track of, so "A List of the Chief Characters on the Various Journeys" is included as an appendix, organized by specific trip, e.g. "The Journey from Salala to Mughshin."&lt;br/&gt;&lt;br/&gt;That's about it. If you want to learn more about Bedu culture and read a classic in the travel literature genre, then this is the book for you. If you're interested in how early maps were mapped, then this is a book for you. If you're wanting to go on an adventure in a barren wasteland with the occasional oasis and need an estimate on how much it will suck, this is a book for you._x000B_&lt;br/&gt;My three stars is the average of my enjoyment (2) and thoroughness of the book (4).&lt;br/&gt;&lt;br/&gt;Further materials:&lt;br/&gt;	- &lt;a href="https://www.youtube.com/watch?v=UDWNFueckoM"&gt; The Empty Quarter documentary (1967)&lt;/a&gt;.&lt;br/&gt;	- &lt;a href="https://www.goodreads.com/book/show/5934152-the-silent-world"&gt;The Silent World&lt;/a&gt;. Discusses the beginning of SCUBA gear and the exploration of the sea through extended dives (as opposed to freediving).&lt;br/&gt;	- &lt;a href="https://www.goodreads.com/book/show/670302.Among_the_Mountains"&gt;Among the Mountains: Travels Through Asia&lt;/a&gt;. Another of Thesiger's accounts, this time throughout mountains of Asia: Hindu Kush, Karakorams, and Pamirs. Another solid travel book.&lt;br/&gt;</t>
  </si>
  <si>
    <t>Murder on the Orient Express (Hercule Poirot, #10)</t>
  </si>
  <si>
    <t>Agatha Christie</t>
  </si>
  <si>
    <t>Christie, Agatha</t>
  </si>
  <si>
    <t>HarperCollins</t>
  </si>
  <si>
    <t>to-read (#220)</t>
  </si>
  <si>
    <t>Influence: The Psychology of Persuasion</t>
  </si>
  <si>
    <t>Robert B. Cialdini</t>
  </si>
  <si>
    <t>Cialdini, Robert B.</t>
  </si>
  <si>
    <t>Harper Business</t>
  </si>
  <si>
    <t>to-read (#219)</t>
  </si>
  <si>
    <t>Boys Adrift: The Five Factors Driving the Growing Epidemic of Unmotivated Boys and Underachieving Young Men</t>
  </si>
  <si>
    <t>Leonard Sax</t>
  </si>
  <si>
    <t>Sax, Leonard</t>
  </si>
  <si>
    <t>Basic Books (AZ)</t>
  </si>
  <si>
    <t>to-read (#218)</t>
  </si>
  <si>
    <t>The Notebooks of Leonardo Davinci</t>
  </si>
  <si>
    <t>Leonardo da Vinci</t>
  </si>
  <si>
    <t>Vinci, Leonardo da</t>
  </si>
  <si>
    <t>Sheba Blake Publishing</t>
  </si>
  <si>
    <t>Soldier Five: The Real Truth About The Bravo Two Zero Mission</t>
  </si>
  <si>
    <t>Mike Coburn</t>
  </si>
  <si>
    <t>Coburn, Mike</t>
  </si>
  <si>
    <t>Mainstream Publishing</t>
  </si>
  <si>
    <t>This book is sectioned into four parts: Into Action (infiltration and attempted escape), Call to Arms (Coburn's early days and military training), Guest of Saddam (time as prisoner-of-war), and Release (self-explanatory). Coburn finally details the legal headache that was the publishing this book and all that the Ministry of Defense did to try to stop it. A glossary and insert (pictures in the middle) are also included.&lt;br/&gt;&lt;br/&gt;&lt;u&gt;Into Action&lt;/u&gt;:&lt;br/&gt;&lt;br/&gt;During the Gulf War, a group of eight men (all SAS) were inserted deep into Iraq to hunt for &lt;a href="https://en.wikipedia.org/wiki/Scud"&gt;Scuds&lt;/a&gt;. The mission almost instantly went wrong: their communications weren't working properly (someone gave them the wrong frequencies) and their position almost compromised by a goatherder (similar to what caused &lt;a href="https://en.wikipedia.org/wiki/Operation_Red_Wings#Insertion_of_SEAL_team,_compromise,_and_attack"&gt;Operation Red Wing's demise&lt;/a&gt;). Finally, an Iraqi driving a bulldozer is what gave them away. The rest of this section details their attempted escape through a snowstorm and sharp winds, hijacking a taxi and taking a policeman hostage, and &lt;u&gt;almost&lt;/u&gt; making it across the Syria-Iraq border to safety.&lt;br/&gt;&lt;br/&gt;&lt;u&gt;Call to Arms&lt;/u&gt;:&lt;br/&gt;&lt;br/&gt;Coburn discusses the path that led him to the military, specifically the New Zealand SAS, and his time spent training with various squadrons in mountains and jungles. After a while with the NZSAS, both Coburn and his friend Pete venture to Hereford to attempt to join the 22 SAS. The &lt;a href="https://en.wikipedia.org/wiki/United_Kingdom_Special_Forces_Selection#Aptitude_Phase_(hill_phase)_(4_weeks)"&gt;22 SAS selection&lt;/a&gt; includes the infamous &lt;a href="https://en.wikipedia.org/wiki/Fan_Dance_(exercise)"&gt;Fan Dance&lt;/a&gt;. (For those in States interested in a similar event that goes towards a good cause, check out the &lt;a href="https://bataanmarch.com/"&gt;Bataan Memorial Death March&lt;/a&gt;.)&lt;br/&gt;&lt;br/&gt;&lt;u&gt;Guest of Saddam&lt;/u&gt;:&lt;br/&gt;&lt;br/&gt;Coburn endures a mixture of brutal treatment by Iraqi police and decent medical care while a POW.&lt;br/&gt;&lt;br/&gt;&lt;u&gt;Release&lt;/u&gt;:&lt;br/&gt;&lt;br/&gt;Coburn is liberated when the war ends and is reunited with surviving teammates. Together they are able to piece together what happened, and back in the UK, find out exactly who causes the mission's failure (you guessed it: a lot of people not wanting to fess up).&lt;br/&gt;&lt;br/&gt;Overall, I enjoyed this book. Coburn (and/or his editor) is a good writer and provides excellent descriptions while sprinkling humor in every so often. Military terms and concepts are well-explained so the layperson can understand.&lt;br/&gt;&lt;br/&gt;Other book suggestions: &lt;a href="https://www.goodreads.com/book/show/711901.Lone_Survivor?ac=1&amp;from_search=true&amp;qid=wlC0DWCEhf&amp;rank=1"&gt;Lone Survivor&lt;/a&gt;, &lt;a href="https://www.goodreads.com/book/show/55403.Black_Hawk_Down"&gt;Black Hawk Down&lt;/a&gt;, and &lt;a href="https://www.goodreads.com/book/show/9739365-seal-team-six"&gt;SEAL Team Six&lt;/a&gt;.</t>
  </si>
  <si>
    <t>Say Nothing: A True Story of Murder and Memory in Northern Ireland</t>
  </si>
  <si>
    <t>&lt;a href="https://en.wikipedia.org/wiki/The_Troubles"&gt;The Troubles&lt;/a&gt; was a harrowing time in Ireland's history: bombs going off throughout Belfast (the capital of the Protestant Northern Ireland), parents and spouses being kidnapped in the middle of the night, murders by both sides of the bloody conflict. The quest for a unified Ireland began by the southerners being peaceful, only to come to the conclusion that, despite the popular saying, violence &lt;i&gt;was&lt;/i&gt; the answer.&lt;br/&gt;&lt;br/&gt;&lt;i&gt;Say Nothing&lt;/i&gt; uses the lives of two individuals to provide a history and story of the Troubles: Dolours Price, an IRA Volunteer ("Volunteer" is their proper name, but is akin to soldier), and Jean McConville, a mother-of-ten who was kidnapped and murdered by the IRA after being accused of being an informant to the British.&lt;br/&gt;&lt;br/&gt;The book follows the Troubles in chronological order, beginning in the early 1960s (there is no definitive start date of the conflict) up to the controversial &lt;a href="https://en.wikipedia.org/wiki/Good_Friday_Agreement"&gt;Good Friday Agreement&lt;/a&gt;, which was deemed "Got Fuck All" by some.&lt;br/&gt;&lt;br/&gt;Many major players in the Troubles were discussed and interviewed: &lt;a href="https://en.wikipedia.org/wiki/Gerry_Adams"&gt;Gerry Adams&lt;/a&gt;, an IRA-member-turned-denier and eventual president of the &lt;a href="https://en.wikipedia.org/wiki/Sinn_F%C3%A9in"&gt;Sinn F√©in&lt;/a&gt; political party, &lt;a href="https://en.wikipedia.org/wiki/Brendan_Hughes"&gt;Brendan Hughes&lt;/a&gt;, an IRA Volunteer who led their "special operations" (for lack of a better term) and organized the infamous &lt;a href="https://en.wikipedia.org/wiki/Bloody_Friday_(1972)"&gt;Bloody Friday&lt;/a&gt; (which he publicly and deeply regrets), and &lt;a href="https://en.wikipedia.org/wiki/Anthony_McIntyre"&gt;Mackers&lt;/a&gt;, another IRA Volunteer who ended up leading the interview process of the &lt;a href="https://www.bbc.com/news/uk-northern-ireland-27238797"&gt;Belfast Project&lt;/a&gt;, an oral history of the Troubles told by former IRA Volunteers who now disagreed with what the movement had become.&lt;br/&gt; &lt;br/&gt;The perspectives of all are given throughout. Readers will better understand why the Troubles started in the first place, why the IRA did what they did, and why the conflict was so prolonged. &lt;br/&gt;&lt;br/&gt;Despite the thoroughness of the book, Keefe did omit some aspects, e.g. loyalist terrorism. He humbly acknowledges this and directs the interested reader to "one of the many excellent books cited in the notes that address the Troubles more broadly or your favored subject in particular." Sources and notes are discussed in full and included at the end.&lt;br/&gt;&lt;br/&gt;Overall, an excellent book that does a good job of portraying the perspectives of the Republic of Ireland during the Troubles. Next on my list to read is a more general history of the Irish Conflict that began in the 1600s.&lt;br/&gt;&lt;br/&gt;Further reading:&lt;br/&gt;- &lt;a href="https://www.reddit.com/r/TheMotte/comments/e2i3sz/the_ins_and_outs_of_the_kilmichael_ambush/"&gt;r/TheMotte on the Kilmichael Ambush&lt;/a&gt;</t>
  </si>
  <si>
    <t>Rebel Code: Linux and the Open Source Revolution</t>
  </si>
  <si>
    <t>Glyn Moody</t>
  </si>
  <si>
    <t>Moody, Glyn</t>
  </si>
  <si>
    <t>Basic Books</t>
  </si>
  <si>
    <t>Open-source software (OSS) is the most impactful, technological concept (not invention) ever conceived. With hundreds of people collaborating on a single, multi-faceted project, an astronomical amount of progress is able to be achieved. And yet, often this is done for free, without expectation of riches or fame to follow. The question that follows is obvious: Why? Why would people spend time &lt;u&gt;outside&lt;/u&gt; of their paid job to code for little to no recognition nor money? Well, why do people volunteer in general? For one, they feel part of a community helping to volunteer. The same feeling applies for these OS projects. These contributors are working with people from all over the world with similar interests, helping them to improve a project for everyone else. A sense of progress is another motivator. We as humans love to see tangible progress in things we do. Productivity apps nowadays rely on the concept of "gamifying" things, i.e. showing you making progress while doing various tasks. Every accepted pull request on Github is one small (or possibly big) step of progress for that project and anything that project goes to support.&lt;br/&gt;&lt;br/&gt;Anyways, off my soapbox and onto the book.&lt;br/&gt;&lt;br/&gt;The book primarily focuses on the inception, development, and commercialization of the open-source operating system &lt;a href="https://www.linux.org/"&gt;Linux&lt;/a&gt;. Originally created in 1991 by &lt;a href="https://en.wikipedia.org/wiki/Linus_Torvalds"&gt;Linus Torvalds&lt;/a&gt;, a Finnish graduate student at the time, as an alternative to &lt;a href="https://en.wikipedia.org/wiki/MINIX"&gt;MINIX&lt;/a&gt;, it grew exponentially as more and more people online heard about it.&lt;br/&gt;&lt;br/&gt; Other relevant open-source projects, concepts, and people are detailed and discussed, e.g. &lt;a href="https://en.wikipedia.org/wiki/Richard_Stallman"&gt;Richard Stallman&lt;/a&gt; and his &lt;a href="https://en.wikipedia.org/wiki/GNU_Project"&gt;GNU Project&lt;/a&gt;, &lt;a href="https://en.wikipedia.org/wiki/Free_Software_Foundation"&gt;Free Software Foundation&lt;/a&gt;, and &lt;a href="https://en.wikipedia.org/wiki/GNU_General_Public_License"&gt;GNU General Public License&lt;/a&gt;. (GPL is quite clever in that any product that uses another product that is licensed under GPL must also be licensed under GPL. The product's freeness then propagates the down the line. This concept is called copyleft.)&lt;br/&gt;&lt;br/&gt;Note that this book was published in 2001, well before the advent of &lt;a href="https://github.com/"&gt;Github&lt;/a&gt;, a company that hosts both public and private projects. It used a system called &lt;a href="https://en.wikipedia.org/wiki/Git"&gt;Git&lt;/a&gt;, which was also created by Linus to help aide Linux development. While I don't keep up with software news, I suspect this book can easily be rewritten to reflect the events that have occurred in the open-source community since 2001 (20 years ago, what!).&lt;br/&gt;&lt;br/&gt;If you are interested in programming as a career or hobby, I highly encourage you to join Github and see if you can help contribute to an open-source project. They are always looking for people to help, even if your experience is little to none. Find a project, fix a bug or add a feature, and submit a pull request. The worst thing that can happen is it gets rejected.&lt;br/&gt;&lt;br/&gt;My rating is two stars for excitement (no offense, but how exciting can a book like this be?) and five stars for comprehensiveness and research put into this book. There is no source section, but he mentions "the vast majority of quotations in this book are drawn from interviews". Would be nice to see the sources he did draw from (that weren't direct conversations) listed.&lt;br/&gt;&lt;br/&gt;Further reading:&lt;br/&gt;- &lt;a href="https://www.goodreads.com/book/show/44882.Code?ac=1&amp;from_search=true&amp;qid=W1DTJ9sv7H&amp;rank=2"&gt;Code by Charles Petzold&lt;/a&gt;.&lt;br/&gt;- &lt;a href="https://www.goodreads.com/book/show/8701960-the-information?ac=1&amp;from_search=true&amp;qid=LR5ebwUzUr&amp;rank=2"&gt;The Information by James Gleick&lt;/a&gt;.&lt;br/&gt;- &lt;a href="https://github.com/id-Software/DOOM"&gt;DOOM (video game) source code&lt;/a&gt;. If you're interested in retro games, check this out.&lt;br/&gt;- &lt;a href="https://github.com/chrislgarry/Apollo-11"&gt;Apollo 11 source code&lt;/a&gt;. This repository contains the code that first got man to the moon back in 1969 on the &lt;a href="https://www.nasa.gov/mission_pages/apollo/apollo-11.html"&gt;Apollo mission&lt;/a&gt;.</t>
  </si>
  <si>
    <t>The Broken Road: From the Iron Gates to Mount Athos</t>
  </si>
  <si>
    <t>Patrick Leigh Fermor</t>
  </si>
  <si>
    <t>Fermor, Patrick Leigh</t>
  </si>
  <si>
    <t>John Murray Publishers Ltd</t>
  </si>
  <si>
    <t>to-read (#217)</t>
  </si>
  <si>
    <t>Between the Woods and the Water</t>
  </si>
  <si>
    <t>Jan Morris</t>
  </si>
  <si>
    <t>NYRB Classics</t>
  </si>
  <si>
    <t>to-read (#216)</t>
  </si>
  <si>
    <t>Human Accomplishment: The Pursuit of Excellence in the Arts and Sciences, 800 B.C. to 1950</t>
  </si>
  <si>
    <t>Murray, Charles</t>
  </si>
  <si>
    <t>Harper Perennial</t>
  </si>
  <si>
    <t>currently-reading (#2)</t>
  </si>
  <si>
    <t>The Three Musketeers (The D'Artagnan Romances, #1)</t>
  </si>
  <si>
    <t>Alexandre Dumas</t>
  </si>
  <si>
    <t>Dumas, Alexandre</t>
  </si>
  <si>
    <t>Modern Library</t>
  </si>
  <si>
    <t>to-read (#215)</t>
  </si>
  <si>
    <t>The Odyssey</t>
  </si>
  <si>
    <t>Homer</t>
  </si>
  <si>
    <t>Homer, Homer</t>
  </si>
  <si>
    <t>Robert Fagles, Bernard Knox</t>
  </si>
  <si>
    <t>Chatter: Dispatches from the Secret World of Global Eavesdropping</t>
  </si>
  <si>
    <t>to-read (#214)</t>
  </si>
  <si>
    <t>The Silent World</t>
  </si>
  <si>
    <t>Jacques-Yves Cousteau</t>
  </si>
  <si>
    <t>Cousteau, Jacques-Yves</t>
  </si>
  <si>
    <t>Fr√©d√©ric Dumas</t>
  </si>
  <si>
    <t>Harper &amp; Row</t>
  </si>
  <si>
    <t>If news broke today that an eighth continent had been found, tens of thousands would flock to their nearest airport for a chance to experience this unexplored territory. Now, what if this new continent covered the remaining 71% of the Earth?&lt;br/&gt;&lt;br/&gt;This is the feeling of wonder &lt;a href="https://en.wikipedia.org/wiki/Jacques_Cousteau"&gt;Jacques Cousteau&lt;/a&gt; felt when he finally succeeded in breathing while underwater with his invention the &lt;a href="https://us.aqualung.com/pages/our-story"&gt;Aqualung&lt;/a&gt; (Emile Gagnan contributed heavily to the engineering aspect of it). After many failed attempts at other devices, the Aqualung was able to let Cousteau and his fellow divers breath easily and safely underwater, marking the beginning of the &lt;a href="https://en.wikipedia.org/wiki/Scuba_diving"&gt;SCUBA&lt;/a&gt; revolution.&lt;br/&gt;&lt;br/&gt;The book begins with a history of underwater breathing attempts and devices, giving the reasons behind why they didn't work and what was done to improve the designs.&lt;br/&gt;&lt;br/&gt;From there, Cousteau goes into details about the underwater adventures he and his group (he directed the French military's Undersea Research Group) had over the years, sound almost Captain-Nemo-like: cave diving to the point of almost passing out, exceeding the estimated underwater depth limits of humans, exploring shipwrecks and finding "treasure" (if you can count old silverware), testing the closest distance TNT can explode and the diver still survive (yes, you read that right), and the various creatures and flora encountered while diving.&lt;br/&gt;&lt;br/&gt;The science of diving (what the bends (&lt;a href="https://en.wikipedia.org/wiki/Decompression_sickness"&gt;decompression sickness&lt;/a&gt;) is and how it occurs, the total number of atmospheres felt at various depths, etc) is explained throughout and in detail. &lt;br/&gt;&lt;br/&gt;The insert is 65 pages (pictures of both in black-and-white and color) of underwater action shots, group and individual portraits, and other supporting images to put a picture with/to the text. Included is Cousteau's closest encounter with a shark, where it came within two feet of him.&lt;br/&gt;&lt;br/&gt;My only qualm with this book, as at least one other reviewer pointed out, is their killing of underwater life. While URG occasionally showed some discretion, contests were made out to kill X lbs of fish in Y minutes, it seems all for fun. Later, while watching traditional Mediterranean fishing from below (&lt;a href="https://www.youtube.com/watch?v=R5KWbc_iXCQ"&gt;video here&lt;/a&gt;, note it may be a bit offensive to some), Cousteau expresses his desire to free the fish from their ever-tightening graveyard.&lt;br/&gt;&lt;br/&gt;After reading this, I plan to do some SCUBA diving at some point, preferably in the Caribbean or Mediterranean.</t>
  </si>
  <si>
    <t>RAZE Anthology: A Fistfight with Human Nature</t>
  </si>
  <si>
    <t>Mark Twight</t>
  </si>
  <si>
    <t>Twight, Mark</t>
  </si>
  <si>
    <t>Michael Blevins</t>
  </si>
  <si>
    <t>Non Prophet, LLC</t>
  </si>
  <si>
    <t>While a lot of topics are discussed in this book, I have a few all-encompassing takeaways (in order of importance): never stop growing, and assume control of what is yours (life) and what you want (from life), and take risks.&lt;br/&gt;&lt;br/&gt;Life is a growing process, both literally and figuratively. Everyone reaches peak bone mass in their late 20s, but some continue to grow muscles or fat after that, cutting and bulking or maintaining that state for years on end. This growth is second to the growth of the mind. The word "learning" can easily replace the word "growing" in this paragraph's first sentence: Life is a learning process. We as both individuals and a species are constantly inventing, discovering, and refining what we do and how we do it ‚Äî sometimes for ourselves and sometimes for others. Failure is a major part of growth. Failure gives feedback on actions and thoughts, allowing learning to occur. Was that the best way to go about this? Why did I think that would work? This feedback need not be applied solely to that specific action or thought, but can instead be used across a range of them: what worked in realm A can easily be applied in realm B, etc. Mark says "Truth is the source of growth," and this is spot-on. Taking an honest look at ourselves or situations gives us a clear view of what needs to be done. I'm guilty of lying to myself on many occasions to avoid the reality of the situation ‚Äî this only served to make things worse later on. Do yourself a favor and be brutally honest to yourself and a-bit-less-than-brutally-honest to your companions (brutal honesty can be a bit much for some, which can cause them to use Mark's "knife" on you!) from the get-go. Those companions that appreciate the honesty are definitely worth keeping.&lt;br/&gt;&lt;br/&gt;&lt;a href="https://equipesolitaire.com/blogs/discourse/84418756-twitching-with-twight"&gt;&lt;i&gt;Twitching with Twight&lt;/i&gt;&lt;/a&gt;, arguably Mark's most famous essay (it's included in his book &lt;a href="https://www.goodreads.com/book/show/544564.Kiss_or_Kill"&gt;&lt;i&gt;Kiss or Kill&lt;/i&gt;&lt;/a&gt;), is a prime example of seizing control of life, cutting off the excess fat and distractions, and focusing on the goals and desires one truly wants. A key part of this is the "cutting" - often times certain objects (gear), people (significant others or friends), or mindsets (fear of failure, lack of belief of capability) hold us back from achieving our true potential. Cliche, yes, but true nonetheless. Mark discusses the "knife", referring to his ability to "cut off everything that might have held [him] back." While some view this cutting as detrimental, it can actually be quite beneficial. Take the friend who is a leech on your wellbeing or the mindset that you will never be able to climb that route or lift that much weight. Cut that friend out of your life and believe in your ability to achieve that feat - these cuts will greatly improve your life, assuming you do your part of putting in the work to achieve these goals. Mark says it best at the end of "Unlock" piece: "It [control] can start anywhere ‚Äî we need only realize that the lock is within, and the key within reach. ... We learn that by taking control of ourselves we reduce the power others have over us. ... the goal of [fitness] is autonomy. It is Self-determination." (While I'm sure those that read this book are aware of Mark's background, he created the reputed &lt;a href="https://gymjones.com/"&gt;Gym Jones&lt;/a&gt;, hence the fitness references found throughout the book.) Unsurprisingly, Mark is a fan of Ayn Rand, referencing her &lt;a href="https://www.goodreads.com/book/show/2122.The_Fountainhead?from_search=true&amp;qid=ysdj3ExhFT&amp;rank=1"&gt;&lt;i&gt;The Fountainhead&lt;/i&gt;&lt;/a&gt; and acknowledging her influence in his own &lt;i&gt;Kiss or Kill&lt;/i&gt;.&lt;br/&gt;&lt;br/&gt;Part of this "taking control" is standing strong against the norm ‚Äî one must find their own way among the vast sea of disinformation and what is considered "right" and "good". (Howard Roark, &lt;i&gt;The Fountainhead&lt;/i&gt;'s protagonist, is a great example of this.) In high school, I kept my interests hidden from my friends, as it was different from what others thought a normal teenager should be doing. In hindsight, this was *somewhat* wrong. While being proud of some interested would have gotten me made fun of, others likely would not have. I now unashamedly promote most of my interests, only hiding the ones that deviate significantly from the norm. "We need more individuals, of unique opinion and voice and strength."&lt;br/&gt;&lt;br/&gt;Taking and accepting risks is an important part of the human experience. They can be frightening, exhilarating, and/or wildly rewarding, depending on the venture. It is especially rewarding when that risk pays off and you grow as a person. Not much more needs to be said on this. Analyze the possible outcomes and those outcomes' outcomes and all of their respective probabilities, then make the choice to push ahead and stay back. Just make sure you won't regret it later.&lt;br/&gt;&lt;br/&gt;Now, a bit about the book itself. The book is simply a series of short (1-3 page) essays. The writing can be a bit cryptic at times, as you'll know if you've read &lt;i&gt;Kiss or Kill&lt;/i&gt;. This turned me off at times, but is helpful in provoking thought about what Twight meant and why he expressed it that way. It is full of images that have accompanying text: some photographs (portraits, action shots, nature-related), some renderings (not sure if that's the right word, but it's the best I have), some paintings (?). There are a few sections where the creation and design of the book is discussed.&lt;br/&gt;&lt;br/&gt;Further reading:&lt;br/&gt;* Ayn Rand novels: &lt;a href="https://www.goodreads.com/book/show/2122.The_Fountainhead?from_search=true&amp;qid=ysdj3ExhFT&amp;rank=1"&gt;&lt;i&gt;The Fountainhead&lt;/i&gt;&lt;/a&gt; and &lt;a href="https://www.goodreads.com/book/show/662.Atlas_Shrugged?from_search=true&amp;qid=2VtPrN9kbe&amp;rank=1"&gt;&lt;i&gt;Atlas Shrugged&lt;/i&gt;&lt;/a&gt;, her magnum opus.&lt;br/&gt;* &lt;a href="https://www.goodreads.com/book/show/544564.Kiss_or_Kill"&gt;&lt;i&gt;Kiss or Kill&lt;/i&gt;&lt;/a&gt; by Mark Twight&lt;br/&gt;* &lt;a href="https://www.goodreads.com/book/show/36064445-skin-in-the-game?ac=1&amp;from_search=true&amp;qid=9rnKzFdRCd&amp;rank=1"&lt;i&gt;Skin in the Game&lt;/i&gt;&lt;/a&gt; by Nassim Taleb&lt;br/&gt;* &lt;a href="https://www.nonprophet.media/journal"&gt;Non-Prophet journal&lt;/a&gt;&lt;br/&gt;* &lt;a href="https://www.nonprophet.media/"&gt;Non-Prophet The Practice&lt;/a&gt; (scroll all the way to the bottom and choose months. Includes training sessions and writings, all free.)</t>
  </si>
  <si>
    <t>The Snow Leopard</t>
  </si>
  <si>
    <t>Peter Matthiessen</t>
  </si>
  <si>
    <t>Matthiessen, Peter</t>
  </si>
  <si>
    <t>Penguin Books</t>
  </si>
  <si>
    <t>to-read (#213)</t>
  </si>
  <si>
    <t>Vagabonding: An Uncommon Guide to the Art of Long-Term World Travel</t>
  </si>
  <si>
    <t>Rolf Potts</t>
  </si>
  <si>
    <t>Potts, Rolf</t>
  </si>
  <si>
    <t>Villard Books</t>
  </si>
  <si>
    <t>to-read (#212)</t>
  </si>
  <si>
    <t>Travels with Charley: In Search of America</t>
  </si>
  <si>
    <t>John Steinbeck</t>
  </si>
  <si>
    <t>Steinbeck, John</t>
  </si>
  <si>
    <t>to-read (#211)</t>
  </si>
  <si>
    <t>Windows on Nature: The Great Habitat Dioramas of the American Museum of Natural History</t>
  </si>
  <si>
    <t>Stephen Christopher Quinn</t>
  </si>
  <si>
    <t>Quinn, Stephen Christopher</t>
  </si>
  <si>
    <t>to-read (#210)</t>
  </si>
  <si>
    <t>Fight Club</t>
  </si>
  <si>
    <t>Chuck Palahniuk</t>
  </si>
  <si>
    <t>Palahniuk, Chuck</t>
  </si>
  <si>
    <t>W.W. Norton &amp; Company (NYC)</t>
  </si>
  <si>
    <t>to-read (#209)</t>
  </si>
  <si>
    <t>Doing the Best I Can: Fatherhood in the Inner City</t>
  </si>
  <si>
    <t>Kathryn Edin</t>
  </si>
  <si>
    <t>Edin, Kathryn</t>
  </si>
  <si>
    <t>Timothy J. Nelson</t>
  </si>
  <si>
    <t>University of California Press</t>
  </si>
  <si>
    <t>to-read (#208)</t>
  </si>
  <si>
    <t>Making the Soviet Intelligentsia: Universities and Intellectual Life under Stalin and Khrushchev (New Studies in European History)</t>
  </si>
  <si>
    <t>Benjamin Tromly</t>
  </si>
  <si>
    <t>Tromly, Benjamin</t>
  </si>
  <si>
    <t>Cambridge University Press</t>
  </si>
  <si>
    <t>to-read (#207)</t>
  </si>
  <si>
    <t>The One Device: The Secret History of the iPhone</t>
  </si>
  <si>
    <t>Brian Merchant</t>
  </si>
  <si>
    <t>Merchant, Brian</t>
  </si>
  <si>
    <t>Bantam Press</t>
  </si>
  <si>
    <t>to-read (#206)</t>
  </si>
  <si>
    <t>The Taking of K-129: How the CIA Used Howard Hughes to Steal a Russian Sub in the Most Daring Covert Operation in History</t>
  </si>
  <si>
    <t>Josh Dean</t>
  </si>
  <si>
    <t>Dean, Josh</t>
  </si>
  <si>
    <t>Dutton</t>
  </si>
  <si>
    <t>to-read (#205)</t>
  </si>
  <si>
    <t>The Sabres of Paradise: Conquest and Vengeance in the Caucasus</t>
  </si>
  <si>
    <t>Lesley Blanch</t>
  </si>
  <si>
    <t>Blanch, Lesley</t>
  </si>
  <si>
    <t>Tauris Parke Paperbacks</t>
  </si>
  <si>
    <t>to-read (#204)</t>
  </si>
  <si>
    <t>Ficciones</t>
  </si>
  <si>
    <t>Jorge Luis Borges</t>
  </si>
  <si>
    <t>Borges, Jorge Luis</t>
  </si>
  <si>
    <t>Anthony Kerrigan, Anthony Bonner</t>
  </si>
  <si>
    <t>Grove Press</t>
  </si>
  <si>
    <t>to-read (#203)</t>
  </si>
  <si>
    <t>Only a Little Planet</t>
  </si>
  <si>
    <t>David Brower</t>
  </si>
  <si>
    <t>Brower, David</t>
  </si>
  <si>
    <t>Lawrence Collins, Martin Schweitzer</t>
  </si>
  <si>
    <t>Friends of the Earth, Inc. (NY)</t>
  </si>
  <si>
    <t>to-read (#202)</t>
  </si>
  <si>
    <t>King Solomon's Mines (Allan Quatermain, #1)</t>
  </si>
  <si>
    <t>H. Rider Haggard</t>
  </si>
  <si>
    <t>Haggard, H. Rider</t>
  </si>
  <si>
    <t>&lt;i&gt;King Solomon's Mines&lt;/i&gt; is not just an adventure novel, it is THE adventure novel that started the &lt;a href="https://en.wikipedia.org/wiki/Lost_world"&gt;lost world&lt;/a&gt; genre. From Hilton's &lt;i&gt;Lost Horizon&lt;/i&gt; about Tibet's mythical Shangri-La to Vernes' novels, this was the catalyst to one of literature's most exciting, interesting, versatile genres.&lt;br/&gt;&lt;br/&gt;Set in first-person, Quatermain (Haggard) describes his adventures to find the brother of a stranger who disappeared while trying to locate the famous mines of King Solomon. They trek across a desert, convince an unknown tribe that they are white god-like men from space, participate in tribal warfare to execute a coup (although it isn't illegal - ain't no laws when you're in the middle of nowhere), and finally loot diamonds.&lt;br/&gt;&lt;br/&gt;The writing is descriptive and reads as you would expect an 19th-century to: (I can't describe it, but you know what I'm talking about!)&lt;br/&gt;&lt;br/&gt;Overall, the best introduction to the adventure/lost world genre you can ask for. &lt;br/&gt;&lt;br/&gt;Further reading:&lt;br/&gt;- Anything by &lt;a href="https://www.goodreads.com/author/show/696805.Jules_Verne"&gt;Jules Vernes&lt;/a&gt;&lt;br/&gt;- &lt;a href="https://www.goodreads.com/book/show/1724560.Stanley"&gt;&lt;i&gt;Stanley: The Impossible Life of Africa's Greatest Explorer&lt;/i&gt;&lt;/a&gt;. Henry Stanley somewhat resembles Allan Quatermain: he explores Africa, discovering tribes, landscapes, and things never before documents. However, Quatermain lacks famous quotes, e.g. "Dr. Livingstone, I presume?".&lt;br/&gt;- &lt;a href="https://www.goodreads.com/book/show/2978.Lost_Horizon?ac=1&amp;from_search=true&amp;qid=uqlbICOlY5&amp;rank=1"&gt;&lt;i&gt;Lost Horizon&lt;/i&gt;&lt;/a&gt;</t>
  </si>
  <si>
    <t>Following the Equator</t>
  </si>
  <si>
    <t>Mark Twain</t>
  </si>
  <si>
    <t>Twain, Mark</t>
  </si>
  <si>
    <t>Anthony Brandt</t>
  </si>
  <si>
    <t>National Geographic</t>
  </si>
  <si>
    <t>to-read (#201)</t>
  </si>
  <si>
    <t>The Tomb of Tutankhamen</t>
  </si>
  <si>
    <t>Howard Carter</t>
  </si>
  <si>
    <t>Carter, Howard</t>
  </si>
  <si>
    <t>to-read (#200)</t>
  </si>
  <si>
    <t>For the Love of Physics: From the End of the Rainbow to the Edge of Time - A Journey Through the Wonders of Physics</t>
  </si>
  <si>
    <t>Walter Lewin</t>
  </si>
  <si>
    <t>Lewin, Walter</t>
  </si>
  <si>
    <t>Warren Goldstein</t>
  </si>
  <si>
    <t>to-read (#199)</t>
  </si>
  <si>
    <t>A Distant Mirror:  The Calamitous 14th Century</t>
  </si>
  <si>
    <t>Barbara W. Tuchman</t>
  </si>
  <si>
    <t>Tuchman, Barbara W.</t>
  </si>
  <si>
    <t>Random House Trade</t>
  </si>
  <si>
    <t>to-read (#198)</t>
  </si>
  <si>
    <t>Guardian: Life in the Crosshairs of the CIA's War on Terror</t>
  </si>
  <si>
    <t>Thomas Pecora</t>
  </si>
  <si>
    <t>Pecora, Thomas</t>
  </si>
  <si>
    <t>Jon Land, Lindsay Preston</t>
  </si>
  <si>
    <t>Post Hill Press</t>
  </si>
  <si>
    <t>to-read (#197)</t>
  </si>
  <si>
    <t>Gig: Americans Talk about Their Jobs</t>
  </si>
  <si>
    <t>Marisa Bowe</t>
  </si>
  <si>
    <t>Bowe, Marisa</t>
  </si>
  <si>
    <t>John Bowe, Sabin Streeter</t>
  </si>
  <si>
    <t>Broadway Books</t>
  </si>
  <si>
    <t>to-read (#196)</t>
  </si>
  <si>
    <t>The Man in the High Castle</t>
  </si>
  <si>
    <t>Philip K. Dick</t>
  </si>
  <si>
    <t>Dick, Philip K.</t>
  </si>
  <si>
    <t>Vintage</t>
  </si>
  <si>
    <t>The Seven Wonders of the Ancient World</t>
  </si>
  <si>
    <t>Peter A. Clayton</t>
  </si>
  <si>
    <t>Clayton, Peter A.</t>
  </si>
  <si>
    <t>Martin J. Price</t>
  </si>
  <si>
    <t>Barnes &amp; Noble Books</t>
  </si>
  <si>
    <t>&lt;i&gt;The Seven Wonders of the Ancient World&lt;/i&gt; describes - you guessed it - the &lt;a href="https://en.wikipedia.org/wiki/Seven_Wonders_of_the_Ancient_World#Wonders"&gt;Seven Wonders of the Ancient World&lt;/a&gt;: Great Pyramid of Giza, Hanging Gardens of Babylon, Statue of Zeus at Olympia, Temple of Artemis at Ephesos, Mausoleum at Halicarnassus, Colossus of Rhodes, and Pharos (Lighthouse) at Alexandria. The epilogue discusses other "wonders" left off this exclusive list.&lt;br/&gt;&lt;br/&gt;Each wonder has its own chapter. Clayton discusses in great detail the history leading up the construction and what has happened since. A variety of sources are consulted and compared against one another, from ancient authors (such as Pliny the Elder's &lt;a href="https://www.gutenberg.org/ebooks/author/50041"&gt;&lt;i&gt;Natural History&lt;/i&gt;&lt;/a&gt;) to modern-day researchers and excavators. Note: some histories are definitive, others just theories. Clayton distinguishes as needed.&lt;br/&gt;&lt;br/&gt;Architecture takes up a significant portion of each chapter. Specific dimensions are listed down to the meter and decorations are described in vivid detail.&lt;br/&gt;&lt;br/&gt;Supplemental illustrations and photographs are included throughout each chapter to give a better idea of what these structures looked like. (At least to some peoples' imaginations: some we have no idea what they looked like besides ancient drawings and engravings. For example, there is little evidence to suggest that they existed at all, much less in Babylon.)&lt;br/&gt;&lt;br/&gt;This book would serve better as a reference than a pleasure read, even for non-fiction fans. A writer reconstructing the ancient city of Alexandria could easily use this to help their imagery. A researcher can use the book itself or its selected bibliography to find more sources.&lt;br/&gt;&lt;br/&gt;Overall, the book was quite bland (read: factual), well-researched, and well-organized.</t>
  </si>
  <si>
    <t>Flawless: Inside the Largest Diamond Heist in History</t>
  </si>
  <si>
    <t>Scott Andrew Selby</t>
  </si>
  <si>
    <t>Selby, Scott Andrew</t>
  </si>
  <si>
    <t>Greg Campbell</t>
  </si>
  <si>
    <t>Union Square Press</t>
  </si>
  <si>
    <t>&lt;i&gt;Flawless: Inside the Largest Diamond Heist in History&lt;/i&gt; details the &lt;a href="https://en.wikipedia.org/wiki/Antwerp_diamond_heist"&gt;2003 Antwerp diamond heist&lt;/a&gt;, the largest objective heist in history. (Objective meaning the value of stolen goods is accurate. Stolen artwork's value is difficult to quantify.) While the heist itself comprises most of the book, the authors discuss culture and industry information as needed.&lt;br/&gt;&lt;br/&gt;The book is organized in rough chronological order. It begins with a detailed history of the Italian city &lt;a href="https://en.wikipedia.org/wiki/Turin"&gt;Turin&lt;/a&gt;, where all of the thieves involved in the heist hail from. The chapter is titled &lt;i&gt;School of Turin&lt;/i&gt;, referencing the not-insignificant amount of career criminals that the city produces (schools may be a better verb here). The authors describe the history and culture of the city, and how Notarbartolo, the mastermind behind the heist, fits in to the city.&lt;br/&gt;&lt;br/&gt;The history and current standing of the diamond industry is provided throughout the book: culture, conflict (see &lt;a href="https://en.wikipedia.org/wiki/Blood_diamond"&gt;blood diamonds&lt;/a&gt;), and standard operating procedures, among other aspects. Readers will also learn how the giant &lt;a href="https://en.wikipedia.org/wiki/De_Beers#Legal_issues"&gt;De Beers unashamedly has (had?) a monopoly&lt;/a&gt; on the diamond industry. (Consider getting your significant other a &lt;a href="https://www.reddit.com/r/jewelry/comments/3e8w8q/moissanite_vs_diamond/"&gt;moissanite stone&lt;/a&gt; or lab-grown diamond. Significantly less expensive and conflict-free!)&lt;br/&gt;&lt;br/&gt;A majority of the book details the planning, preparation, and execution of the heist. Notarbartolo spent over two years casing the building and its security before they executed. These two years were not spent waiting for the right moment - Notarbartolo was constantly taking notes and gaining information crucial to the heist (type of vault door, patterns of security, etc). He made regular trips back to Italy to consult with his partners and share his recent learnings.&lt;br/&gt;&lt;br/&gt;These two long years culminated on the evening of 15 February 2003. The team was able to infiltrate the building using a homemade garage door opener (with 2^8 = 1024 possible frequencies, it is easy to iterate through the combinations to find the correct one to open the door). They proceeded to the vault, where they were able to bypass/disable three alarms/sensors: motion, sound, and a magnet inside the vault door. Once inside, the rest was easy. Using a specialized tool, the thieves were easily able to pry open a majority of the rather flimsy safety deposit boxes belonging to a variety of companies and individuals. The loot was varied: gemstones, watches, currency, securities/bonds, and personal effects. There was so much to steal that they had to leave a fair amount behind. Using a getaway car, they retreated to Notarbartolo's apartment to sift through their treasure, throwing out comparatively-worthless emeralds.&lt;br/&gt;&lt;br/&gt;The following morning, each member left separately (some in groups of two) to head back to Italy while the crime was being discovered only a small distance away. One member was tasked with disposing of the trash, which included some compromising materials. He chose what turned out to be one of the unluckiest spots in all of Belgium: a forest owned by a nothing-better-to-do-than-patrol-his-land-for-litterers man. (Not to say littering is acceptable, but dumping garbage in forests is common in Belgium and not many seem to care (according to the authors).) This was the downfall of the team. The detectives were immediately dispatched to the rural plot of land and were able to begin piecing together who was behind this expensive crime. &lt;br/&gt;&lt;br/&gt;After dividing their haul accordingly in the safety of Italy, Notarbartolo returned to Antwerp to tie up loose ends, unaware that he was the most-wanted man in the country. He was promptly detained along with his wife and friends, marking the beginning of his multi-year confinement (consisting of detainment and actual imprisonment). The authors briefly describe the &lt;a href="https://en.wikipedia.org/wiki/Judiciary_of_Belgium"&gt;Belgian legal system&lt;/a&gt; and prisons in this section.&lt;br/&gt;&lt;br/&gt;While in prison, Notarbartolo attempted to sell the rights to &lt;i&gt;his&lt;/i&gt; story (emphasis discussed in next sentence) to multiple sources. "His" is highlighted because it varies wildly from both what the authors write here and what is probable/believable. The authors refute his account in the last section.&lt;br/&gt;&lt;br/&gt;The authors preface the book by describing their research method. Throughout the book, they are careful to denote hazy, non-established points, e.g. no one knows why the thieves did this, but here's why we think they did it, etc. Notes are detailed and well-documented for further reading or referencing.&lt;br/&gt;&lt;br/&gt;I see a few things wrong with the team's operation. First is the poor disposal of the garbage. To put everything together is sheer idiocy. Throwing it away in an unknown location doubles up on the foolishness. Too much of their heist was left up to blind luck (that was decreased to an extent): avoiding building guards or police, not knowing about a hidden sensor, and so on. They had over two years to prepare for the simple garbage disposal, yet failed in the worst possible way. Second is Notarbartolo's failure to place goods in his safety deposit box then proceed to rob himself (his box wasn't even opened!). He claimed that he took everything out beforehand, but even then that is suspicious. Instead, he should have placed a significant amount of material in there and simply pried open his, too. Third is their lack of Italian extradition laws. While these eventually changed under pressure from other European nations, resulting in the imprisonment of other members of the team, they would have all been safe for quite a long time had they just stayed in Italy. I suspect it would have also been more difficult to gather a case against them. Fourth, they should not have taken specifically-dated surveillance tapes, but rather all of them. This shifts focus off of those specific days and obscures the suspect list. Their disposal of the tapes was also subpar: they simply pulled them apart. Investigators were able to reconstruct them, furthering the evidence they had against the team. Surprisingly fundamental mistakes by a team intelligent enough to plan and execute a heist of this magnitude.&lt;br/&gt;&lt;br/&gt;Overall, I enjoyed this book. It reads similar to an &lt;a href="https://en.wikipedia.org/wiki/Ocean%27s_(film_series)"&gt;&lt;i&gt;Ocean's&lt;/i&gt;&lt;/a&gt; film, except it actually happened.&lt;br/&gt;&lt;br/&gt;Further reading/watching:&lt;br/&gt;* &lt;a href="https://en.wikipedia.org/wiki/Ocean%27s_(film_series)"&gt;&lt;i&gt;Ocean's&lt;/i&gt;&lt;/a&gt; series. Eleven, Twelve, and Thirteen are the original trilogy and worth watching for heist film fans. I haven't seen &lt;i&gt;Ocean's Eight&lt;/i&gt;.&lt;br/&gt;* &lt;a href="https://www.goodreads.com/book/show/22237142-a-burglar-s-guide-to-the-city?ac=1&amp;from_search=true&amp;qid=Kh4pAwq4dR&amp;rank=1"&gt;&lt;i&gt;A Burglar's Guide to the City&lt;/i&gt;&lt;/a&gt; by Geoff Manaugh. &lt;a href="https://www.goodreads.com/review/show/2951243468?book_show_action=false&amp;from_review_page=1"&gt;My review here&lt;/a&gt;.&lt;br/&gt;* &lt;a href="https://medium.com/@marc_choyt/beyond-brilliant-earth-exposing-the-internets-ethical-jewelry-darling-240137625cbd"&gt;Exposing Brilliant Earth&lt;/a&gt;. The author describes Brilliant Earth's deceptive practices. In 2017, YouTuber Jacob Avital was sued for defamation by Brilliant Earth for a video he posted criticizing their practices (read: lying). His channel is no longer up. Coincidence? I think not. Links &lt;a href="https://thenextweb.com/insider/2017/07/28/youtuber-who-exposed-ethical-diamond-scam-is-now-being-sued/"&gt;here&lt;/a&gt; and &lt;a href="https://www.youtube.com/watch?v=An76-kLVvZI"&gt;here&lt;/a&gt;.&lt;br/&gt;* &lt;a href="https://www.mic.com/articles/28623/the-10-greatest-heists-in-history"&gt;The 10 Greatest Heists in History&lt;/a&gt;.</t>
  </si>
  <si>
    <t>Their Eyes Were Watching God</t>
  </si>
  <si>
    <t>Zora Neale Hurston</t>
  </si>
  <si>
    <t>Hurston, Zora Neale</t>
  </si>
  <si>
    <t>Amistad</t>
  </si>
  <si>
    <t>Into Thin Air: A Personal Account of the Mount Everest Disaster</t>
  </si>
  <si>
    <t>Jon Krakauer</t>
  </si>
  <si>
    <t>Krakauer, Jon</t>
  </si>
  <si>
    <t>Anchor Books</t>
  </si>
  <si>
    <t>&lt;i&gt;Into Thin Air&lt;/i&gt; describes the &lt;a href="https://en.wikipedia.org/wiki/1996_Mount_Everest_disaster"&gt;1996 Mount Everest disaster&lt;/a&gt;. (The subtitle seems somewhat disrespectful. If you define "disaster" as multiple people dying in a single summit attempt, then this happens &lt;a href="https://en.wikipedia.org/wiki/List_of_people_who_died_climbing_Mount_Everest#Fatalities"&gt;fairly regularly&lt;/a&gt;, thus it is not &lt;i&gt;the&lt;/i&gt; disaster, but rather &lt;i&gt;the 1996&lt;/i&gt; disaster. However, being published in 1997, there had only been a few multi-death events.)&lt;br/&gt;&lt;br/&gt;The book provides a list of people and their affiliations, which makes it a lot easier to keep track of who's who, and a map of the route taken from Everest base camp to the summit.&lt;br/&gt;&lt;br/&gt;Krakauer provides a history of Everest throughout the book, from the initial &lt;a href="https://en.wikipedia.org/wiki/Edmund_Hillary"&gt;Hillary&lt;/a&gt; and &lt;a href="https://en.wikipedia.org/wiki/Tenzing_Norgay"&gt;Tenzing&lt;/a&gt; ascent to modern-day climbs, as well as the progression of the climbing itself and culture behind it. People often think climbing Everest is a simple task: go to Nepal/Tibet (there's a Tibet route), acclimate to the altitude, rent some O2 tanks, then get yourself up to the top. In reality, it is an extremely expensive ($11,000 permit just to be allowed to climb from the Nepal side) and time-consuming (two months is about average summit time) adventure. Teams will hire base camp managers just to coordinate resources for getting up the mountain. Included in this history is Krakauer's expeditions's lead guide &lt;a href="https://en.wikipedia.org/wiki/Rob_Hall"&gt;Rob Hall&lt;/a&gt;'s climbing experience.&lt;br/&gt;&lt;br/&gt;&lt;a href="https://en.wikipedia.org/wiki/Sherpa_people"&gt;Sherpa&lt;/a&gt; culture is described more in-depth than expected. Their superstitions, competitiveness for climbing bids, and traditions are explained in the context of climbing Everest.&lt;br/&gt;&lt;br/&gt;Climbing terms and concepts are explained as needed for those that are unfamiliar.&lt;br/&gt;&lt;br/&gt;The summit trip began on May 6 and is described extremely in-depth. Krakauer provides everyone's movements and survivor's experiences. Krakauer is one of the first to get back to Camp Four safely, unaware of the other climbers experiencing the storm higher up on the mountain.&lt;br/&gt;&lt;br/&gt;Krakauer reflects on the decisions both he and others made while up on the mountain. However, the brain behaves significantly differently when hypoxic (almost impossible to avoid at Everest-level altitudes) and under extreme fatigue (both from lack of sleep and physical exertion).&lt;br/&gt;&lt;br/&gt;The last 50-ish pages account the evacuation of the injured off the mountain and Krakauer's personal dealings with what happened.&lt;br/&gt;&lt;br/&gt;A postscript is provided to refute &lt;a href="https://en.wikipedia.org/wiki/Anatoli_Boukreev"&gt;Anatoli Boukreev&lt;/a&gt;'s book &lt;a href="https://www.goodreads.com/book/show/925367.The_Climb?ac=1&amp;from_search=true&amp;qid=7KSpx3LmL3&amp;rank=1"&gt;&lt;i&gt;The Climb&lt;/i&gt;&lt;/a&gt; and the criticisms of &lt;i&gt;Into Thin Air&lt;/i&gt;. Boukreev was a lead guide for another expedition who descended from the summit long before many of his expedition's clients made it up. A quote from the book describing Boukreev's guide philosophy: "... strongly held opinions about how the mountain should be ascended. He was quite outspoken in his belief that it was a mistake for guides to pamper their clients. 'If client cannot climb Everest without big help from guide, this client should not be on Everest. Otherwise there can be big problems up high.'" &lt;br/&gt;&lt;br/&gt; Further reading:&lt;br/&gt;- &lt;a href="https://www.goodreads.com/book/show/544564.Kiss_or_Kill?ac=1&amp;from_search=true&amp;qid=I3m3dPahoA&amp;rank=4"&gt;&lt;i&gt;Kiss or Kill: Confessions of a Serial Mountain Climber&lt;/i&gt;&lt;/a&gt; by Mark Twight</t>
  </si>
  <si>
    <t>The Death of Ivan Ilyich and Confession</t>
  </si>
  <si>
    <t>Leo Tolstoy</t>
  </si>
  <si>
    <t>Tolstoy, Leo</t>
  </si>
  <si>
    <t>Peter Carson, Mary Beard</t>
  </si>
  <si>
    <t>Liveright</t>
  </si>
  <si>
    <t>Goldman Sachs: The Culture Of Success</t>
  </si>
  <si>
    <t>Lisa Endlich</t>
  </si>
  <si>
    <t>Endlich, Lisa</t>
  </si>
  <si>
    <t>Touchstone</t>
  </si>
  <si>
    <t>I am often in a pickle with some of the non-fiction books I read. The research that goes into some of them is easily five-star-quality, but the topic is so dull (to me!) that my enjoyment is a mere one- or two-star. Using this type of two-quality rating system, &lt;i&gt;Goldman Sachs: The Culture of Success&lt;/i&gt; deserves a solid three stars: five for research, thoroughness, and analysis, and one for my personal satisfaction.&lt;br/&gt;&lt;br/&gt;Lisa Endlich, a former GS VP and trader, lays out the complete history of Goldman Sachs during its privately-owned days (inception up to May 1999, when the company went public). Chapters are separated by years, some short (Chapter 4 is 1990-1991) and some long (Chapter 2 is 1869-1976).&lt;br/&gt;&lt;br/&gt;In discussing the history, the expansion into foreign/emerging markets and new geographical places is focused on. There was often debate between GS becoming a jack of all trades and master of none, or focusing on a select few business divisions and becoming the best in those. In the end, they essentially decided both. Without expanding into new businesses, the firm would not be able to expand as they wanted to.&lt;br/&gt;&lt;br/&gt;Partnership is one of the common themes you will see throughout the book. To become a partner means you've made it, plain and simple. It is an exclusive, prestigious club that only a select few get the privilege of becoming a part of. Partners were inducted every X years (I forgot exactly, may be X = 1) after a lengthy, intense, and argumentative session about who should be chosen and who should be left behind. Some left the firm after being told this wasn't their year, feeling betrayed after giving their working life to the firm.&lt;br/&gt;&lt;br/&gt;The subtitle, &lt;i&gt;The Culture of Success&lt;/i&gt;, is also a common theme. At GS, you must be a contributor (why is this not a policy everywhere?), else you will see the door very quickly. GS attempted to recruit the smartest, hardest-working people, especially those who would put the firm at the top of their priorities. Through this selection process, the firm's culture of success and competitiveness was created.&lt;br/&gt;&lt;br/&gt;While I'm sure the media contributes to the &lt;a href="https://fortune.com/2016/04/11/goldman-sachs-doj-settlement/&gt;modern-day image of GS&lt;/a&gt; (sorry for paywall, but the headline is enough to make the point&lt;/a&gt; and bankers in general, none of its misdeeds are discussed in the book, not that it was expected. A few quotes (I can't find them in the book, so take my word) struck me as funny after a GS event (see below) a few years ago: they stress the idea that customers are first and foremost in ensuring the successfulness of GS. &lt;a href="https://www.youtube.com/watch?v=jS9r1Dk-Zg8&amp;feature=youtu.be&amp;t=45"&gt;GS took a position against the product they were selling to customers&lt;/a&gt;, yet Blankfein continues to defend his firm's actions... How!&lt;br/&gt;&lt;br/&gt;The later chapters are devoted to the discussion of &lt;a href="https://www.goldmansachs.com/investor-relations/financials/archived/other-information/ipo-prospectus-gs-pdf-file.pdf"&gt;GS's famous IPO&lt;/a&gt;. &lt;a href="https://en.wikipedia.org/wiki/Jon_Corzine"&gt;Jon Corzine&lt;/a&gt;, former trader and then-CEO, was instrumental in convincing the partnership of selling the company to the public. This decision was made over the course of many, many years, roundtables, and hours of analysis and thinking. The IPO did not come fast enough from their final "yes", though. The market soon tumbled, and what was going to make some of the top partners $100MM+ richer soon went down into a measly (ha!) 8-figure range.&lt;br/&gt;&lt;br/&gt;Some amount of financial literacy and understanding of how markets operate would help, but is not necessary.&lt;br/&gt;&lt;br/&gt;For similar books, see &lt;a href="https://archive.fortune.com/magazines/fortune/fortune_archive/2005/03/21/8254826/index.htm"&gt;Fortune's &lt;i&gt;The Smartest [Business] Books We Know&lt;/i&gt;&lt;/a&gt;. I especially enjoyed &lt;a href="https://www.goodreads.com/book/show/113576.The_Smartest_Guys_in_the_Room?ac=1&amp;from_search=true&amp;qid=lW8VGgWHFZ&amp;rank=4"&gt;&lt;i&gt;The Smartest Guys in the Room&lt;/i&gt;&lt;/a&gt;.</t>
  </si>
  <si>
    <t>In Xanadu: A Quest</t>
  </si>
  <si>
    <t>William Dalrymple</t>
  </si>
  <si>
    <t>Dalrymple, William</t>
  </si>
  <si>
    <t>Lonely Planet Publications</t>
  </si>
  <si>
    <t>to-read (#195)</t>
  </si>
  <si>
    <t>Cartridges of the World: A Complete and Illustrated Reference for Over 1500 Cartridges</t>
  </si>
  <si>
    <t>Frank C. Barnes</t>
  </si>
  <si>
    <t>Barnes, Frank C.</t>
  </si>
  <si>
    <t>Stan Skinner</t>
  </si>
  <si>
    <t>Gun Digest Books</t>
  </si>
  <si>
    <t>to-read (#194)</t>
  </si>
  <si>
    <t>Mountaineering Essays</t>
  </si>
  <si>
    <t>John Muir</t>
  </si>
  <si>
    <t>Muir, John</t>
  </si>
  <si>
    <t>Peregrine Smith Books</t>
  </si>
  <si>
    <t>to-read (#193)</t>
  </si>
  <si>
    <t>Around the World in Eighty Days (Extraordinary Voyages, #11)</t>
  </si>
  <si>
    <t>Jules Verne</t>
  </si>
  <si>
    <t>Verne, Jules</t>
  </si>
  <si>
    <t>Michael Glencross, Brian W. Aldiss</t>
  </si>
  <si>
    <t>Resurrection Man</t>
  </si>
  <si>
    <t>Eoin McNamee</t>
  </si>
  <si>
    <t>McNamee, Eoin</t>
  </si>
  <si>
    <t>Faber</t>
  </si>
  <si>
    <t>to-read (#192)</t>
  </si>
  <si>
    <t>Blind Man's Bluff: The Untold Story of American Submarine Espionage</t>
  </si>
  <si>
    <t>Sherry Sontag</t>
  </si>
  <si>
    <t>Sontag, Sherry</t>
  </si>
  <si>
    <t>Christopher Drew, Annette Lawrence Drew</t>
  </si>
  <si>
    <t>William Morrow Paperbacks</t>
  </si>
  <si>
    <t>to-read (#191)</t>
  </si>
  <si>
    <t>Four Ball, One Tracer: Commanding Executive Outcomes in Angola and Sierra Leone</t>
  </si>
  <si>
    <t>Roelf Van Heerden</t>
  </si>
  <si>
    <t>Heerden, Roelf Van</t>
  </si>
  <si>
    <t>Andrew Hudson</t>
  </si>
  <si>
    <t>Helion &amp; Company</t>
  </si>
  <si>
    <t>to-read (#190)</t>
  </si>
  <si>
    <t>Midnight Express</t>
  </si>
  <si>
    <t>Billy Hayes</t>
  </si>
  <si>
    <t>Hayes, Billy</t>
  </si>
  <si>
    <t>William Hoffer</t>
  </si>
  <si>
    <t>Curly Brains Press</t>
  </si>
  <si>
    <t>As the description states, &lt;i&gt;Midnight Express&lt;/i&gt; details the experience of &lt;a href="https://en.wikipedia.org/wiki/Billy_Hayes_(writer%2C_born_1947)"&gt;Billy Hayes&lt;/a&gt;, an American who was sentenced to life imprisonment (commuted to 30 years) for attempting to smuggle hashish through Turkey back to the U.S.&lt;br/&gt;&lt;br/&gt;While I have not been to any prison, some aspects of Turkish prison life seem quite nice compared to what I've heard from former U.S. inmates. Food is allowed to be purchased, guards take bribes willingly (not sure about this one in the U.S.), and if you escape and make it out of Turkey, they will likely not pursue you, with the unspoken agreement that you will never step foot onto Turkish soil again. In the case of the prison Hayes spent most of his time in, children were in an adjacent facility, allowing them to play ball together during recesses.&lt;br/&gt;&lt;br/&gt;Smuggling was commonplace throughout the prisons. Hashish (wait, what?), drugs, and other items were smuggled in by various means, such as outside workers, and sold to inmates. Billy received money hidden in books sent to him.&lt;br/&gt;&lt;br/&gt;The frustration of the bureaucratic process of Hayes' case is embedded in the text. He constantly writes to a U.S. official at the embassy for assistance, but doesn't hear back for weeks at a time, only to find out the case has moved nowhere. Turkish lawyers give Hayes hope of early release after charging him hundreds or thousand of lira, then claim they haven't been able to make progress or what they said earlier didn't hold. On the bright side, Hayes' sentence was commuted several times: originally sentenced to four years, the charge was changed to smuggling from possession resulting in a standard length of life. After being bumped down to 30 years, he was granted amnesty and the sentence again commuted. Finally, good behavior knocks off a third of your final sentence length. This left Hayes with a grand total of about seven years in prison.&lt;br/&gt;&lt;br/&gt;After trying multiple avenues of both legal and illegal escape (using U.S. clout, getting transferred to an insane asylum, attempting to use a file to cut the bars on his window), he settled on escaping from an island prison. Hayes swam out to anchored fishing boats, stole a small dingy, then rowed to shore, where he poorly disguised himself and was able to make his way to Greece. He was captured by Greek forces, interrogated (nicely) for a few weeks, then finally deported back to the U.S.&lt;br/&gt;&lt;br/&gt;Hayes also discusses his emotional state throughout his imprisonment in regards to his parents (specifically his father), his lover (Lillian), and friendships (and sexual relations) with fellow inmates. "The emotional coldness of prison life was worth than the physical cold. Loneliness is an aching pain." Massive guilt is felt about his crime and how it has affected his parents, especially after his father's warnings about dropping out of university and going to travel the world would get him into "trouble". His father was significantly impacted financially due to lawyer fees and travel costs (later helped by the book's advance money). His lover, Lillian, was extremely supportive during his imprisonment and played a significant role in making it easier on him. Some friendships were formed, one of which turned into a sexual one through a basic need for human touch and love.&lt;br/&gt;&lt;br/&gt;I think Hayes did a good job of describing both what prison life is like on the body, mind, and soul. My one takeaway (that was already well ingrained in me): don't go to prison!&lt;br/&gt;&lt;br/&gt;Some further videos to watch: Wes Watson, a former &lt;a href="https://www.urbandictionary.com/define.php?term=shot%20caller"&gt;shot caller&lt;/a&gt; in a California state prison gang, discusses his experiences in prison and why you never, ever want to go there. While the stories can't be completely corroborated, they are not unreasonable to believe. This should further viewers' desires not to end up in prison one day. &lt;a href="https://www.youtube.com/channel/UCWUxLYGeeIKxxioUqL54Q8g"&gt;Channel here&lt;/a&gt;. My favorites: &lt;a href="https://www.youtube.com/watch?v=Ie41Proeqsc"&gt;Prison Gangs- You Have No Choice&lt;/a&gt; and &lt;a href="https://www.youtube.com/watch?v=pceh7v7N09I"&gt;Prison Gangs- The SHU&lt;/a&gt;.</t>
  </si>
  <si>
    <t>Fantastic Mr. Fox</t>
  </si>
  <si>
    <t>Roald Dahl</t>
  </si>
  <si>
    <t>Dahl, Roald</t>
  </si>
  <si>
    <t>Quentin Blake</t>
  </si>
  <si>
    <t>Knopf Books for Young Readers</t>
  </si>
  <si>
    <t>James and the Giant Peach</t>
  </si>
  <si>
    <t xml:space="preserve">Alfred A. Knopf </t>
  </si>
  <si>
    <t>The BFG</t>
  </si>
  <si>
    <t>Puffin Books</t>
  </si>
  <si>
    <t>Matilda</t>
  </si>
  <si>
    <t>Tactical Barbell II: Conditioning</t>
  </si>
  <si>
    <t>K. Black</t>
  </si>
  <si>
    <t>Black, K.</t>
  </si>
  <si>
    <t>Zulu23 Group</t>
  </si>
  <si>
    <t>Harrison Bergeron</t>
  </si>
  <si>
    <t>Kurt Vonnegut Jr.</t>
  </si>
  <si>
    <t>Jr., Kurt Vonnegut</t>
  </si>
  <si>
    <t>The Magazine of Fantasy and Science Fiction</t>
  </si>
  <si>
    <t>to-read (#189)</t>
  </si>
  <si>
    <t>Tuck Everlasting</t>
  </si>
  <si>
    <t>Natalie Babbitt</t>
  </si>
  <si>
    <t>Babbitt, Natalie</t>
  </si>
  <si>
    <t>Farrar Straus Giroux</t>
  </si>
  <si>
    <t>to-read (#188)</t>
  </si>
  <si>
    <t>In the Garden of Beasts: Love, Terror, and an American Family in Hitler's Berlin</t>
  </si>
  <si>
    <t>Erik Larson</t>
  </si>
  <si>
    <t>Larson, Erik</t>
  </si>
  <si>
    <t>Crown</t>
  </si>
  <si>
    <t>&lt;i&gt;In the Garden of Beasts&lt;/i&gt; details the life of United States Ambassador to Germany &lt;a href="https://en.wikipedia.org/wiki/William_Dodd_(ambassador)"&gt;William Dodd&lt;/a&gt; while living in Berlin from 1933-1937. There is also sufficient coverage of his life before the ambassadorship and after his forced resignation.&lt;br/&gt;&lt;br/&gt;Dodd, a professor of American history at University of Chicago focusing on the American South, was recommended to Roosevelt by an old friend. Having completed his PhD studies at Leipzig University in German, he was already familiar with the culture and language and could hit the ground running when he arrived. He hesitantly accepted and brought his family: wife, Mattie, daughter, Martha, and son, Bill Jr.&lt;br/&gt;&lt;br/&gt;The book focuses mostly on Dodd, but a good portion is also spent on Martha and her various love affairs and doings in Berlin. Martha starts out as a Nazi sympathizer, claiming they are simply proud of their country and wanting the best for it after the disastrous WWI. She is courted by multiple Nazis, including Gestapo chief &lt;a href="https://en.wikipedia.org/wiki/Rudolf_Diels"&gt;Rudolf Diels&lt;/a&gt;, and a Russian secretly working for the NKVD (Russian secret police). Her support for the Nazi party gradually wanes as she experiences more violence and discontent among German citizens.&lt;br/&gt;&lt;br/&gt;Multiple people (called the Pretty Good Club (this is the only &lt;a href="https://www.amazon.com/pretty-good-club-founding-fathers/dp/0393056589"&gt;book&lt;/a&gt; I can find on them)) in the State Department were not fans of Dodd due to his lack of prestigious upbringing (read: lack of Ivy League education) and wealth. Due to the Great Depression happening in the U.S., Dodd insisted that he should live within his modest $17500 salary. This included driving his rather outdated Chevrolet or even walking to work. These seemingly innocent actions infuriated PGC, as it insulted and tainted the prestige of the ambassador position. I must agree with Dodd's position here, even if it is a bit extreme. He cites other U.S. officials and their relatively small families living in massive homes with opulent decor and numerous servants, all of which is unnecessary (a subjective word, but likely to be generally agreed upon). Passive aggressive letters were sent by the PGC in response to Dodd's, and other letters Dodd sent that were explicitly said to be confidential were leaked to the press to stir disfavor.&lt;br/&gt;&lt;br/&gt;The naivety of Dodd and other U.S. officials surprised me. While hindsight is 20/20, the gross transgressions against U.S. citizens in Germany and the gradual restriction of Jewish rights/privileges should have been dealt with more severely. Several times the German &lt;a href="https://en.wikipedia.org/wiki/Sturmabteilung"&gt;SA&lt;/a&gt; attacked U.S. citizens for minor (although major for them) issues, like not saluting while a parade was going on. Nazi officials placated Dodd and others by promising these members would be brought to justice and that this type of behavior was an abnormality.&lt;br/&gt;&lt;br/&gt;Major events leading up to the peak of Nazi Germany are discussed: purges (&lt;a href="https://en.wikipedia.org/wiki/Night_of_the_Long_Knives"&gt;Night of the Long Knives&lt;/a&gt;), &lt;a href="https://en.wikipedia.org/wiki/Law_in_Nazi_Germany#Laws"&gt;controversial laws&lt;/a&gt;, &lt;a href="https://en.wikipedia.org/wiki/Adolf_Hitler#Dictatorship"&gt;changes in the governmental structure&lt;/a&gt; (the most significant, in my opinion, was the death of German president Hindenburg and Hitler's immediate consolidation of the position of president and chancellor, which effectively gave him complete control of the government), and events that affected the U.S.-Germany relationship (1934 Mock Trial of Hitler), among many others.&lt;br/&gt;&lt;br/&gt;In the Sources and Acknowledgment sections, Larson discusses his sources and which ones were more valuable for his "particular parcel of ground", rather than just general histories of Nazi Germany or WWII. &lt;a href="https://www.goodreads.com/book/show/34442928-ambassador-dodd-s-diary?ac=1&amp;from_search=true&amp;qid=nkLomb0q1e&amp;rank=1"&gt;&lt;i&gt;Ambassador Dodd's Diary&lt;/i&gt;&lt;/a&gt; (no reviews??) and Martha's memoir, &lt;a href="https://www.goodreads.com/book/show/11726930-through-embassy-eyes?ac=1&amp;from_search=true&amp;qid=kazTAuW6hp&amp;rank=1"&gt;&lt;i&gt;Through Embassy Eyes&lt;/i&gt;&lt;/a&gt;, were particularly helpful in getting a glimpse into both of their thought processes and obtaining direct quotes. University libraries (Yale, Harvard, Columbia) and public resources were also used. Larson explains his careful cross-examination of sources to verify information. This section is greatly appreciated - it gives credibility to the information and the further reading can be especially guiding to those interested in this topic/time period. A standard list of sources is included after the source discussion.&lt;br/&gt;&lt;br/&gt;Overall, an excellent book that provides a unique perspective that I, and likely many others, never considered. I highly recommend reading this book.</t>
  </si>
  <si>
    <t>Our Man in Havana</t>
  </si>
  <si>
    <t>Graham Greene</t>
  </si>
  <si>
    <t>Greene, Graham</t>
  </si>
  <si>
    <t>Penguin/Twentieth Century Classics</t>
  </si>
  <si>
    <t>to-read (#187)</t>
  </si>
  <si>
    <t>Marley and Me: Life and Love With the World's Worst Dog</t>
  </si>
  <si>
    <t>John Grogan</t>
  </si>
  <si>
    <t>Grogan, John</t>
  </si>
  <si>
    <t>William Morrow; 1ST edition</t>
  </si>
  <si>
    <t>What If? Serious Scientific Answers to Absurd Hypothetical Questions</t>
  </si>
  <si>
    <t>Randall Munroe</t>
  </si>
  <si>
    <t>Munroe, Randall</t>
  </si>
  <si>
    <t>Houghton Mifflin Harcourt</t>
  </si>
  <si>
    <t>to-read (#186)</t>
  </si>
  <si>
    <t>Into the Wild</t>
  </si>
  <si>
    <t>to-read (#185)</t>
  </si>
  <si>
    <t>The Devil in the White City</t>
  </si>
  <si>
    <t>Tony Goldwyn</t>
  </si>
  <si>
    <t>Random House Audio Publishing Group</t>
  </si>
  <si>
    <t>Audio Cassette</t>
  </si>
  <si>
    <t>to-read (#184)</t>
  </si>
  <si>
    <t>Unbroken: A World War II Story of Survival, Resilience and Redemption</t>
  </si>
  <si>
    <t>Laura Hillenbrand</t>
  </si>
  <si>
    <t>Hillenbrand, Laura</t>
  </si>
  <si>
    <t>to-read (#183)</t>
  </si>
  <si>
    <t>Team of Rivals: The Political Genius of Abraham Lincoln</t>
  </si>
  <si>
    <t>Doris Kearns Goodwin</t>
  </si>
  <si>
    <t>Goodwin, Doris Kearns</t>
  </si>
  <si>
    <t>Simon &amp; Schuster</t>
  </si>
  <si>
    <t>to-read (#182)</t>
  </si>
  <si>
    <t>The Great Silence: Science and Philosophy of Fermi's Paradox</t>
  </si>
  <si>
    <t>Milan M. ƒÜirkoviƒá</t>
  </si>
  <si>
    <t>ƒÜirkoviƒá, Milan M.</t>
  </si>
  <si>
    <t>Oxford University Press, USA</t>
  </si>
  <si>
    <t>to-read (#181)</t>
  </si>
  <si>
    <t>Moby-Dick or, the Whale</t>
  </si>
  <si>
    <t>Herman Melville</t>
  </si>
  <si>
    <t>Melville, Herman</t>
  </si>
  <si>
    <t>Andrew Delbanco, Tom Quirk</t>
  </si>
  <si>
    <t>to-read (#180)</t>
  </si>
  <si>
    <t>A Tale of Two Cities</t>
  </si>
  <si>
    <t>Charles Dickens</t>
  </si>
  <si>
    <t>Dickens, Charles</t>
  </si>
  <si>
    <t>Richard Maxwell</t>
  </si>
  <si>
    <t>Uncle Tom's Cabin</t>
  </si>
  <si>
    <t>Harriet Beecher Stowe</t>
  </si>
  <si>
    <t>Stowe, Harriet Beecher</t>
  </si>
  <si>
    <t>Wordsworth Classics</t>
  </si>
  <si>
    <t>to-read (#179)</t>
  </si>
  <si>
    <t>Of Mice and Men</t>
  </si>
  <si>
    <t>to-read (#178)</t>
  </si>
  <si>
    <t>2001: A Space Odyssey (Space Odyssey, #1)</t>
  </si>
  <si>
    <t>Arthur C. Clarke</t>
  </si>
  <si>
    <t>Clarke, Arthur C.</t>
  </si>
  <si>
    <t>Roc</t>
  </si>
  <si>
    <t>to-read (#177)</t>
  </si>
  <si>
    <t>The Martian</t>
  </si>
  <si>
    <t>Andy Weir</t>
  </si>
  <si>
    <t>Weir, Andy</t>
  </si>
  <si>
    <t>to-read (#176)</t>
  </si>
  <si>
    <t>The Jungle Book</t>
  </si>
  <si>
    <t>Rudyard Kipling</t>
  </si>
  <si>
    <t>Kipling, Rudyard</t>
  </si>
  <si>
    <t>Tor Classics</t>
  </si>
  <si>
    <t>to-read (#175)</t>
  </si>
  <si>
    <t>Game Changer: AlphaZero's Groundbreaking Chess Strategies and the Promise of AI</t>
  </si>
  <si>
    <t>Matthew Sadler</t>
  </si>
  <si>
    <t>Sadler, Matthew</t>
  </si>
  <si>
    <t>Natasha Regan</t>
  </si>
  <si>
    <t>New in Chess</t>
  </si>
  <si>
    <t>to-read (#174)</t>
  </si>
  <si>
    <t>Tactical Barbell: Definitive Strength Training for the Operational Athlete</t>
  </si>
  <si>
    <t>K Black</t>
  </si>
  <si>
    <t>Black, K</t>
  </si>
  <si>
    <t>Createspace Independent Publishing Platform</t>
  </si>
  <si>
    <t>War and Peace</t>
  </si>
  <si>
    <t>Richard Pevear, Larissa Volokhonsky</t>
  </si>
  <si>
    <t>www.vintagebooks.com</t>
  </si>
  <si>
    <t>to-read (#173)</t>
  </si>
  <si>
    <t>Thinking, Fast and Slow</t>
  </si>
  <si>
    <t>Daniel Kahneman</t>
  </si>
  <si>
    <t>Kahneman, Daniel</t>
  </si>
  <si>
    <t>Farrar, Straus and Giroux</t>
  </si>
  <si>
    <t>to-read (#172)</t>
  </si>
  <si>
    <t>Kiss or Kill: Confessions of a Serial Climber</t>
  </si>
  <si>
    <t>Mountaineers Books</t>
  </si>
  <si>
    <t>I first heard of &lt;a href="https://en.wikipedia.org/wiki/Mark_Twight"&gt;Mark Twight&lt;/a&gt; back into 2010 through &lt;a href="https://gymjones.com/"&gt;Gym Jones&lt;/a&gt;, a "cult"gym in Salt Lake City. Their approach to and mindset about training was quite different from Globo Gyms (of course) and even other non-conventional training methods, like Crossfit. You can see more about Gym Jones philosophy &lt;a href="https://gymjones.com/knowledge/articles"&gt;here&lt;/a&gt;.&lt;br/&gt;&lt;br/&gt;Kiss or Kill is not a traditional book, but rather a series of Twight's essays concatenated together with pictures of various mountains, climbing, and other things, such as &lt;a href="https://cdn.shopify.com/s/files/1/1066/1020/files/img086_Email_Lr.jpg?13387639341954045433"&gt;this photo&lt;/a&gt;, captioned "Saying hello and goodbye to France, and the press in general." These essays were all penned pre-2001 (publication date), so Twight includes a "2000 Author's Note" at the end of each to reflect on what he thinks of the essays now and anything left unwritten.&lt;br/&gt;&lt;br/&gt;The essays are a combination of Twight's philosophy and climbing stories (with his philosophy indirectly explained). &lt;br/&gt;&lt;br/&gt;His &lt;b&gt;obsession&lt;/b&gt; (that's what it is, no less) with climbing is impressive. He ruined relationships (both friendships and marriages) and risked in his life many a time in pursuit of pushing the limits of &lt;a href="https://en.wikipedia.org/wiki/Mountaineering#Alpine_style"&gt;alpining&lt;/a&gt;. He remains cognizant of his decisions and how they affected both himself and others, yet continues in this fashion to keep doing what he loves: climbing mountains.&lt;br/&gt;&lt;br/&gt;His writing is surprisingly good, both in describing his thought processes and the &lt;a href="https://en.wikipedia.org/wiki/Mark_Twight#Climbing"&gt;insane climbs he and others completed and attempted&lt;/a&gt;.&lt;br/&gt;&lt;br/&gt;&lt;a href="https://equipesolitaire.com/blogs/discourse/84418756-twitching-with-twight"&gt;Twitching With Twight&lt;/a&gt; (5 min read) does the best job of describing Twight's philosophy without embedding it into a climbing story. Twight lives by this without deviation. He learned the reality of his own selfishness. He lived with commitment to his climbing career and nothing else. Most importantly, he lived for himself and no one else (not surprisingly, he acknowledges Ayn Rand at the end).&lt;br/&gt;&lt;br/&gt;Overall, any mountaineer/alpinist would likely enjoy this book for its history aspect (Twight made the first ascents on quite a few routes), while non-climbers may still find it interesting for its imagery. Climbing aside, everyone can learn something from his philosophy.</t>
  </si>
  <si>
    <t>Operators and Things: The Inner Life of a Schizophrenic</t>
  </si>
  <si>
    <t>Barbara O'Brien</t>
  </si>
  <si>
    <t>O'Brien, Barbara</t>
  </si>
  <si>
    <t>A. S. Barnes</t>
  </si>
  <si>
    <t>to-read (#171)</t>
  </si>
  <si>
    <t>Why I Am Not a Christian</t>
  </si>
  <si>
    <t>Bertrand Russell</t>
  </si>
  <si>
    <t>Russell, Bertrand</t>
  </si>
  <si>
    <t>Simon Blackburn</t>
  </si>
  <si>
    <t>Routledge</t>
  </si>
  <si>
    <t>to-read (#170)</t>
  </si>
  <si>
    <t>The Gay Science</t>
  </si>
  <si>
    <t>Friedrich Nietzsche</t>
  </si>
  <si>
    <t>Nietzsche, Friedrich</t>
  </si>
  <si>
    <t>Walter Kaufmann</t>
  </si>
  <si>
    <t>Mass Market Paperback</t>
  </si>
  <si>
    <t>to-read (#169)</t>
  </si>
  <si>
    <t>The Sun Also Rises</t>
  </si>
  <si>
    <t>Ernest Hemingway</t>
  </si>
  <si>
    <t>Hemingway, Ernest</t>
  </si>
  <si>
    <t>Pan Books</t>
  </si>
  <si>
    <t>to-read (#168)</t>
  </si>
  <si>
    <t>A Farewell to Arms</t>
  </si>
  <si>
    <t>Arrow Books</t>
  </si>
  <si>
    <t>to-read (#167)</t>
  </si>
  <si>
    <t>For Whom the Bell Tolls</t>
  </si>
  <si>
    <t>Mete Ergin, Mustafa Bahar</t>
  </si>
  <si>
    <t>Scribner</t>
  </si>
  <si>
    <t>to-read (#166)</t>
  </si>
  <si>
    <t>The First World War: A Complete History</t>
  </si>
  <si>
    <t>Martin  Gilbert</t>
  </si>
  <si>
    <t>Gilbert, Martin</t>
  </si>
  <si>
    <t>Holt McDougal</t>
  </si>
  <si>
    <t>to-read (#165)</t>
  </si>
  <si>
    <t>The A to Z of Sexspionage</t>
  </si>
  <si>
    <t>Nigel West</t>
  </si>
  <si>
    <t>West, Nigel</t>
  </si>
  <si>
    <t>Scarecrow Press</t>
  </si>
  <si>
    <t>Disclaimer: I did not read the entire book, just the "A" section and skimmed important cases from the remaining 25 sections (yes, it's literally A to Z).&lt;br/&gt;&lt;br/&gt;The book begins with a chronology of major sexspionage cases and an introduction into what sexspionage is and how it's used in modern espionage.&lt;br/&gt;&lt;br/&gt;The main part of the book is a comprehensive dictionary of sexspionage cases conducted by all nations (U.S., Russia, Cuba, etc). Each case is thoroughly detailed with names, dates, locations, explanations, and conclusions (to both the case itself and the individual). References to other cases are also included when applicable.&lt;br/&gt;&lt;br/&gt;Important cases include the following: Aldrich Ames, Robert Hanssen, Martin Luther King Jr., &lt;a href="https://en.wikipedia.org/wiki/Special_Operations_Executive"&gt;Special Operations Executive&lt;/a&gt;, and Leon Trotsky. Concepts/definitions and their applications and history are defined, such as homosexuality and profiling.&lt;br/&gt;&lt;br/&gt;Sexspionage is an important subset of espionage and intelligence and a good book to have at least skimmed for an espionage history enthusiast. Nigel West is an acclaimed intelligence author and has other dictionary-type books on British intelligence, international intelligence, and Cold War counterintelligence.</t>
  </si>
  <si>
    <t>Years of Renewal (Henry Kissinger's Memoirs #3)</t>
  </si>
  <si>
    <t>Henry Kissinger</t>
  </si>
  <si>
    <t>Kissinger, Henry</t>
  </si>
  <si>
    <t>Touchstone Books</t>
  </si>
  <si>
    <t>to-read (#164)</t>
  </si>
  <si>
    <t>Years of Upheaval</t>
  </si>
  <si>
    <t>Random House Value Publishing</t>
  </si>
  <si>
    <t>to-read (#163)</t>
  </si>
  <si>
    <t>The White House Years</t>
  </si>
  <si>
    <t>Little Brown and Cmpany</t>
  </si>
  <si>
    <t>to-read (#162)</t>
  </si>
  <si>
    <t>Frankenstein</t>
  </si>
  <si>
    <t>Mary Wollstonecraft Shelley</t>
  </si>
  <si>
    <t>Shelley, Mary Wollstonecraft</t>
  </si>
  <si>
    <t>Charlotte Gordon</t>
  </si>
  <si>
    <t>Fahrenheit 451</t>
  </si>
  <si>
    <t>Ray Bradbury</t>
  </si>
  <si>
    <t>Bradbury, Ray</t>
  </si>
  <si>
    <t>Censored: Distraction and Diversion Inside China's Great Firewall</t>
  </si>
  <si>
    <t>Margaret E. Roberts</t>
  </si>
  <si>
    <t>Roberts, Margaret E.</t>
  </si>
  <si>
    <t>Princeton University Press</t>
  </si>
  <si>
    <t>to-read (#161)</t>
  </si>
  <si>
    <t>The Great Firewall of China: How to Build and Control an Alternative Version of the Internet</t>
  </si>
  <si>
    <t>James  Griffiths</t>
  </si>
  <si>
    <t>Griffiths, James</t>
  </si>
  <si>
    <t>Zed Books</t>
  </si>
  <si>
    <t>to-read (#160)</t>
  </si>
  <si>
    <t>The Prince</t>
  </si>
  <si>
    <t>Niccol√≤ Machiavelli</t>
  </si>
  <si>
    <t>Machiavelli, Niccol√≤</t>
  </si>
  <si>
    <t>Rufus Goodwin, Benjamin Martinez</t>
  </si>
  <si>
    <t>Dante University of America Press</t>
  </si>
  <si>
    <t>to-read (#159)</t>
  </si>
  <si>
    <t>I Am Legend</t>
  </si>
  <si>
    <t>Richard Matheson</t>
  </si>
  <si>
    <t>Matheson, Richard</t>
  </si>
  <si>
    <t>George Clayton Johnson, Dan Simmons, Dennis Etchison</t>
  </si>
  <si>
    <t>Gauntlet Publications</t>
  </si>
  <si>
    <t>Leather Bound</t>
  </si>
  <si>
    <t>to-read (#158)</t>
  </si>
  <si>
    <t>Engines of Creation: The Coming Era of Nanotechnology</t>
  </si>
  <si>
    <t>K. Eric Drexler</t>
  </si>
  <si>
    <t>Drexler, K. Eric</t>
  </si>
  <si>
    <t>Marvin Minsky</t>
  </si>
  <si>
    <t>to-read (#157)</t>
  </si>
  <si>
    <t>The Boy in the Striped Pajamas</t>
  </si>
  <si>
    <t>John Boyne</t>
  </si>
  <si>
    <t>Boyne, John</t>
  </si>
  <si>
    <t>David Fickling Books</t>
  </si>
  <si>
    <t>The Mysterious Affair at Styles (Hercule Poirot, #1)</t>
  </si>
  <si>
    <t>Deodand</t>
  </si>
  <si>
    <t>to-read (#156)</t>
  </si>
  <si>
    <t>On Combat: The Psychology and Physiology of Deadly Conflict in War and in Peace</t>
  </si>
  <si>
    <t>Dave Grossman</t>
  </si>
  <si>
    <t>Grossman, Dave</t>
  </si>
  <si>
    <t>Loren W. Christensen, Gavin de Becker</t>
  </si>
  <si>
    <t>PPCT Research Publications</t>
  </si>
  <si>
    <t>to-read (#155)</t>
  </si>
  <si>
    <t>Nothing to Envy: Ordinary Lives in North Korea</t>
  </si>
  <si>
    <t>Barbara Demick</t>
  </si>
  <si>
    <t>Demick, Barbara</t>
  </si>
  <si>
    <t>Spiegel &amp; Grau</t>
  </si>
  <si>
    <t>The book follows the lives of five North Korean defectors (NK): Mrs. Song, a mother devoted to the NK regime, Oak-hee, Mrs. Song's rebellious daughter, Dr. Kim, a medical doctor practicing in Chongjin, Jun-Sang, a high-class student at the prestigious Pyongyang University, Mi-Ran, Jun-Sang's lover and low-class teacher, and Kim Hyuck, a child turned smuggler of Chinese goods across the NK-China border.&lt;br/&gt;&lt;br/&gt;Demick does an excellent job of detailing their individual lives while also discussing NK culture and history: familial expectations, class systems, values, the formation of NK after the Korean War, and NK's relation with the rest of the world (primarily China, SK, U.S., and other multi-national organization, such as the U.N.). &lt;br/&gt;&lt;br/&gt;Each person's narrative starts from when they were devout citizens (except for Oak-hee) and ends with their current lives in SK. Their realizing that NK is not what the regime says is gradual. It begins with noticing the electricity is intermittent: sometimes it works, but most of the time it doesn't. Then it progresses to lack of food and salary. (Their assigned jobs normally gave them paychecks and foodstamp-equivalents to pay for basic items and get their three daily meal.) Salaries dwindled down to nothing and foodstamps provided three, then two, then a measly one meal per day (and even that one meal regressed in size). Propaganda offset the frustration by encouraging one meal a day to help their country and blaming capitalism for preventing food deliveries. Black markets thrived, with authorities turning a blind eye, as they were also hungry.&lt;br/&gt;&lt;br/&gt;Hunger was a large focus of the book. To make up for lack of food and lack of money to purchase food, people got creative (as we normally do when faced with a life-or-death situation). They traveled far into the countryside to raid orchards. They peeled bark off of trees, ground it into a coarse powder, then boiled it into soup, along with freshly-picked grass from the side of the road. They picked from the excrement of animals to salvage undigested food. Some opened up illegal gardens in their backyards. Roaming gangs of children, or &lt;a href="https://en.wikipedia.org/wiki/Kotjebi"&gt;kotjebi&lt;/a&gt;, would rush markets, knocking over the stall and its vendor and grabbing as much food as possible. Children were admitted to hospitals due to intense stomach aches caused by inedible items used as food that their immature stomachs couldn't process. Prostitution was common, with payment being in form of food.&lt;br/&gt;&lt;br/&gt;Another focus was propaganda and the "brainwashing" (should that really be in quotes?) of the citizens. &lt;a href="https://en.wikipedia.org/wiki/Kim_Il-sung"&gt;Kim il-Sung&lt;/a&gt; (the original leader of North Korea) died in 1994 and caused a week of lamentation across the entire country. People never considered the fact that their "Great Leader" (how they refer to him) could actually die. This caused huge concern about the future: if Kim il-Sung could die, anything could happen. Children were taught songs, one of which's had a phrase that included the title of the book. (I find this quite ironic, as it can take on two meanings. They are completely satisfied and have nothing they envy of others, or they have nothing that others would envy of them. The latter seems much more applicable.) To maintain the stature of the leader, insults or derogatory remarks about them resulted in hard labor camps (&lt;a href="https://en.wikipedia.org/wiki/Prisons_in_North_Korea"&gt; more on NK prisons here&lt;/a&gt;) and even executions (which were performed regularly). Everyone was encouraged to spy on their neighbors for any signs of lack of allegiance.&lt;br/&gt;&lt;br/&gt;One side note on NK giving up their nuclear weapons (briefly discussed in the book). I attended a lecture by &lt;a href="https://en.wikipedia.org/wiki/Winston_Lord"&gt;Winston Lord&lt;/a&gt;, who is currently on the &lt;a href="https://en.wikipedia.org/wiki/Committee_for_Human_Rights_in_North_Korea"&gt;U.S. Committee for Human Rights in North Korea&lt;/a&gt;. During the Q&amp;A portion, someone asked his thoughts about the NK nuclear situation. He was firm in his response: NK will never give up their nuclear weapons. After &lt;a href="https://en.wikipedia.org/wiki/Muammar_Gaddafi"&gt;Qaddafi&lt;/a&gt; gave up his WMDs, we left him high and dry. NK apparently (I haven't been able to find a source - please reply to this if you can find one!) released an official statement saying something along the lines of "we now know what happens when a country gives up their WMDs". While I hope denuclearization does happen, I must agree with Lord. NK's WMDs and the supposed hundreds of missiles pointing at SK are the only things stopping the regime from being removed.</t>
  </si>
  <si>
    <t>Tuesdays with Morrie</t>
  </si>
  <si>
    <t>Mitch Albom</t>
  </si>
  <si>
    <t>Albom, Mitch</t>
  </si>
  <si>
    <t>Saulius Dagys</t>
  </si>
  <si>
    <t>Warner</t>
  </si>
  <si>
    <t>The End of History and the Last Man</t>
  </si>
  <si>
    <t>Francis Fukuyama</t>
  </si>
  <si>
    <t>Fukuyama, Francis</t>
  </si>
  <si>
    <t>to-read (#154)</t>
  </si>
  <si>
    <t>Collapse: How Societies Choose to Fail or Succeed</t>
  </si>
  <si>
    <t>Jared Diamond</t>
  </si>
  <si>
    <t>Diamond, Jared</t>
  </si>
  <si>
    <t>Penguin Books Ltd. (London)</t>
  </si>
  <si>
    <t>to-read (#153)</t>
  </si>
  <si>
    <t>Born to Run: A Hidden Tribe, Superathletes, and the Greatest Race the World Has Never Seen</t>
  </si>
  <si>
    <t>Christopher McDougall</t>
  </si>
  <si>
    <t>McDougall, Christopher</t>
  </si>
  <si>
    <t>Knopf</t>
  </si>
  <si>
    <t>Educated</t>
  </si>
  <si>
    <t>Tara Westover</t>
  </si>
  <si>
    <t>Westover, Tara</t>
  </si>
  <si>
    <t>to-read (#152)</t>
  </si>
  <si>
    <t>Guns, Germs, and Steel: The Fates of Human Societies</t>
  </si>
  <si>
    <t>W.W. Norton &amp; Company</t>
  </si>
  <si>
    <t>to-read (#151)</t>
  </si>
  <si>
    <t>Freakonomics: A Rogue Economist Explores the Hidden Side of Everything</t>
  </si>
  <si>
    <t>Steven D. Levitt</t>
  </si>
  <si>
    <t>Levitt, Steven D.</t>
  </si>
  <si>
    <t>Stephen J. Dubner</t>
  </si>
  <si>
    <t>William Morrow</t>
  </si>
  <si>
    <t>to-read (#150)</t>
  </si>
  <si>
    <t>"Surely You're Joking, Mr. Feynman!": Adventures of a Curious Character</t>
  </si>
  <si>
    <t>Richard P. Feynman</t>
  </si>
  <si>
    <t>Feynman, Richard P.</t>
  </si>
  <si>
    <t>W. W. Norton  Company</t>
  </si>
  <si>
    <t>to-read (#149)</t>
  </si>
  <si>
    <t>Catch-22 (Catch-22, #1)</t>
  </si>
  <si>
    <t>Joseph Heller</t>
  </si>
  <si>
    <t>Heller, Joseph</t>
  </si>
  <si>
    <t xml:space="preserve">Simon &amp; Schuster </t>
  </si>
  <si>
    <t>The Cleanest Race: How North Koreans See Themselves and Why It Matters</t>
  </si>
  <si>
    <t>B.R. Myers</t>
  </si>
  <si>
    <t>Myers, B.R.</t>
  </si>
  <si>
    <t>Melville House</t>
  </si>
  <si>
    <t>to-read (#148)</t>
  </si>
  <si>
    <t>The Amber Spyglass  (His Dark Materials, #3)</t>
  </si>
  <si>
    <t>Philip Pullman</t>
  </si>
  <si>
    <t>Pullman, Philip</t>
  </si>
  <si>
    <t>Laurel Leaf</t>
  </si>
  <si>
    <t>The Golden Compass (His Dark Materials, #1)</t>
  </si>
  <si>
    <t>Alfred A. Knopf Books for Young Readers</t>
  </si>
  <si>
    <t>Son (The Giver Quartet, #4)</t>
  </si>
  <si>
    <t>Lois Lowry</t>
  </si>
  <si>
    <t>Lowry, Lois</t>
  </si>
  <si>
    <t>HMH Books for Young Readers</t>
  </si>
  <si>
    <t>Gossamer</t>
  </si>
  <si>
    <t>Dopesick: Dealers, Doctors, and the Drug Company that Addicted America</t>
  </si>
  <si>
    <t>Beth Macy</t>
  </si>
  <si>
    <t>Macy, Beth</t>
  </si>
  <si>
    <t>Little, Brown and Company</t>
  </si>
  <si>
    <t>to-read (#147)</t>
  </si>
  <si>
    <t>Soldiers Of Reason: The RAND Corporation And The Rise Of The American Empire</t>
  </si>
  <si>
    <t>Alex Abella</t>
  </si>
  <si>
    <t>Abella, Alex</t>
  </si>
  <si>
    <t>Harcourt Books/Houghton Mifflin Harcourt Publishing Company</t>
  </si>
  <si>
    <t>Soldiers of Reason details the history of RAND, from its inception to modern times (well, 2008, when the book was published). Abella discusses and details both the important periods of time/events RAND was involved in (Cold War, Vietnam War, Gulf War, Iraq War, Watergate, Cuban Missile Crisis, etc.), as well as the notable people involved (Henry Kissinger, Paul Wolfowitz and others) and the role they played in guiding both the organization itself and the government (exclusively the U.S., up until the 2000's) it served.&lt;br/&gt;&lt;br/&gt;RAND, standing for Research ANd Development, was established to assist the U.S. Air Force in various research capacities. It attracted a wide-range of academics, from physicists to social scientists and everyone in between. Nuclear war was the primary focus in the early stages of RAND, where the researchers asked questions about preemptive strikes, strategic locations of munitions and vehicles, and the status of the Soviet's nuclear program. Game theory was researched by John Von Neumann (arguably the greatest polymath of all-time) and others to be applied to the Soviet threat.&lt;br/&gt;&lt;br/&gt;During the Vietnam War, RAND analysts participated by interviewing North Vietnamese prisoners-of-war to learn about their motivation. After finding out that the Vietcong "described themselves as patriots leading a war of national liberation", the analysts realized the war would be a lot more difficult than initially anticipated. However, it was not their place to decide what was right or wrong, difficult or easy: their job was to synthesize the data and report it. Like America at the time, a large rift was created between RAND employees: pro-war and anti-war. Daniel Ellsberg, part of the anti-war faction, was the RAND employee who leaked what is known as the Pentagon Papers, documents detailing the truth on what the U.S. government was really doing in Vietnam.&lt;br/&gt;&lt;br/&gt;In addition to international assignments, RAND also accepted commissions concerning domestic matters, such as one from New York City's mayor John Lindsay to study reformation of the city's unpopular government. Other federal entities, such as the Department of Housing and Urban Development (HUD), have also sought RAND's abilities in improving their methods.&lt;br/&gt;&lt;br/&gt;The book's last few chapters discuss terrorism and RAND's role in working with and assisting the U.S. government in combating it.&lt;br/&gt;&lt;br/&gt;RAND is still alive and well today (rand.org). Their website details all of their research areas and divisions, the reports they publish, the experts they employ, and their abilities. They even have a graduate school for public policy.&lt;br/&gt;&lt;br/&gt;Despite being mostly in the shadows, RAND has and will continue to play a large (the importance is subjective) role in shaping and guiding U.S. policy for the foreseeable future.&lt;br/&gt;&lt;br/&gt;Overall, a run-of-the-mill nonfiction book detailing the history of a company. Definitely boring at times, but interesting at others.</t>
  </si>
  <si>
    <t>Deng Xiaoping and the Transformation of China</t>
  </si>
  <si>
    <t>Ezra F. Vogel</t>
  </si>
  <si>
    <t>Vogel, Ezra F.</t>
  </si>
  <si>
    <t>Belknap Press</t>
  </si>
  <si>
    <t>to-read (#146)</t>
  </si>
  <si>
    <t>Countdown to Zero Day: Stuxnet and the Launch of the World's First Digital Weapon</t>
  </si>
  <si>
    <t>Kim Zetter</t>
  </si>
  <si>
    <t>Zetter, Kim</t>
  </si>
  <si>
    <t>A thoroughly-researched book that examines the both &lt;a href="https://en.wikipedia.org/wiki/Stuxnet"&gt; Stuxnet virus&lt;/a&gt; and cyberwarfare policy individually, as well as their crossroads as it relates to the modern era.&lt;br/&gt;&lt;br/&gt;Zetter's descriptions and explanations of all things technical is phenomenal. From the &lt;a href="https://en.wikipedia.org/wiki/Gas_centrifuge"&gt;uranium-enriching centrifuges&lt;/a&gt; to &lt;a href="https://en.wikipedia.org/wiki/Zero-day_(computing)"&gt;zero-day computer exploits&lt;/a&gt; to &lt;a href="https://en.wikipedia.org/wiki/SCADA"&gt;SCADA&lt;/a&gt;, they are simplified enough for the layperson to understand without sacrificing information. Little to no technical background is required to understand the technology discussed, although it certainly doesn't hurt. &lt;br/&gt;&lt;br/&gt;The book details the investigation (and obsession) of Stuxnet by a select number of security researchers and firms spread across the world. Zetter describes the researchers' process into dissecting the incredibly complex &lt;a href="https://www.symantec.com/security-center/writeup/2010-071400-3123-99"&gt;Stuxnet code&lt;/a&gt; (I suggest reading through this link, as Symantec was one of those "select number of security researchers and firms") and how they were finally able to understand its final payload.&lt;br/&gt;&lt;br/&gt;U.S. cybersecurity and cyberwarfare policy, general cyber "philosophy" (for lack of a better term), and the legality of cyber operations are also discussed. Should zero-day exploits be able to be sold to the highest bidder, whether that be a nation-state or terror group? Do zero-day researchers have an obligation to disclose said exploit to the respective software? How should we respond to zero-day offensives aimed at the U.S? (Hint: depending on the severity of the attack, it may be considered an act of war, and you don't want to be on the wrong side of America when that happens.) Zetter describes what the U.S.' current policy is towards these questions and what discussions are taking place, albeit behind closed doors. &lt;br/&gt;&lt;br/&gt;Even if you don't care about the Stuxnet virus or its impact, the cyber aspect of the book is extremely important to understand in this day and age. Our lives are becoming evermore electronically interconnected (phones connect to computers to cars to &lt;a href="https://www.lifewire.com/smart-refrigerator-4158327"&gt;refrigerators&lt;/a&gt; (wait, what?) to watches), and with it comes vulnerabilities. While those are small-scale connections, compromising large-scale systems has the potential to kill individuals and ravage society: economic markets, power grids, transportation networks, healthcare systems, and computing centers. While there is little ordinary citizens can do to help prevent this, it helps to be informed on issues like this.</t>
  </si>
  <si>
    <t>Narconomics: How to Run a Drug Cartel</t>
  </si>
  <si>
    <t>Tom Wainwright</t>
  </si>
  <si>
    <t>Wainwright, Tom</t>
  </si>
  <si>
    <t>PublicAffairs</t>
  </si>
  <si>
    <t>to-read (#145)</t>
  </si>
  <si>
    <t>Inside U.S.A</t>
  </si>
  <si>
    <t>John Gunther</t>
  </si>
  <si>
    <t>Gunther, John</t>
  </si>
  <si>
    <t>New Press</t>
  </si>
  <si>
    <t>to-read (#144)</t>
  </si>
  <si>
    <t>Inside South America</t>
  </si>
  <si>
    <t>Harper &amp; Row, Publishers</t>
  </si>
  <si>
    <t>to-read (#143)</t>
  </si>
  <si>
    <t>Inside Africa</t>
  </si>
  <si>
    <t>Beaufort Books/Ayer Publishing Co.</t>
  </si>
  <si>
    <t>to-read (#142)</t>
  </si>
  <si>
    <t>Inside Europe (War Edition)</t>
  </si>
  <si>
    <t>Harper &amp; Brothers</t>
  </si>
  <si>
    <t>to-read (#141)</t>
  </si>
  <si>
    <t>Inside Asia</t>
  </si>
  <si>
    <t>Simon Publications</t>
  </si>
  <si>
    <t>to-read (#140)</t>
  </si>
  <si>
    <t>To the Islands</t>
  </si>
  <si>
    <t>Randolph Stow</t>
  </si>
  <si>
    <t>Stow, Randolph</t>
  </si>
  <si>
    <t>Anthony J. Hassall</t>
  </si>
  <si>
    <t>University of Queensland Pr (Australia)</t>
  </si>
  <si>
    <t>to-read (#139)</t>
  </si>
  <si>
    <t>The City in History: Its Origins, Its Transformations, and Its Prospects</t>
  </si>
  <si>
    <t>Lewis Mumford</t>
  </si>
  <si>
    <t>Mumford, Lewis</t>
  </si>
  <si>
    <t>Mariner Books</t>
  </si>
  <si>
    <t>to-read (#138)</t>
  </si>
  <si>
    <t>Strong Towns: A Bottom-Up Revolution to Rebuild American Prosperity</t>
  </si>
  <si>
    <t>Charles Marohn</t>
  </si>
  <si>
    <t>Marohn, Charles</t>
  </si>
  <si>
    <t>Wiley</t>
  </si>
  <si>
    <t>to-read (#137)</t>
  </si>
  <si>
    <t>Number the Stars</t>
  </si>
  <si>
    <t>The Tale of Despereaux</t>
  </si>
  <si>
    <t>Kate DiCamillo</t>
  </si>
  <si>
    <t>DiCamillo, Kate</t>
  </si>
  <si>
    <t>Timothy Basil Ering</t>
  </si>
  <si>
    <t>Candlewick Press</t>
  </si>
  <si>
    <t>The City of Ember (Book of Ember, #1)</t>
  </si>
  <si>
    <t>Jeanne DuPrau</t>
  </si>
  <si>
    <t>DuPrau, Jeanne</t>
  </si>
  <si>
    <t>Yearling Books</t>
  </si>
  <si>
    <t>Excuse Me Sir, Would You Like to Buy a Kilo of Isopropyl Bromide?</t>
  </si>
  <si>
    <t>Max G. Gergel</t>
  </si>
  <si>
    <t>Gergel, Max G.</t>
  </si>
  <si>
    <t>Pierce</t>
  </si>
  <si>
    <t>to-read (#136)</t>
  </si>
  <si>
    <t>Heaven and Hell</t>
  </si>
  <si>
    <t>Emanuel Swedenborg</t>
  </si>
  <si>
    <t>Swedenborg, Emanuel</t>
  </si>
  <si>
    <t>George F. Dole, Bernhard Lang</t>
  </si>
  <si>
    <t>New Century Edition</t>
  </si>
  <si>
    <t>to-read (#135)</t>
  </si>
  <si>
    <t>Why Taiwan Matters: Small Island, Global Powerhouse</t>
  </si>
  <si>
    <t>Shelley Rigger</t>
  </si>
  <si>
    <t>Rigger, Shelley</t>
  </si>
  <si>
    <t>Rowman &amp; Littlefield Publishers</t>
  </si>
  <si>
    <t>to-read (#134)</t>
  </si>
  <si>
    <t>Barbarian Days: A Surfing Life</t>
  </si>
  <si>
    <t>William Finnegan</t>
  </si>
  <si>
    <t>Finnegan, William</t>
  </si>
  <si>
    <t>to-read (#133)</t>
  </si>
  <si>
    <t>Devil Take the Hindmost: A History of Financial Speculation</t>
  </si>
  <si>
    <t>Edward Chancellor</t>
  </si>
  <si>
    <t>Chancellor, Edward</t>
  </si>
  <si>
    <t>Plume Books</t>
  </si>
  <si>
    <t>to-read (#132)</t>
  </si>
  <si>
    <t>One Day in the Life of Ivan Denisovich</t>
  </si>
  <si>
    <t>Aleksandr Solzhenitsyn</t>
  </si>
  <si>
    <t>Solzhenitsyn, Aleksandr</t>
  </si>
  <si>
    <t>H.T. Willetts</t>
  </si>
  <si>
    <t>Review summary: An enjoyable (can I say that with what this book is about?) read about a horrific historical time period. Solzhenitsyn, with the translation help of Willetts, does a good job of describing the human condition in the face of evil and how it was managed over many years.&lt;br/&gt;&lt;br/&gt;The book accounts details the fictional Ivan Denisovich's (Shukhov, &lt;a href="https://en.wikipedia.org/wiki/Eastern_Slavic_naming_customs"&gt;Slavic naming conventions&lt;/a&gt; can help here, and in other Russian novels) experiences in one of Stalin's forced labor camps. Forced to confess he was a German spy, this account was taken during around his seventh year in prison.&lt;br/&gt;&lt;br/&gt;Despite the horrible conditions they faced, there was plenty of time for happiness to be felt in the form of tobacco, warmth, and Sundays off (quite similar to what non-prisoners enjoy!). As the final paragraph begins: "Shukhov felt pleased with life as he went to sleep. A lot of good things had happened that day." An important lesson can be learned from this: despite harrowing conditions, happiness can still be felt in the form of hope (e.g. your prison sentence ending) or temporary relief (e.g. a cigarette). &lt;br/&gt;&lt;br/&gt;The treatment of the prisoners was better than what I was expecting, although I'm not sure how much was censored by the USSR. The &lt;a href="https://www.goodreads.com/book/show/70561.The_Gulag_Archipelago_1918_1956?ac=1&amp;from_search=true"&gt;Gulag Archipelago&lt;/a&gt;, also by Solzhenitsyn, is supposedly more brutal and uncensored than &lt;i&gt;One Day&lt;/i&gt;, which, not coincidentally, he was not allowed to publish in the USSR.&lt;br/&gt;&lt;br/&gt;While I'm not a Russian speaker, Willetts seemed to do an adequate job of translating the humor and messages (after all, it's the only authorized version of this book).&lt;br/&gt;&lt;br/&gt;&lt;i&gt;One Day&lt;/i&gt; and &lt;i&gt;The Gulag Archipelago&lt;/i&gt; are two important books about a terrible time in world history. OD is a bit more accessible (shorter, less descriptive), while TGA is out of reach/interest for many readers (~2000 pages across three volumes, vivid imagery = darker). I will tackle TGA at some point and compare with this.&lt;br/&gt;&lt;br/&gt;For historical background, Wikipedia's &lt;a href="https://en.wikipedia.org/wiki/Gulag"&gt;Gulag&lt;/a&gt; article is well-researched, descriptive, and comprehensive if you are looking to learn more about this time period.</t>
  </si>
  <si>
    <t>Manhunt: The 12-Day Chase for Lincoln's Killer</t>
  </si>
  <si>
    <t>James L. Swanson</t>
  </si>
  <si>
    <t>Swanson, James L.</t>
  </si>
  <si>
    <t>to-read (#131)</t>
  </si>
  <si>
    <t>Being Peace (Being Peace, #1)</t>
  </si>
  <si>
    <t>Thich Nhat Hanh</t>
  </si>
  <si>
    <t>Hanh, Thich Nhat</t>
  </si>
  <si>
    <t>Arnold Kotler</t>
  </si>
  <si>
    <t>Parallax Press</t>
  </si>
  <si>
    <t>The Sound and the Fury</t>
  </si>
  <si>
    <t>William Faulkner</t>
  </si>
  <si>
    <t>Faulkner, William</t>
  </si>
  <si>
    <t>Vintage International</t>
  </si>
  <si>
    <t>Brave New World</t>
  </si>
  <si>
    <t>Aldous Huxley</t>
  </si>
  <si>
    <t>Huxley, Aldous</t>
  </si>
  <si>
    <t>HarperPerennial / Perennial Classics</t>
  </si>
  <si>
    <t>Lone Survivor: The Eyewitness Account of Operation Redwing and the Lost Heroes of SEAL Team 10</t>
  </si>
  <si>
    <t>Marcus Luttrell</t>
  </si>
  <si>
    <t>Luttrell, Marcus</t>
  </si>
  <si>
    <t>Patrick Robinson</t>
  </si>
  <si>
    <t>The Godfather</t>
  </si>
  <si>
    <t>Mario Puzo</t>
  </si>
  <si>
    <t>Puzo, Mario</t>
  </si>
  <si>
    <t>Robert Thompson, Peter Bart</t>
  </si>
  <si>
    <t>NAL</t>
  </si>
  <si>
    <t>Radioactivity: A History of a Mysterious Science</t>
  </si>
  <si>
    <t>Marjorie C. Malley</t>
  </si>
  <si>
    <t>Malley, Marjorie C.</t>
  </si>
  <si>
    <t>8 weeks to SEALFIT</t>
  </si>
  <si>
    <t>Mark Divine</t>
  </si>
  <si>
    <t>Divine, Mark</t>
  </si>
  <si>
    <t>US Tactical, Inc</t>
  </si>
  <si>
    <t>The Adventures of Huckleberry Finn</t>
  </si>
  <si>
    <t>Guy Cardwell, John Seelye, Walter Trier</t>
  </si>
  <si>
    <t>Jurassic Park (Jurassic Park, #1)</t>
  </si>
  <si>
    <t>Michael Crichton</t>
  </si>
  <si>
    <t>Crichton, Michael</t>
  </si>
  <si>
    <t>The Lost World (Jurassic Park #2)</t>
  </si>
  <si>
    <t>Alfred A. Knopf, Inc.</t>
  </si>
  <si>
    <t>Game Theory: A Nontechnical Introduction</t>
  </si>
  <si>
    <t>Morton D. Davis</t>
  </si>
  <si>
    <t>Davis, Morton D.</t>
  </si>
  <si>
    <t>Dover Publications</t>
  </si>
  <si>
    <t>Skin in the Game: The Hidden Asymmetries in Daily Life</t>
  </si>
  <si>
    <t>Nassim Nicholas Taleb</t>
  </si>
  <si>
    <t>Taleb, Nassim Nicholas</t>
  </si>
  <si>
    <t>Allen Lane</t>
  </si>
  <si>
    <t>Hunting Eichmann: How a Band of Survivors and a Young Spy Agency Chased Down the World's Most Notorious Nazi</t>
  </si>
  <si>
    <t>Neal Bascomb</t>
  </si>
  <si>
    <t>Bascomb, Neal</t>
  </si>
  <si>
    <t>Houghton Mifflin</t>
  </si>
  <si>
    <t>Dead Souls</t>
  </si>
  <si>
    <t>Nikolai Gogol</t>
  </si>
  <si>
    <t>Gogol, Nikolai</t>
  </si>
  <si>
    <t>Robert A. Maguire, Zlatko Crnkoviƒá</t>
  </si>
  <si>
    <t>A Time of Gifts</t>
  </si>
  <si>
    <t>GPS</t>
  </si>
  <si>
    <t>Paul E. Ceruzzi</t>
  </si>
  <si>
    <t>Ceruzzi, Paul E.</t>
  </si>
  <si>
    <t>The MIT Press</t>
  </si>
  <si>
    <t>A Time to Betray: The Astonishing Double Life of a CIA Agent Inside the Revolutionary Guards of Iran</t>
  </si>
  <si>
    <t>Reza Kahlili</t>
  </si>
  <si>
    <t>Kahlili, Reza</t>
  </si>
  <si>
    <t>Threshold Editions</t>
  </si>
  <si>
    <t>The Concise Mastery</t>
  </si>
  <si>
    <t>Robert Greene</t>
  </si>
  <si>
    <t>Greene, Robert</t>
  </si>
  <si>
    <t>Profile Books</t>
  </si>
  <si>
    <t>Treasure Island</t>
  </si>
  <si>
    <t>Robert Louis Stevenson</t>
  </si>
  <si>
    <t>Stevenson, Robert Louis</t>
  </si>
  <si>
    <t>Kingfisher</t>
  </si>
  <si>
    <t>Nonzero: The Logic of Human Destiny</t>
  </si>
  <si>
    <t>Robert Wright</t>
  </si>
  <si>
    <t>Wright, Robert</t>
  </si>
  <si>
    <t>Stretching Scientifically: A Guide to Flexibility Training</t>
  </si>
  <si>
    <t>Thomas Kurz</t>
  </si>
  <si>
    <t>Kurz, Thomas</t>
  </si>
  <si>
    <t>Stadion Publishing Company, Inc.</t>
  </si>
  <si>
    <t>Unknown Binding</t>
  </si>
  <si>
    <t>Stanley: The Impossible Life of Africa's Greatest Explorer</t>
  </si>
  <si>
    <t>Tim Jeal</t>
  </si>
  <si>
    <t>Jeal, Tim</t>
  </si>
  <si>
    <t>Yale University Press</t>
  </si>
  <si>
    <t>Clear and Present Danger (Jack Ryan, #5)</t>
  </si>
  <si>
    <t>Tom Clancy</t>
  </si>
  <si>
    <t>Clancy, Tom</t>
  </si>
  <si>
    <t>Berkley Pub Group</t>
  </si>
  <si>
    <t>Debt of Honor (Jack Ryan, #7)</t>
  </si>
  <si>
    <t>Berkley Books</t>
  </si>
  <si>
    <t>Les Mis√©rables</t>
  </si>
  <si>
    <t>Victor Hugo</t>
  </si>
  <si>
    <t>Hugo, Victor</t>
  </si>
  <si>
    <t>Lee Fahnestock, Norman MacAfee</t>
  </si>
  <si>
    <t>Signet Classics</t>
  </si>
  <si>
    <t>Walter Isaacson</t>
  </si>
  <si>
    <t>Isaacson, Walter</t>
  </si>
  <si>
    <t>Among the Mountains: Travels Through Asia</t>
  </si>
  <si>
    <t>Flamingo</t>
  </si>
  <si>
    <t>A Burglar's Guide to the City</t>
  </si>
  <si>
    <t>Geoff Manaugh</t>
  </si>
  <si>
    <t>Manaugh, Geoff</t>
  </si>
  <si>
    <t>Fsg Originals</t>
  </si>
  <si>
    <t>This book describes the relationship between burglary and the architecture of the building being burglarized, giving anecdotes and personal experiences along the way.&lt;br/&gt;&lt;br/&gt;As other reviewers have said, the book spends a decent amount of time discussing his experiences researching the book (riding along in an LAPD helicopter, getting taught lock-picking, talking to detectives), but they do not give enough credit to his takeaways from those experiences. In the helicopter ride-along he learns about the ideal city layout for policing, and other small bits of knowledge about "bulgar theory" and policing methods.&lt;br/&gt;&lt;br/&gt;A good portion of the book consists of anecdotes to complement his learnings and give some practical (although some of them are not so practical!) examples of real-life burglaries. He discusses tunneling into bank vaults (&lt;a href="https://www.foxnews.com/world/thieves-use-sewage-pipes-tunnels-to-break-into-bank-vault-full-of-jewels-in-antwerps-diamond-district"&gt; yes, this does happen&lt;/a&gt;) and using social engineering to fool companies into sending you master key cards.&lt;br/&gt;&lt;br/&gt;Manaugh briefly discusses the legal theory behind burglary. What is considered a building? When and where are you considered to be "inside" of a building? Some states take into account intent, meaning if you have suspicious items on you, despite a perfectly good explanation for each, you can still be charged with a crime.&lt;br/&gt;&lt;br/&gt;An important topic discussed towards the book's end is that of "&lt;a href="http://www.bldgblog.com/2010/01/nakatomi-space/"&gt;Nakatomi Space&lt;/a&gt;", named after the plaza in the movie Die Hard, where the protagonist travels around a skyscraper uses everything &lt;u&gt;but&lt;/u&gt; conventional methods. The independent research Gwern discusses Nakatomi Space and some of its applications in &lt;a href="https://www.reddit.com/r/slatestarcodex/comments/c0nqg7/people_seem_to_think_thieves_should_lockpick_or/er6huvz/?utm_source=share&amp;utm_medium=ios_app"&gt;this Reddit comment&lt;/a&gt;.&lt;br/&gt;&lt;br/&gt;My biggest takeaway from this book is using objects in manners they are &lt;u&gt;not&lt;/u&gt; meant to be used in, e.g. enter a room through the thin drywall rather than the reinforced steel door with three deadbolts and a booby trap. It is through this outside-of-the-box thinking that the most successful burglars have gotten away with crimes.</t>
  </si>
  <si>
    <t>The Sand Pebbles</t>
  </si>
  <si>
    <t>Richard McKenna</t>
  </si>
  <si>
    <t>McKenna, Richard</t>
  </si>
  <si>
    <t>US Naval Institute Press</t>
  </si>
  <si>
    <t>to-read (#130)</t>
  </si>
  <si>
    <t>Confessions of a Master Jewel Thief</t>
  </si>
  <si>
    <t>Bill Mason</t>
  </si>
  <si>
    <t>Mason, Bill</t>
  </si>
  <si>
    <t>Lee Gruenfeld</t>
  </si>
  <si>
    <t>Villard</t>
  </si>
  <si>
    <t>to-read (#129)</t>
  </si>
  <si>
    <t>Magic and Mystery in Tibet</t>
  </si>
  <si>
    <t>Alexandra David-N√©el</t>
  </si>
  <si>
    <t>David-N√©el, Alexandra</t>
  </si>
  <si>
    <t>Magic and Mystery in Tibet provides an excellent summary of Tibetan practices, beliefs, and culture in the beginning of the 20th century. If anyone has a suggestion for a more modern book detailing similar information, I'd love to hear it.&lt;br/&gt;&lt;br/&gt;&lt;a href="https://en.wikipedia.org/wiki/Alexandra_David-N%C3%A9el"&gt;Alexandra David-N√©el&lt;/a&gt; is a French linguist and Buddhist who has spent significant time traveling in and around Tibet.&lt;br/&gt;&lt;br/&gt;The book is split up into eight chapters: Tibet and the Lamas, A Guest of the Lamas, A Famous Tibetan Monastery, Dealing with Ghosts and Demons, Disciples of Yore and Their Contemporary Emulators, Psychic Sports, Mystic Theories and Spiritual Training, and Psychic Phenomena in Tibet - How Tibetans Explain Them.&lt;br/&gt;&lt;br/&gt;Each chapter is a mix of her travels in Tibet and Tibetan practices as they relate to the chapter's title. She gives detailed background information about the practices: how they began, what Tibetans believe about them, and how the practices are actually performed. Take, for example,  &lt;i&gt; lung-gom &lt;/i&gt;, a type of training that is said to "develop uncommon nimbleness and especially enables its adepts to take extraordinarily long tramps with amazing rapidity". David-N√©el describes her interactions with &lt;i&gt; lung-gom-pas &lt;/i&gt;, first encountering one in Chang thang of Northern Tibet, then another who was wearing iron chains to prevent himself from floating off into space (since the training supposedly makes you lighter than air). She then describes the training itself: jumping cross-legged from the bottom of a pit and crawling through a minuscule hole from a cell they've been in for seven days. Throughout these descriptions, she explains the Tibetans' reasoning and thoughts behind why and how these work. Complementary anecdotes and folklore are also shared throughout the book. This process is used for the most of the Tibetan practices and culture she describes.&lt;br/&gt;&lt;br/&gt;There is a lot of mysticism and spiritual belief that David-N√©el does a good (and respectful) job of not diminishing, but rather objectively explains their perspective. The book ends in a request for scientists to "undertake serious investigations of the phenomena [which David-N√©el experienced]", as some of the events she describes are seemingly unexplainable. Considering this was written in the 1930s, I am curious to see how much, if any, Tibetan beliefs have changed in regard to these subjects since then.&lt;br/&gt;&lt;br/&gt;There is little concept of time throughout (no "in 19XX I did this"), but she does mention this book is the culmination of over 10 years of research and studying.&lt;br/&gt;&lt;br/&gt;Pictures are mostly of persons, but also include some places.</t>
  </si>
  <si>
    <t>The Secret Garden</t>
  </si>
  <si>
    <t>Frances Hodgson Burnett</t>
  </si>
  <si>
    <t>Burnett, Frances Hodgson</t>
  </si>
  <si>
    <t>Children's Classics</t>
  </si>
  <si>
    <t>to-read (#128)</t>
  </si>
  <si>
    <t>Little Soldiers: An American Boy, a Chinese School, and the Global Race to Achieve</t>
  </si>
  <si>
    <t>Lenora Chu</t>
  </si>
  <si>
    <t>Chu, Lenora</t>
  </si>
  <si>
    <t>Harper</t>
  </si>
  <si>
    <t>to-read (#127)</t>
  </si>
  <si>
    <t>The Beginning of Infinity: Explanations That Transform the World</t>
  </si>
  <si>
    <t>David Deutsch</t>
  </si>
  <si>
    <t>Deutsch, David</t>
  </si>
  <si>
    <t>Viking</t>
  </si>
  <si>
    <t>to-read (#126)</t>
  </si>
  <si>
    <t>Microsoft Secrets: How the World's Most Powerful Software Company Creates Technology, Shapes Markets, and Manages People</t>
  </si>
  <si>
    <t>Michael A. Cusumano</t>
  </si>
  <si>
    <t>Cusumano, Michael A.</t>
  </si>
  <si>
    <t>to-read (#125)</t>
  </si>
  <si>
    <t>Violence of Mind: Training and Preparation for Extreme Violence</t>
  </si>
  <si>
    <t>Varg Freeborn</t>
  </si>
  <si>
    <t>Freeborn, Varg</t>
  </si>
  <si>
    <t>One Life Defense LLC, Varg Freeborn</t>
  </si>
  <si>
    <t>to-read (#124)</t>
  </si>
  <si>
    <t>Dreamland: The True Tale of America's Opiate Epidemic</t>
  </si>
  <si>
    <t>Sam Quinones</t>
  </si>
  <si>
    <t>Quinones, Sam</t>
  </si>
  <si>
    <t>Bloomsbury Press</t>
  </si>
  <si>
    <t>to-read (#123)</t>
  </si>
  <si>
    <t>Inside Terrorism</t>
  </si>
  <si>
    <t>Bruce Hoffman</t>
  </si>
  <si>
    <t>Hoffman, Bruce</t>
  </si>
  <si>
    <t>Columbia University Press</t>
  </si>
  <si>
    <t>to-read (#122)</t>
  </si>
  <si>
    <t>The Idea Factory: Bell Labs and the Great Age of American Innovation</t>
  </si>
  <si>
    <t>Jon Gertner</t>
  </si>
  <si>
    <t>Gertner, Jon</t>
  </si>
  <si>
    <t>to-read (#121)</t>
  </si>
  <si>
    <t>Smoke and Mirrors: The War on Drugs and the Politics of Failure</t>
  </si>
  <si>
    <t>Dan Baum</t>
  </si>
  <si>
    <t>Baum, Dan</t>
  </si>
  <si>
    <t>Back Bay Books</t>
  </si>
  <si>
    <t>to-read (#120)</t>
  </si>
  <si>
    <t>Japanese Agent in Tibet</t>
  </si>
  <si>
    <t>Hisao Kimura</t>
  </si>
  <si>
    <t>Kimura, Hisao</t>
  </si>
  <si>
    <t>Scott Berry</t>
  </si>
  <si>
    <t>Serindia Publications</t>
  </si>
  <si>
    <t>to-read (#119)</t>
  </si>
  <si>
    <t>Tracks: A Woman's Solo Trek Across 1700 Miles of Australian Outback</t>
  </si>
  <si>
    <t>Robyn Davidson</t>
  </si>
  <si>
    <t>Davidson, Robyn</t>
  </si>
  <si>
    <t>to-read (#118)</t>
  </si>
  <si>
    <t>Eastern Approaches</t>
  </si>
  <si>
    <t>Fitzroy Maclean</t>
  </si>
  <si>
    <t>Maclean, Fitzroy</t>
  </si>
  <si>
    <t>Penguin Global</t>
  </si>
  <si>
    <t>to-read (#117)</t>
  </si>
  <si>
    <t>Love and War in the Apennines</t>
  </si>
  <si>
    <t>Eric Newby</t>
  </si>
  <si>
    <t>Newby, Eric</t>
  </si>
  <si>
    <t>Lonely Planet</t>
  </si>
  <si>
    <t>to-read (#116)</t>
  </si>
  <si>
    <t>Two Against the Sahara: On Camelback from Nouakchott to the Nile</t>
  </si>
  <si>
    <t>Michael Asher</t>
  </si>
  <si>
    <t>Asher, Michael</t>
  </si>
  <si>
    <t>Mariantonietta Peru</t>
  </si>
  <si>
    <t>William Morrow &amp; Company</t>
  </si>
  <si>
    <t>to-read (#115)</t>
  </si>
  <si>
    <t>Wall Street: A History</t>
  </si>
  <si>
    <t>Charles R. Geisst</t>
  </si>
  <si>
    <t>Geisst, Charles R.</t>
  </si>
  <si>
    <t>to-read (#114)</t>
  </si>
  <si>
    <t>The Unconventional Close Protection Training Manual: Learn how to defend yourself and protect others</t>
  </si>
  <si>
    <t>Robert Scali</t>
  </si>
  <si>
    <t>Scali, Robert</t>
  </si>
  <si>
    <t>Pineland Productions/Vector Defensive Systems</t>
  </si>
  <si>
    <t>to-read (#113)</t>
  </si>
  <si>
    <t>The Missing Peace: The Inside Story of the Fight for Middle East Peace</t>
  </si>
  <si>
    <t>Dennis Ross</t>
  </si>
  <si>
    <t>Ross, Dennis</t>
  </si>
  <si>
    <t>to-read (#112)</t>
  </si>
  <si>
    <t>China: People, Place, Culture, History</t>
  </si>
  <si>
    <t>Alison Bailey</t>
  </si>
  <si>
    <t>Bailey, Alison</t>
  </si>
  <si>
    <t>Ronald G. Knapp, Peter Neville-Hadley, John A.G. Roberts, Nancy S. Steinhardt</t>
  </si>
  <si>
    <t>currently-reading (#1)</t>
  </si>
  <si>
    <t>The First 20 Hours: How to Learn Anything...Fast</t>
  </si>
  <si>
    <t>Josh Kaufman</t>
  </si>
  <si>
    <t>Kaufman, Josh</t>
  </si>
  <si>
    <t>Portfolio</t>
  </si>
  <si>
    <t>to-read (#111)</t>
  </si>
  <si>
    <t>The Umbrella Conspiracy (Resident Evil, #1)</t>
  </si>
  <si>
    <t>S.D. Perry</t>
  </si>
  <si>
    <t>Perry, S.D.</t>
  </si>
  <si>
    <t>Pocket Books</t>
  </si>
  <si>
    <t>to-read (#110)</t>
  </si>
  <si>
    <t>City of the Dead (Resident Evil, #3)</t>
  </si>
  <si>
    <t>to-read (#109)</t>
  </si>
  <si>
    <t>Nemesis (Resident Evil, #5)</t>
  </si>
  <si>
    <t>to-read (#107)</t>
  </si>
  <si>
    <t>Caliban Cove (Resident Evil, #2)</t>
  </si>
  <si>
    <t>to-read (#108)</t>
  </si>
  <si>
    <t>Underworld  (Resident Evil, #4)</t>
  </si>
  <si>
    <t>to-read (#106)</t>
  </si>
  <si>
    <t>Code: Veronica  (Resident Evil, #6)</t>
  </si>
  <si>
    <t>Pocket Books/Star Trek</t>
  </si>
  <si>
    <t>to-read (#105)</t>
  </si>
  <si>
    <t>Zero Hour (Resident Evil, #0)</t>
  </si>
  <si>
    <t>Pocket Star Books</t>
  </si>
  <si>
    <t>to-read (#104)</t>
  </si>
  <si>
    <t>The Ascent of Money: A Financial History of the World</t>
  </si>
  <si>
    <t>to-read (#103)</t>
  </si>
  <si>
    <t>Thing Explainer: Complicated Stuff in Simple Words</t>
  </si>
  <si>
    <t>to-read (#102)</t>
  </si>
  <si>
    <t>My Journey to Lhasa: The Classic Story of the Only Western Woman Who Succeeded in Entering the Forbidden City</t>
  </si>
  <si>
    <t>to-read (#101)</t>
  </si>
  <si>
    <t>On Bullshit</t>
  </si>
  <si>
    <t>Harry G. Frankfurt</t>
  </si>
  <si>
    <t>Frankfurt, Harry G.</t>
  </si>
  <si>
    <t>to-read (#100)</t>
  </si>
  <si>
    <t>How We Got Here: The 1970s: The Decade That Brought You Modern Life (for Better Or Worse)</t>
  </si>
  <si>
    <t>David Frum</t>
  </si>
  <si>
    <t>Frum, David</t>
  </si>
  <si>
    <t>to-read (#99)</t>
  </si>
  <si>
    <t>Impro: Improvisation and the Theatre</t>
  </si>
  <si>
    <t>Keith Johnstone</t>
  </si>
  <si>
    <t>Johnstone, Keith</t>
  </si>
  <si>
    <t>to-read (#98)</t>
  </si>
  <si>
    <t>Evicted: Poverty and Profit in the American City</t>
  </si>
  <si>
    <t>Matthew Desmond</t>
  </si>
  <si>
    <t>Desmond, Matthew</t>
  </si>
  <si>
    <t>Crown Publishers</t>
  </si>
  <si>
    <t>to-read (#97)</t>
  </si>
  <si>
    <t>The Old Ways: A Journey on Foot</t>
  </si>
  <si>
    <t>Robert Macfarlane</t>
  </si>
  <si>
    <t>Macfarlane, Robert</t>
  </si>
  <si>
    <t>Hamish Hamilton</t>
  </si>
  <si>
    <t>to-read (#96)</t>
  </si>
  <si>
    <t>On War</t>
  </si>
  <si>
    <t>Carl von Clausewitz</t>
  </si>
  <si>
    <t>Clausewitz, Carl von</t>
  </si>
  <si>
    <t>Michael Eliot Howard, Peter Paret</t>
  </si>
  <si>
    <t>to-read (#95)</t>
  </si>
  <si>
    <t>Travels into the Interior of Africa</t>
  </si>
  <si>
    <t>Mungo Park</t>
  </si>
  <si>
    <t>Park, Mungo</t>
  </si>
  <si>
    <t>Anthony Sattin</t>
  </si>
  <si>
    <t>Eland</t>
  </si>
  <si>
    <t>to-read (#94)</t>
  </si>
  <si>
    <t>Seven Pillars of Wisdom: A Triumph</t>
  </si>
  <si>
    <t>T.E. Lawrence</t>
  </si>
  <si>
    <t>Lawrence, T.E.</t>
  </si>
  <si>
    <t>to-read (#93)</t>
  </si>
  <si>
    <t>Worlds Hidden in Plain Sight: The Evolving Idea of Complexity at the Santa Fe Institute, 1984‚Äì2019</t>
  </si>
  <si>
    <t>David C. Krakauer</t>
  </si>
  <si>
    <t>Krakauer, David C.</t>
  </si>
  <si>
    <t>Murray Gell-Mann, Kenneth Arrow, W. Brian Arthur, John H. Holland, Richard Lewontin, Harold Morowitz, Jessica C. Flack, Jennifer Dunne, Geoffrey West</t>
  </si>
  <si>
    <t>Santa Fe Institute Press</t>
  </si>
  <si>
    <t>to-read (#92)</t>
  </si>
  <si>
    <t>The Travels of Marco Polo - Volume 2</t>
  </si>
  <si>
    <t>Marco Polo</t>
  </si>
  <si>
    <t>Polo, Marco</t>
  </si>
  <si>
    <t>Rustichello Of Pisa, Henry Yule</t>
  </si>
  <si>
    <t>to-read (#91)</t>
  </si>
  <si>
    <t>The Travels of Marco Polo - Volume 1</t>
  </si>
  <si>
    <t>Rustichello Of Pisa, Yule, Henry</t>
  </si>
  <si>
    <t>Public Domain Books</t>
  </si>
  <si>
    <t>to-read (#90)</t>
  </si>
  <si>
    <t>Seven Years in Tibet</t>
  </si>
  <si>
    <t>Heinrich Harrer</t>
  </si>
  <si>
    <t>Harrer, Heinrich</t>
  </si>
  <si>
    <t>Tarcher</t>
  </si>
  <si>
    <t>to-read (#89)</t>
  </si>
  <si>
    <t>Automate This: How Algorithms Came to Rule Our World</t>
  </si>
  <si>
    <t>Christopher Steiner</t>
  </si>
  <si>
    <t>Steiner, Christopher</t>
  </si>
  <si>
    <t>to-read (#88)</t>
  </si>
  <si>
    <t>Seeing Like a State: How Certain Schemes to Improve the Human Condition Have Failed</t>
  </si>
  <si>
    <t>James C. Scott</t>
  </si>
  <si>
    <t>Scott, James C.</t>
  </si>
  <si>
    <t>to-read (#87)</t>
  </si>
  <si>
    <t>Fentanyl, Inc.: How Rogue Chemists Are Creating the Deadliest Wave of the Opioid Epidemic</t>
  </si>
  <si>
    <t>Ben Westhoff</t>
  </si>
  <si>
    <t>Westhoff, Ben</t>
  </si>
  <si>
    <t>Atlantic Monthly Press</t>
  </si>
  <si>
    <t>to-read (#86)</t>
  </si>
  <si>
    <t>Design and Analysis of Experiments</t>
  </si>
  <si>
    <t>Douglas C. Montgomery</t>
  </si>
  <si>
    <t>Montgomery, Douglas C.</t>
  </si>
  <si>
    <t>to-read (#85)</t>
  </si>
  <si>
    <t>False Impressions: The Hunt for Big-Time Art Fakes</t>
  </si>
  <si>
    <t>Thomas Hoving</t>
  </si>
  <si>
    <t>Hoving, Thomas</t>
  </si>
  <si>
    <t>to-read (#84)</t>
  </si>
  <si>
    <t>The Fractal Geometry of Nature</t>
  </si>
  <si>
    <t>Beno√Æt B. Mandelbrot</t>
  </si>
  <si>
    <t>Mandelbrot, Beno√Æt B.</t>
  </si>
  <si>
    <t>Times Books</t>
  </si>
  <si>
    <t>to-read (#83)</t>
  </si>
  <si>
    <t>The Misbehavior of Markets: A Fractal View of Financial Turbulence</t>
  </si>
  <si>
    <t>Richard L. Hudson</t>
  </si>
  <si>
    <t>to-read (#82)</t>
  </si>
  <si>
    <t>A Few Lessons from Sherlock Holmes</t>
  </si>
  <si>
    <t>Peter Bevelin</t>
  </si>
  <si>
    <t>Bevelin, Peter</t>
  </si>
  <si>
    <t>MX Publishing</t>
  </si>
  <si>
    <t>to-read (#81)</t>
  </si>
  <si>
    <t>Perilous Interventions: The Security Council and the Politics of Chaos</t>
  </si>
  <si>
    <t>Hardeep Singh Puri</t>
  </si>
  <si>
    <t>Puri, Hardeep Singh</t>
  </si>
  <si>
    <t>to-read (#80)</t>
  </si>
  <si>
    <t>G√∂del's Proof</t>
  </si>
  <si>
    <t>Ernest Nagel</t>
  </si>
  <si>
    <t>Nagel, Ernest</t>
  </si>
  <si>
    <t>James Roy Newman, Douglas R. Hofstadter</t>
  </si>
  <si>
    <t>New York University Press</t>
  </si>
  <si>
    <t>to-read (#79)</t>
  </si>
  <si>
    <t>I Am a Strange Loop</t>
  </si>
  <si>
    <t>Douglas R. Hofstadter</t>
  </si>
  <si>
    <t>Hofstadter, Douglas R.</t>
  </si>
  <si>
    <t>to-read (#78)</t>
  </si>
  <si>
    <t>My Life as an Explorer</t>
  </si>
  <si>
    <t>Sven Hedin</t>
  </si>
  <si>
    <t>Hedin, Sven</t>
  </si>
  <si>
    <t>to-read (#77)</t>
  </si>
  <si>
    <t>News From Tartary</t>
  </si>
  <si>
    <t>Peter  Fleming</t>
  </si>
  <si>
    <t>Fleming, Peter</t>
  </si>
  <si>
    <t>Birlinn Limited</t>
  </si>
  <si>
    <t>to-read (#76)</t>
  </si>
  <si>
    <t>A Short Walk in the Hindu Kush</t>
  </si>
  <si>
    <t>Evelyn Waugh</t>
  </si>
  <si>
    <t>Adventure Library</t>
  </si>
  <si>
    <t>to-read (#75)</t>
  </si>
  <si>
    <t>Future Cities: Architecture and the Imagination</t>
  </si>
  <si>
    <t>Paul Dobraszczyk</t>
  </si>
  <si>
    <t>Dobraszczyk, Paul</t>
  </si>
  <si>
    <t>Reaktion Books</t>
  </si>
  <si>
    <t>to-read (#74)</t>
  </si>
  <si>
    <t>Hormesis</t>
  </si>
  <si>
    <t>Mark P. Mattson</t>
  </si>
  <si>
    <t>Mattson, Mark P.</t>
  </si>
  <si>
    <t>Edward J. Calabrese</t>
  </si>
  <si>
    <t>Springer</t>
  </si>
  <si>
    <t>to-read (#73)</t>
  </si>
  <si>
    <t>The Swiss Family Robinson</t>
  </si>
  <si>
    <t>Johann David Wyss</t>
  </si>
  <si>
    <t>Wyss, Johann David</t>
  </si>
  <si>
    <t>Scott McKowen, Arthur Pober</t>
  </si>
  <si>
    <t>Sterling</t>
  </si>
  <si>
    <t>to-read (#72)</t>
  </si>
  <si>
    <t>The Spy and the Traitor: The Greatest Espionage Story of the Cold War</t>
  </si>
  <si>
    <t>Ben Macintyre</t>
  </si>
  <si>
    <t>Macintyre, Ben</t>
  </si>
  <si>
    <t>Signal</t>
  </si>
  <si>
    <t>to-read (#71)</t>
  </si>
  <si>
    <t>An Introduction to Genetic Engineering</t>
  </si>
  <si>
    <t>Desmond S.T. Nicholl</t>
  </si>
  <si>
    <t>Nicholl, Desmond S.T.</t>
  </si>
  <si>
    <t>to-read (#70)</t>
  </si>
  <si>
    <t>Dead Mountain: The Untold True Story of the Dyatlov Pass Incident</t>
  </si>
  <si>
    <t>Donnie Eichar</t>
  </si>
  <si>
    <t>Eichar, Donnie</t>
  </si>
  <si>
    <t>Chronicle Books</t>
  </si>
  <si>
    <t>to-read (#69)</t>
  </si>
  <si>
    <t>Underground: A Human History of the Worlds Beneath Our Feet</t>
  </si>
  <si>
    <t>Will Hunt</t>
  </si>
  <si>
    <t>Hunt, Will</t>
  </si>
  <si>
    <t>to-read (#68)</t>
  </si>
  <si>
    <t>CIA's Secret War in Tibet</t>
  </si>
  <si>
    <t>Kenneth J. Conboy</t>
  </si>
  <si>
    <t>Conboy, Kenneth J.</t>
  </si>
  <si>
    <t>James Morrison</t>
  </si>
  <si>
    <t>University Press of Kansas</t>
  </si>
  <si>
    <t>to-read (#67)</t>
  </si>
  <si>
    <t>The Sign and the Seal: The Quest for the Lost Ark of the Covenant</t>
  </si>
  <si>
    <t>Graham Hancock</t>
  </si>
  <si>
    <t>Hancock, Graham</t>
  </si>
  <si>
    <t>to-read (#66)</t>
  </si>
  <si>
    <t>The Gulag Archipelago 1918‚Äì1956 (Abridged)</t>
  </si>
  <si>
    <t>Edward E. Ericson Jr.</t>
  </si>
  <si>
    <t>to-read (#65)</t>
  </si>
  <si>
    <t>Hell's Angels: A Strange and Terrible Saga</t>
  </si>
  <si>
    <t>Hunter S. Thompson</t>
  </si>
  <si>
    <t>Thompson, Hunter S.</t>
  </si>
  <si>
    <t>Robert Laffont</t>
  </si>
  <si>
    <t>to-read (#64)</t>
  </si>
  <si>
    <t>Fear and Loathing in Las Vegas</t>
  </si>
  <si>
    <t>Ralph Steadman</t>
  </si>
  <si>
    <t>Vintage Books</t>
  </si>
  <si>
    <t>to-read (#63)</t>
  </si>
  <si>
    <t>The Stranger in the Woods: The Extraordinary Story of the Last True Hermit</t>
  </si>
  <si>
    <t>Michael Finkel</t>
  </si>
  <si>
    <t>Finkel, Michael</t>
  </si>
  <si>
    <t>Mark Bramhall</t>
  </si>
  <si>
    <t>Books on Tape</t>
  </si>
  <si>
    <t>Audio CD</t>
  </si>
  <si>
    <t>to-read (#62)</t>
  </si>
  <si>
    <t>A Terrible Country</t>
  </si>
  <si>
    <t>Keith Gessen</t>
  </si>
  <si>
    <t>Gessen, Keith</t>
  </si>
  <si>
    <t>to-read (#61)</t>
  </si>
  <si>
    <t>Curveball: Spies, Lies, and the Man Behind Them: How America Went to War in Iraq</t>
  </si>
  <si>
    <t>Bob Drogin</t>
  </si>
  <si>
    <t>Drogin, Bob</t>
  </si>
  <si>
    <t>to-read (#60)</t>
  </si>
  <si>
    <t>The New Penguin History of The World</t>
  </si>
  <si>
    <t>J.M. Roberts</t>
  </si>
  <si>
    <t>Roberts, J.M.</t>
  </si>
  <si>
    <t>to-read (#59)</t>
  </si>
  <si>
    <t>The Republic of Pirates: Being the True and Surprising Story of the Caribbean Pirates and the Man Who Brought Them Down</t>
  </si>
  <si>
    <t>Colin Woodard</t>
  </si>
  <si>
    <t>Woodard, Colin</t>
  </si>
  <si>
    <t>to-read (#58)</t>
  </si>
  <si>
    <t>Lady Death: The Memoirs of Stalin's Sniper</t>
  </si>
  <si>
    <t>Lyudmila Pavlichenko</t>
  </si>
  <si>
    <t>Pavlichenko, Lyudmila</t>
  </si>
  <si>
    <t>Foreword by Martin Pegler</t>
  </si>
  <si>
    <t>Casemate Ipm</t>
  </si>
  <si>
    <t>to-read (#57)</t>
  </si>
  <si>
    <t>Soviet Women in Combat: A History of Violence on the Eastern Front</t>
  </si>
  <si>
    <t>Anna Krylova</t>
  </si>
  <si>
    <t>Krylova, Anna</t>
  </si>
  <si>
    <t>to-read (#56)</t>
  </si>
  <si>
    <t>She: A History of Adventure (She, #1)</t>
  </si>
  <si>
    <t>to-read (#55)</t>
  </si>
  <si>
    <t>Narcolepsy: A Funny Disorder That's No Laughing Matter</t>
  </si>
  <si>
    <t>Marguerite J. Utley</t>
  </si>
  <si>
    <t>Utley, Marguerite J.</t>
  </si>
  <si>
    <t>Marguerite Jones Utley</t>
  </si>
  <si>
    <t>to-read (#54)</t>
  </si>
  <si>
    <t>The Scout Mindset: The Perils of Defensive Thinking and How to Be Right More Often</t>
  </si>
  <si>
    <t>Julia Galef</t>
  </si>
  <si>
    <t>Galef, Julia</t>
  </si>
  <si>
    <t>to-read (#53)</t>
  </si>
  <si>
    <t>The Nazi War on Cancer</t>
  </si>
  <si>
    <t>Robert N. Proctor</t>
  </si>
  <si>
    <t>Proctor, Robert N.</t>
  </si>
  <si>
    <t>to-read (#52)</t>
  </si>
  <si>
    <t>The Assassins: A Radical Sect in Islam</t>
  </si>
  <si>
    <t>Bernard Lewis</t>
  </si>
  <si>
    <t>Lewis, Bernard</t>
  </si>
  <si>
    <t>Weidenfeld &amp; Nicholson</t>
  </si>
  <si>
    <t>to-read (#51)</t>
  </si>
  <si>
    <t>Rise and Kill First: The Secret History of Israel's Targeted Assassinations</t>
  </si>
  <si>
    <t>Ronen Bergman</t>
  </si>
  <si>
    <t>Bergman, Ronen</t>
  </si>
  <si>
    <t>to-read (#50)</t>
  </si>
  <si>
    <t>Genome: the Autobiography of a Species in 23 Chapters</t>
  </si>
  <si>
    <t>Matt Ridley</t>
  </si>
  <si>
    <t>Ridley, Matt</t>
  </si>
  <si>
    <t>to-read (#49)</t>
  </si>
  <si>
    <t>Why We Nap: Evolution, Chronobiology, And Functions Of Polyphasic And Ultrashort Sleep</t>
  </si>
  <si>
    <t>Claudio Stampi</t>
  </si>
  <si>
    <t>Stampi, Claudio</t>
  </si>
  <si>
    <t>to-read (#48)</t>
  </si>
  <si>
    <t>The Science of Addiction: From Neurobiology to Treatment</t>
  </si>
  <si>
    <t>Carlton K. Erickson</t>
  </si>
  <si>
    <t>Erickson, Carlton K.</t>
  </si>
  <si>
    <t>to-read (#47)</t>
  </si>
  <si>
    <t>Gulliver's Travels</t>
  </si>
  <si>
    <t>Jonathan Swift</t>
  </si>
  <si>
    <t>Swift, Jonathan</t>
  </si>
  <si>
    <t>Robert DeMaria Jr.</t>
  </si>
  <si>
    <t>to-read (#46)</t>
  </si>
  <si>
    <t>The Travels of Dean Mahomet: An Eighteenth-Century Journey through India</t>
  </si>
  <si>
    <t>Dean Mahomet</t>
  </si>
  <si>
    <t>Mahomet, Dean</t>
  </si>
  <si>
    <t>to-read (#45)</t>
  </si>
  <si>
    <t>Framing the Social Security Debate: Values, Politics, and Economics</t>
  </si>
  <si>
    <t>R. Douglas Arnold</t>
  </si>
  <si>
    <t>Arnold, R. Douglas</t>
  </si>
  <si>
    <t>Brookings Institution Press</t>
  </si>
  <si>
    <t>to-read (#44)</t>
  </si>
  <si>
    <t>The Inhuman Land</t>
  </si>
  <si>
    <t>J√≥zef Czapski</t>
  </si>
  <si>
    <t>Czapski, J√≥zef</t>
  </si>
  <si>
    <t>to-read (#43)</t>
  </si>
  <si>
    <t>True Grit</t>
  </si>
  <si>
    <t>Charles Portis</t>
  </si>
  <si>
    <t>Portis, Charles</t>
  </si>
  <si>
    <t>to-read (#42)</t>
  </si>
  <si>
    <t>The Age of Cryptocurrency: How Bitcoin and Digital Money Are Challenging the Global Economic Order</t>
  </si>
  <si>
    <t>Paul Vigna</t>
  </si>
  <si>
    <t>Vigna, Paul</t>
  </si>
  <si>
    <t>Michael Casey</t>
  </si>
  <si>
    <t>St. Martin's Press</t>
  </si>
  <si>
    <t>to-read (#41)</t>
  </si>
  <si>
    <t>Civilian Warriors: The Inside Story of Blackwater and the Unsung Heroes of the War on Terror</t>
  </si>
  <si>
    <t>Erik Prince</t>
  </si>
  <si>
    <t>Prince, Erik</t>
  </si>
  <si>
    <t>Portfolio/Penguin</t>
  </si>
  <si>
    <t>to-read (#40)</t>
  </si>
  <si>
    <t>Empires of Light: Edison, Tesla, Westinghouse, and the Race to Electrify the World</t>
  </si>
  <si>
    <t>Jill Jonnes</t>
  </si>
  <si>
    <t>Jonnes, Jill</t>
  </si>
  <si>
    <t>Random House Trade Paperbacks</t>
  </si>
  <si>
    <t>to-read (#39)</t>
  </si>
  <si>
    <t>Gulag: A History</t>
  </si>
  <si>
    <t>Anne Applebaum</t>
  </si>
  <si>
    <t>Applebaum, Anne</t>
  </si>
  <si>
    <t>to-read (#38)</t>
  </si>
  <si>
    <t>All Quiet on the Western Front</t>
  </si>
  <si>
    <t>Erich Maria Remarque</t>
  </si>
  <si>
    <t>Remarque, Erich Maria</t>
  </si>
  <si>
    <t>A.W. Wheen</t>
  </si>
  <si>
    <t>Ballantine</t>
  </si>
  <si>
    <t>to-read (#37)</t>
  </si>
  <si>
    <t>Cod: A Biography of the Fish that Changed the World</t>
  </si>
  <si>
    <t>Mark Kurlansky</t>
  </si>
  <si>
    <t>Kurlansky, Mark</t>
  </si>
  <si>
    <t>Vintage/Ebury</t>
  </si>
  <si>
    <t>to-read (#36)</t>
  </si>
  <si>
    <t>Salt: A World History</t>
  </si>
  <si>
    <t>to-read (#35)</t>
  </si>
  <si>
    <t>The Politics of Heroin: CIA Complicity in the Global Drug Trade</t>
  </si>
  <si>
    <t>Alfred W. McCoy</t>
  </si>
  <si>
    <t>McCoy, Alfred W.</t>
  </si>
  <si>
    <t>Lawrence Hill Books</t>
  </si>
  <si>
    <t>to-read (#34)</t>
  </si>
  <si>
    <t>Brodeck</t>
  </si>
  <si>
    <t>Philippe Claudel</t>
  </si>
  <si>
    <t>Claudel, Philippe</t>
  </si>
  <si>
    <t>John Cullen</t>
  </si>
  <si>
    <t>Nan A. Talese</t>
  </si>
  <si>
    <t>to-read (#33)</t>
  </si>
  <si>
    <t>Northland: A 4,000-Mile Journey Along America's Forgotten Border</t>
  </si>
  <si>
    <t>Porter Fox</t>
  </si>
  <si>
    <t>Fox, Porter</t>
  </si>
  <si>
    <t>to-read (#32)</t>
  </si>
  <si>
    <t>The Opposing Shore</t>
  </si>
  <si>
    <t>Julien Gracq</t>
  </si>
  <si>
    <t>Gracq, Julien</t>
  </si>
  <si>
    <t>Harvill Press</t>
  </si>
  <si>
    <t>to-read (#31)</t>
  </si>
  <si>
    <t>Army of None: Autonomous Weapons and the Future of War</t>
  </si>
  <si>
    <t>Paul Scharre</t>
  </si>
  <si>
    <t>Scharre, Paul</t>
  </si>
  <si>
    <t>to-read (#30)</t>
  </si>
  <si>
    <t>The Making of the Atomic Bomb</t>
  </si>
  <si>
    <t>Richard Rhodes</t>
  </si>
  <si>
    <t>Rhodes, Richard</t>
  </si>
  <si>
    <t>to-read (#29)</t>
  </si>
  <si>
    <t>The German Genius: Europe's Third Renaissance, the Second Scientific Revolution, and the Twentieth Century</t>
  </si>
  <si>
    <t>Peter Watson</t>
  </si>
  <si>
    <t>Watson, Peter</t>
  </si>
  <si>
    <t>to-read (#28)</t>
  </si>
  <si>
    <t>Caribbean</t>
  </si>
  <si>
    <t>James A. Michener</t>
  </si>
  <si>
    <t>Michener, James A.</t>
  </si>
  <si>
    <t>Dial Press</t>
  </si>
  <si>
    <t>to-read (#27)</t>
  </si>
  <si>
    <t>Selfish Reasons to Have More Kids: Why Being a Great Parent is Less Work and More Fun Than You Think</t>
  </si>
  <si>
    <t>Bryan Caplan</t>
  </si>
  <si>
    <t>Caplan, Bryan</t>
  </si>
  <si>
    <t>to-read (#26)</t>
  </si>
  <si>
    <t>The Myth of the Rational Voter: Why Democracies Choose Bad Policies</t>
  </si>
  <si>
    <t>to-read (#25)</t>
  </si>
  <si>
    <t>The Case Against Education: Why the Education System Is a Waste of Time and Money</t>
  </si>
  <si>
    <t>to-read (#24)</t>
  </si>
  <si>
    <t>Expert Political Judgment: How Good Is It? How Can We Know?</t>
  </si>
  <si>
    <t>Philip E. Tetlock</t>
  </si>
  <si>
    <t>Tetlock, Philip E.</t>
  </si>
  <si>
    <t>to-read (#23)</t>
  </si>
  <si>
    <t>Kafka on the Shore</t>
  </si>
  <si>
    <t>Haruki Murakami</t>
  </si>
  <si>
    <t>Murakami, Haruki</t>
  </si>
  <si>
    <t>Philip Gabriel</t>
  </si>
  <si>
    <t>to-read (#22)</t>
  </si>
  <si>
    <t>Siddartha</t>
  </si>
  <si>
    <t>Hermann Hesse</t>
  </si>
  <si>
    <t>Hesse, Hermann</t>
  </si>
  <si>
    <t>to-read (#21)</t>
  </si>
  <si>
    <t>The Filthy Thirteen: From the Dustbowl to Hitler's Eagle's Nest - The True Story of the 101st Airborne's Most Legendary Squad of Combat Paratroopers</t>
  </si>
  <si>
    <t>Richard Killblane</t>
  </si>
  <si>
    <t>Killblane, Richard</t>
  </si>
  <si>
    <t>Jake McNiece</t>
  </si>
  <si>
    <t xml:space="preserve">Casemate Publishers </t>
  </si>
  <si>
    <t>to-read (#20)</t>
  </si>
  <si>
    <t>The Looming Tower: Al-Qaeda and the Road to 9/11</t>
  </si>
  <si>
    <t>Lawrence Wright</t>
  </si>
  <si>
    <t>Wright, Lawrence</t>
  </si>
  <si>
    <t>Knopf Publishing Group</t>
  </si>
  <si>
    <t>to-read (#19)</t>
  </si>
  <si>
    <t>Reconciliation: Islam, Democracy, and the West</t>
  </si>
  <si>
    <t>Benazir Bhutto</t>
  </si>
  <si>
    <t>Bhutto, Benazir</t>
  </si>
  <si>
    <t>to-read (#18)</t>
  </si>
  <si>
    <t>Journey to the Center of the Earth (Extraordinary Voyages, #3)</t>
  </si>
  <si>
    <t>Bantam</t>
  </si>
  <si>
    <t>to-read (#17)</t>
  </si>
  <si>
    <t>The 900 Days: The Siege of Leningrad</t>
  </si>
  <si>
    <t>Harrison E. Salisbury</t>
  </si>
  <si>
    <t>Salisbury, Harrison E.</t>
  </si>
  <si>
    <t>to-read (#16)</t>
  </si>
  <si>
    <t>The Count of Monte Cristo</t>
  </si>
  <si>
    <t>Robin Buss</t>
  </si>
  <si>
    <t>to-read (#15)</t>
  </si>
  <si>
    <t>Bringing Down the House: The Inside Story of Six M.I.T. Students Who Took Vegas for Millions</t>
  </si>
  <si>
    <t>Ben Mezrich</t>
  </si>
  <si>
    <t>Mezrich, Ben</t>
  </si>
  <si>
    <t>to-read (#14)</t>
  </si>
  <si>
    <t>A Gentleman in Moscow</t>
  </si>
  <si>
    <t>Amor Towles</t>
  </si>
  <si>
    <t>Towles, Amor</t>
  </si>
  <si>
    <t>to-read (#13)</t>
  </si>
  <si>
    <t>The Last Castle: The Epic Story of Love, Loss, and American Royalty in the Nation's Largest Home</t>
  </si>
  <si>
    <t>Denise Kiernan</t>
  </si>
  <si>
    <t>Kiernan, Denise</t>
  </si>
  <si>
    <t>Atria Books</t>
  </si>
  <si>
    <t>to-read (#12)</t>
  </si>
  <si>
    <t>The Captive Mind</t>
  </si>
  <si>
    <t>Czes≈Çaw Mi≈Çosz</t>
  </si>
  <si>
    <t>Mi≈Çosz, Czes≈Çaw</t>
  </si>
  <si>
    <t>Jane Zielonko</t>
  </si>
  <si>
    <t>to-read (#11)</t>
  </si>
  <si>
    <t>The Reaper: Autobiography of One of the Deadliest Special Ops Snipers</t>
  </si>
  <si>
    <t>Nicholas Irving</t>
  </si>
  <si>
    <t>Irving, Nicholas</t>
  </si>
  <si>
    <t>Gary Brozek</t>
  </si>
  <si>
    <t>to-read (#10)</t>
  </si>
  <si>
    <t>The Only Thing Worth Dying For: How Eleven Green Berets Forged a New Afghanistan</t>
  </si>
  <si>
    <t>Eric Blehm</t>
  </si>
  <si>
    <t>Blehm, Eric</t>
  </si>
  <si>
    <t>Jason Amerine</t>
  </si>
  <si>
    <t>to-read (#9)</t>
  </si>
  <si>
    <t>Chaos: Making a New Science</t>
  </si>
  <si>
    <t>to-read (#8)</t>
  </si>
  <si>
    <t>Atlas Obscura: An Explorer's Guide to the World's Hidden Wonders</t>
  </si>
  <si>
    <t>Joshua Foer</t>
  </si>
  <si>
    <t>Foer, Joshua</t>
  </si>
  <si>
    <t>Dylan Thuras, Ella Morton, Maciej Potulny</t>
  </si>
  <si>
    <t>Workman Publishing Company</t>
  </si>
  <si>
    <t>to-read (#7)</t>
  </si>
  <si>
    <t>Quantum Computing Since Democritus</t>
  </si>
  <si>
    <t>Scott Aaronson</t>
  </si>
  <si>
    <t>Aaronson, Scott</t>
  </si>
  <si>
    <t>to-read (#6)</t>
  </si>
  <si>
    <t>Superintelligence: Paths, Dangers, Strategies</t>
  </si>
  <si>
    <t>Nick Bostrom</t>
  </si>
  <si>
    <t>Bostrom, Nick</t>
  </si>
  <si>
    <t>to-read (#5)</t>
  </si>
  <si>
    <t>The Mythical Man-Month: Essays on Software Engineering</t>
  </si>
  <si>
    <t>Frederick P. Brooks Jr.</t>
  </si>
  <si>
    <t>Jr., Frederick P. Brooks</t>
  </si>
  <si>
    <t>Addison-Wesley Professional</t>
  </si>
  <si>
    <t>to-read (#4)</t>
  </si>
  <si>
    <t>The Adventures of Tom Sawyer</t>
  </si>
  <si>
    <t>Guy Cardwell, John Seelye</t>
  </si>
  <si>
    <t>to-read (#3)</t>
  </si>
  <si>
    <t>Blink: The Power of Thinking Without Thinking</t>
  </si>
  <si>
    <t>Malcolm Gladwell</t>
  </si>
  <si>
    <t>Gladwell, Malcolm</t>
  </si>
  <si>
    <t>to-read (#2)</t>
  </si>
  <si>
    <t>On Killing: The Psychological Cost of Learning to Kill in War and Society</t>
  </si>
  <si>
    <t>Gathering Blue (The Giver, #2)</t>
  </si>
  <si>
    <t>Delacorte Press</t>
  </si>
  <si>
    <t>Messenger (The Giver, #3)</t>
  </si>
  <si>
    <t>Ember</t>
  </si>
  <si>
    <t>I Am the Messenger</t>
  </si>
  <si>
    <t>Markus Zusak</t>
  </si>
  <si>
    <t>Zusak, Markus</t>
  </si>
  <si>
    <t>Emmanuel Pailler</t>
  </si>
  <si>
    <t>Alfred A. Knopf Borzoi Books</t>
  </si>
  <si>
    <t>The Notebook of Leonardo Da Vinci</t>
  </si>
  <si>
    <t>Maxim Montoto</t>
  </si>
  <si>
    <t>The House of Twenty Thousand Books</t>
  </si>
  <si>
    <t>Sasha Abramsky</t>
  </si>
  <si>
    <t>Abramsky, Sasha</t>
  </si>
  <si>
    <t>Not Avail</t>
  </si>
  <si>
    <t>to-read (#1)</t>
  </si>
  <si>
    <t>Twenty Thousand Leagues Under the Sea (Extraordinary Voyages, #6)</t>
  </si>
  <si>
    <t>Anthony Bonner</t>
  </si>
  <si>
    <t>Barnes &amp; Noble</t>
  </si>
  <si>
    <t>The Mysterious Island (Extraordinary Voyages, #12)</t>
  </si>
  <si>
    <t>Caleb Carr, Jordan Stump</t>
  </si>
  <si>
    <t>The Pearl</t>
  </si>
  <si>
    <t>The Hobbit, or There and Back Again</t>
  </si>
  <si>
    <t>J.R.R. Tolkien</t>
  </si>
  <si>
    <t>Tolkien, J.R.R.</t>
  </si>
  <si>
    <t>Harry Potter and the Deathly Hallows (Harry Potter, #7)</t>
  </si>
  <si>
    <t>J.K. Rowling</t>
  </si>
  <si>
    <t>Rowling, J.K.</t>
  </si>
  <si>
    <t>Arthur A. Levine Books / Scholastic Inc.</t>
  </si>
  <si>
    <t>Harry Potter and the Half-Blood Prince (Harry Potter, #6)</t>
  </si>
  <si>
    <t>Mary GrandPr√©</t>
  </si>
  <si>
    <t>Scholastic Inc.</t>
  </si>
  <si>
    <t>Harry Potter and the Order of the Phoenix (Harry Potter, #5)</t>
  </si>
  <si>
    <t>Harry Potter and the Goblet of Fire (Harry Potter, #4)</t>
  </si>
  <si>
    <t>Scholastic</t>
  </si>
  <si>
    <t>Harry Potter and the Chamber of Secrets (Harry Potter, #2)</t>
  </si>
  <si>
    <t>Harry Potter and the Prisoner of Azkaban (Harry Potter, #3)</t>
  </si>
  <si>
    <t>Harry Potter and the Sorcerer's Stone (Harry Potter, #1)</t>
  </si>
  <si>
    <t>Scholastic Inc</t>
  </si>
  <si>
    <t>A Long Way Gone: Memoirs of a Boy Soldier</t>
  </si>
  <si>
    <t>Ishmael Beah</t>
  </si>
  <si>
    <t>Beah, Ishmael</t>
  </si>
  <si>
    <t>Sarah Crichton Books</t>
  </si>
  <si>
    <t>Casino Royale (James Bond, #1)</t>
  </si>
  <si>
    <t>Ian Fleming</t>
  </si>
  <si>
    <t>Fleming, Ian</t>
  </si>
  <si>
    <t>The Island of Doctor Moreau</t>
  </si>
  <si>
    <t>H.G. Wells</t>
  </si>
  <si>
    <t>Wells, H.G.</t>
  </si>
  <si>
    <t>Bantam Classics</t>
  </si>
  <si>
    <t>To Kill a Mockingbird</t>
  </si>
  <si>
    <t>Harper Lee</t>
  </si>
  <si>
    <t>Lee, Harper</t>
  </si>
  <si>
    <t>Harper Perennial Modern Classics</t>
  </si>
  <si>
    <t>Factfulness: Ten Reasons We're Wrong About the World ‚Äì and Why Things Are Better Than You Think</t>
  </si>
  <si>
    <t>Hans Rosling</t>
  </si>
  <si>
    <t>Rosling, Hans</t>
  </si>
  <si>
    <t>Ola Rosling, Anna Rosling R√∂nnlund</t>
  </si>
  <si>
    <t>Sceptre</t>
  </si>
  <si>
    <t>The Quiet American</t>
  </si>
  <si>
    <t>Robert  Stone</t>
  </si>
  <si>
    <t>Penguin Classics Deluxe Editions</t>
  </si>
  <si>
    <t>Animal Farm</t>
  </si>
  <si>
    <t>George Orwell</t>
  </si>
  <si>
    <t>Orwell, George</t>
  </si>
  <si>
    <t>Russell Baker, C.M. Woodhouse</t>
  </si>
  <si>
    <t>The Richest Man in Babylon</t>
  </si>
  <si>
    <t>George S. Clason</t>
  </si>
  <si>
    <t>Clason, George S.</t>
  </si>
  <si>
    <t>Notes from Underground</t>
  </si>
  <si>
    <t>Fyodor Dostoyevsky</t>
  </si>
  <si>
    <t>Dostoyevsky, Fyodor</t>
  </si>
  <si>
    <t>Richard Pevear, Philip Dossick, Larissa Volokhonsky, Fyodor Dostoyevsky</t>
  </si>
  <si>
    <t>Vintage Classics</t>
  </si>
  <si>
    <t>The House of the Dead</t>
  </si>
  <si>
    <t>Ergin Altay</t>
  </si>
  <si>
    <t>The Trial</t>
  </si>
  <si>
    <t>Franz Kafka</t>
  </si>
  <si>
    <t>Kafka, Franz</t>
  </si>
  <si>
    <t>Max Brod, Willa Muir, Edwin Muir</t>
  </si>
  <si>
    <t>How Google Works</t>
  </si>
  <si>
    <t>Eric Schmidt</t>
  </si>
  <si>
    <t>Schmidt, Eric</t>
  </si>
  <si>
    <t>Jonathan Rosenberg</t>
  </si>
  <si>
    <t>John Murray</t>
  </si>
  <si>
    <t>Fearless: The Undaunted Courage and Ultimate Sacrifice of Navy SEAL Team SIX Operator Adam Brown</t>
  </si>
  <si>
    <t>WaterBrook</t>
  </si>
  <si>
    <t>An American Sickness: How Healthcare Became Big Business and How You Can Take It Back</t>
  </si>
  <si>
    <t>Elisabeth Rosenthal</t>
  </si>
  <si>
    <t>Rosenthal, Elisabeth</t>
  </si>
  <si>
    <t>Random House Large Print Publishing</t>
  </si>
  <si>
    <t>City of Thieves</t>
  </si>
  <si>
    <t>David Benioff</t>
  </si>
  <si>
    <t>Benioff, David</t>
  </si>
  <si>
    <t>Viking Books</t>
  </si>
  <si>
    <t>Blood Meridian, or the Evening Redness in the West</t>
  </si>
  <si>
    <t>Cormac McCarthy</t>
  </si>
  <si>
    <t>McCarthy, Cormac</t>
  </si>
  <si>
    <t>The Gatekeepers: How the White House Chiefs of Staff Define Every Presidency</t>
  </si>
  <si>
    <t>Chris Whipple</t>
  </si>
  <si>
    <t>Whipple, Chris</t>
  </si>
  <si>
    <t>How to Become a Straight-A Student</t>
  </si>
  <si>
    <t>Cal Newport</t>
  </si>
  <si>
    <t>Newport, Cal</t>
  </si>
  <si>
    <t>Three Rivers Press</t>
  </si>
  <si>
    <t>Dracula</t>
  </si>
  <si>
    <t>Bram Stoker</t>
  </si>
  <si>
    <t>Stoker, Bram</t>
  </si>
  <si>
    <t>Nina Auerbach, David J. Skal</t>
  </si>
  <si>
    <t>Norton</t>
  </si>
  <si>
    <t>Anthem</t>
  </si>
  <si>
    <t>Ayn Rand</t>
  </si>
  <si>
    <t>Rand, Ayn</t>
  </si>
  <si>
    <t>Atlas Shrugged</t>
  </si>
  <si>
    <t>Leonard Peikoff</t>
  </si>
  <si>
    <t>Plume</t>
  </si>
  <si>
    <t>The Fountainhead</t>
  </si>
  <si>
    <t>Signet Book</t>
  </si>
  <si>
    <t>The Adventures of Sherlock Holmes</t>
  </si>
  <si>
    <t>Arthur Conan Doyle</t>
  </si>
  <si>
    <t>Doyle, Arthur Conan</t>
  </si>
  <si>
    <t>Geddes &amp; Grosset</t>
  </si>
  <si>
    <t>Surprise, Kill, Vanish: The Secret History Of CIA Paramilitary Armies, Operators, And Assassins</t>
  </si>
  <si>
    <t>Annie Jacobsen</t>
  </si>
  <si>
    <t>Jacobsen, Annie</t>
  </si>
  <si>
    <t>Little, Brown and Company/Hachette Book Group, Inc.</t>
  </si>
  <si>
    <t>The Diary of a Young Girl</t>
  </si>
  <si>
    <t>Anne Frank</t>
  </si>
  <si>
    <t>Frank, Anne</t>
  </si>
  <si>
    <t>Eleanor Roosevelt, B.M. Mooyaart-Doubleday</t>
  </si>
  <si>
    <t>A Small Corner of Hell: Dispatches from Chechnya</t>
  </si>
  <si>
    <t>Anna Politkovskaya</t>
  </si>
  <si>
    <t>Politkovskaya, Anna</t>
  </si>
  <si>
    <t>Alexander Burry, Tatiana Tulchinsky, Georgi M. Derluguian</t>
  </si>
  <si>
    <t>University of Chicago Press</t>
  </si>
  <si>
    <t>Midnight in Chernobyl: The Untold Story of the World's Greatest Nuclear Disaster</t>
  </si>
  <si>
    <t>Adam Higginbotham</t>
  </si>
  <si>
    <t>Higginbotham, Adam</t>
  </si>
  <si>
    <t>The Old Man and the Sea</t>
  </si>
  <si>
    <t>The Brothers Karamazov</t>
  </si>
  <si>
    <t>Fyodor Dostoyevsky, Richard Pevear, Larissa Volokhonsky</t>
  </si>
  <si>
    <t>The Giver (The Giver, #1)</t>
  </si>
  <si>
    <t>Fair Play: The Moral Dilemmas of Spying</t>
  </si>
  <si>
    <t>James M. Olson</t>
  </si>
  <si>
    <t>Olson, James M.</t>
  </si>
  <si>
    <t>Potomac Books</t>
  </si>
  <si>
    <t>American Kingpin: The Epic Hunt for the Criminal Mastermind Behind the Silk Road</t>
  </si>
  <si>
    <t>Nick Bilton</t>
  </si>
  <si>
    <t>Bilton, Nick</t>
  </si>
  <si>
    <t>The Kite Runner</t>
  </si>
  <si>
    <t>Khaled Hosseini</t>
  </si>
  <si>
    <t>Hosseini, Khaled</t>
  </si>
  <si>
    <t>Berliani M. Nugrahani</t>
  </si>
  <si>
    <t>Riverhead Books</t>
  </si>
  <si>
    <t>Things Fall Apart (The African Trilogy, #1)</t>
  </si>
  <si>
    <t>Chinua Achebe</t>
  </si>
  <si>
    <t>Achebe, Chinua</t>
  </si>
  <si>
    <t>The Road</t>
  </si>
  <si>
    <t>Alfred A. Knopf</t>
  </si>
  <si>
    <t>Black Flags: The Rise of ISIS</t>
  </si>
  <si>
    <t>Joby Warrick</t>
  </si>
  <si>
    <t>Warrick, Joby</t>
  </si>
  <si>
    <t>Heart of Darkness</t>
  </si>
  <si>
    <t>Joseph Conrad</t>
  </si>
  <si>
    <t>Conrad, Joseph</t>
  </si>
  <si>
    <t>An√≠bal Fernandes</t>
  </si>
  <si>
    <t>Green Integer</t>
  </si>
  <si>
    <t>Anna Karenina</t>
  </si>
  <si>
    <t>Aylmer Maude, Louise Maude, George Gibian</t>
  </si>
  <si>
    <t>Mere Christianity</t>
  </si>
  <si>
    <t>C.S. Lewis</t>
  </si>
  <si>
    <t>Lewis, C.S.</t>
  </si>
  <si>
    <t>A Separate Peace</t>
  </si>
  <si>
    <t>John Knowles</t>
  </si>
  <si>
    <t>Knowles, John</t>
  </si>
  <si>
    <t>David Levithan</t>
  </si>
  <si>
    <t>The Lost City of the Monkey God: A True Story</t>
  </si>
  <si>
    <t>Douglas Preston</t>
  </si>
  <si>
    <t>Preston, Douglas</t>
  </si>
  <si>
    <t>Grand Central Publishing</t>
  </si>
  <si>
    <t>The Way of the Knife: The CIA, a Secret Army, and a War at the Ends of the Earth</t>
  </si>
  <si>
    <t>Mark Mazzetti</t>
  </si>
  <si>
    <t>Mazzetti, Mark</t>
  </si>
  <si>
    <t>The Penguin Press</t>
  </si>
  <si>
    <t>Being Mortal: Medicine and What Matters in the End</t>
  </si>
  <si>
    <t>Atul Gawande</t>
  </si>
  <si>
    <t>Gawande, Atul</t>
  </si>
  <si>
    <t>Left of Boom: How a Young CIA Case Officer Penetrated the Taliban and Al-Qaeda</t>
  </si>
  <si>
    <t>Douglas Laux</t>
  </si>
  <si>
    <t>Laux, Douglas</t>
  </si>
  <si>
    <t>Ralph Pezzullo</t>
  </si>
  <si>
    <t>Patriot Games (Jack Ryan, #1)</t>
  </si>
  <si>
    <t>Berkley</t>
  </si>
  <si>
    <t>The Smartest Guys in the Room: The Amazing Rise and Scandalous Fall of Enron</t>
  </si>
  <si>
    <t>Bethany McLean</t>
  </si>
  <si>
    <t>McLean, Bethany</t>
  </si>
  <si>
    <t>Peter Elkind</t>
  </si>
  <si>
    <t>Portfolio Trade</t>
  </si>
  <si>
    <t>The Brothers: John Foster Dulles, Allen Dulles &amp; Their Secret World War</t>
  </si>
  <si>
    <t>Stephen Kinzer</t>
  </si>
  <si>
    <t>Kinzer, Stephen</t>
  </si>
  <si>
    <t>A Man for All Markets</t>
  </si>
  <si>
    <t>Edward O. Thorp</t>
  </si>
  <si>
    <t>Thorp, Edward O.</t>
  </si>
  <si>
    <t>The Book Thief</t>
  </si>
  <si>
    <t>Tools of Titans: The Tactics, Routines, and Habits of Billionaires, Icons, and World-Class Performers</t>
  </si>
  <si>
    <t>Timothy Ferriss</t>
  </si>
  <si>
    <t>Ferriss, Timothy</t>
  </si>
  <si>
    <t>Arnold Schwarzenegger</t>
  </si>
  <si>
    <t>Code</t>
  </si>
  <si>
    <t>Charles Petzold</t>
  </si>
  <si>
    <t>Petzold, Charles</t>
  </si>
  <si>
    <t>Microsoft Press</t>
  </si>
  <si>
    <t>The Fourth Dimension: A Guided Tour of the Higher Universes</t>
  </si>
  <si>
    <t>Rudy Rucker</t>
  </si>
  <si>
    <t>Rucker, Rudy</t>
  </si>
  <si>
    <t>David Povilaitis, Martin Gardner</t>
  </si>
  <si>
    <t>The Art of Intelligence</t>
  </si>
  <si>
    <t>Henry A. Crumpton</t>
  </si>
  <si>
    <t>Crumpton, Henry A.</t>
  </si>
  <si>
    <t>David Colacci</t>
  </si>
  <si>
    <t>Penguin Audio</t>
  </si>
  <si>
    <t>Introduction to Artificial Intelligence</t>
  </si>
  <si>
    <t>Philip C. Jackson</t>
  </si>
  <si>
    <t>Jackson, Philip C.</t>
  </si>
  <si>
    <t>Mathematics and the Physical World</t>
  </si>
  <si>
    <t>Morris Kline</t>
  </si>
  <si>
    <t>Kline, Morris</t>
  </si>
  <si>
    <t>Without Remorse (John Clark, #1; Jack Ryan Universe Publication Order #6)</t>
  </si>
  <si>
    <t>Rainbow Six (John Clark, #2; Jack Ryan Universe, #10)</t>
  </si>
  <si>
    <t>David Dukes</t>
  </si>
  <si>
    <t>Cold Zero: Inside the FBI  Hostage Rescue Team</t>
  </si>
  <si>
    <t>Christopher Whitcomb</t>
  </si>
  <si>
    <t>Whitcomb, Christopher</t>
  </si>
  <si>
    <t>The Pentagon's Brain: An Uncensored History of DARPA, America's Top-Secret Military Research Agency</t>
  </si>
  <si>
    <t>G√∂del, Escher, Bach: An Eternal Golden Braid</t>
  </si>
  <si>
    <t>Phineas Gage: A Gruesome but True Story About Brain Science</t>
  </si>
  <si>
    <t>John Fleischman</t>
  </si>
  <si>
    <t>Fleischman, John</t>
  </si>
  <si>
    <t>The Operator: Firing the Shots that Killed Osama bin Laden and My Years as a SEAL Team Warrior</t>
  </si>
  <si>
    <t>Robert  O'Neill</t>
  </si>
  <si>
    <t>O'Neill, Robert</t>
  </si>
  <si>
    <t>The Tracker</t>
  </si>
  <si>
    <t>Tom Brown Jr.</t>
  </si>
  <si>
    <t>Jr., Tom Brown</t>
  </si>
  <si>
    <t>William Jon Watkins</t>
  </si>
  <si>
    <t>Black Hawk Down: A Story of Modern War</t>
  </si>
  <si>
    <t>Mark Bowden</t>
  </si>
  <si>
    <t>Bowden, Mark</t>
  </si>
  <si>
    <t>The Alchemist</t>
  </si>
  <si>
    <t>Paulo Coelho</t>
  </si>
  <si>
    <t>Coelho, Paulo</t>
  </si>
  <si>
    <t>Alan R. Clarke</t>
  </si>
  <si>
    <t>Childhood's End</t>
  </si>
  <si>
    <t>Del Rey Books</t>
  </si>
  <si>
    <t>The Chosen (Reuven Malther #1)</t>
  </si>
  <si>
    <t>Chaim Potok</t>
  </si>
  <si>
    <t>Potok, Chaim</t>
  </si>
  <si>
    <t>Fawcett Books</t>
  </si>
  <si>
    <t>Gates of Fire</t>
  </si>
  <si>
    <t>Steven Pressfield</t>
  </si>
  <si>
    <t>Pressfield, Steven</t>
  </si>
  <si>
    <t>Fooled by Randomness: The Hidden Role of Chance in Life and in the Markets</t>
  </si>
  <si>
    <t>Antifragile: Things That Gain from Disorder</t>
  </si>
  <si>
    <t>The Black Swan: The Impact of the Highly Improbable</t>
  </si>
  <si>
    <t xml:space="preserve">Random House </t>
  </si>
  <si>
    <t>The Hitchhiker's Guide to the Galaxy (Hitchhiker's Guide to the Galaxy, #1)</t>
  </si>
  <si>
    <t>Douglas Adams</t>
  </si>
  <si>
    <t>Adams, Douglas</t>
  </si>
  <si>
    <t>Del Rey</t>
  </si>
  <si>
    <t>Dark Pools: The Rise of Artificially Intelligent Trading Machines and the Looming Threat to Wall Street</t>
  </si>
  <si>
    <t>Scott Patterson</t>
  </si>
  <si>
    <t>Patterson, Scott</t>
  </si>
  <si>
    <t>Crown Publishing Group</t>
  </si>
  <si>
    <t>The Tao of Pooh</t>
  </si>
  <si>
    <t>Benjamin Hoff</t>
  </si>
  <si>
    <t>Hoff, Benjamin</t>
  </si>
  <si>
    <t>Ernest H. Shepard</t>
  </si>
  <si>
    <t>Egmont Books</t>
  </si>
  <si>
    <t>Wooden: A Lifetime of Observations and Reflections On and Off the Court</t>
  </si>
  <si>
    <t>John Wooden</t>
  </si>
  <si>
    <t>Wooden, John</t>
  </si>
  <si>
    <t>Steve Jamison</t>
  </si>
  <si>
    <t>McGraw-Hill</t>
  </si>
  <si>
    <t>A Midsummer Night's Dream</t>
  </si>
  <si>
    <t>William Shakespeare</t>
  </si>
  <si>
    <t>Shakespeare, William</t>
  </si>
  <si>
    <t>Barbara A. Mowat, √ñzdemir Nutku, Paul Werstine, Catherine Belsey</t>
  </si>
  <si>
    <t>Simon &amp; Schuster Paperbacks</t>
  </si>
  <si>
    <t>Lord of the Flies</t>
  </si>
  <si>
    <t>William Golding</t>
  </si>
  <si>
    <t>Golding, William</t>
  </si>
  <si>
    <t xml:space="preserve">Penguin Books </t>
  </si>
  <si>
    <t>Erich Fromm</t>
  </si>
  <si>
    <t>New American Library</t>
  </si>
  <si>
    <t>To a God Unknown</t>
  </si>
  <si>
    <t>Robert DeMott</t>
  </si>
  <si>
    <t>The Grapes of Wrath</t>
  </si>
  <si>
    <t>East of Eden</t>
  </si>
  <si>
    <t>The Power and the Glory</t>
  </si>
  <si>
    <t>John Updike</t>
  </si>
  <si>
    <t>A Lesson Before Dying</t>
  </si>
  <si>
    <t>Ernest J. Gaines</t>
  </si>
  <si>
    <t>Gaines, Ernest J.</t>
  </si>
  <si>
    <t>Meditations</t>
  </si>
  <si>
    <t>Marcus Aurelius</t>
  </si>
  <si>
    <t>Aurelius, Marcus</t>
  </si>
  <si>
    <t>Martin Hammond, Albert Wittstock, Diskin Clay</t>
  </si>
  <si>
    <t>Fast Food Nation: The Dark Side of the All-American Meal</t>
  </si>
  <si>
    <t>Eric Schlosser</t>
  </si>
  <si>
    <t>Schlosser, Eric</t>
  </si>
  <si>
    <t>Demons</t>
  </si>
  <si>
    <t>Richard Pevear, Nicolae Gane, Ta≈•jana Ha≈°kov√°, Larissa Volokhonsky, Jaroslav Hul√°k</t>
  </si>
  <si>
    <t>Crime and Punishment</t>
  </si>
  <si>
    <t>David McDuff</t>
  </si>
  <si>
    <t>The Stranger</t>
  </si>
  <si>
    <t>Albert Camus</t>
  </si>
  <si>
    <t>Camus, Albert</t>
  </si>
  <si>
    <t>Matthew    Ward</t>
  </si>
  <si>
    <t>The Scarlet Letter</t>
  </si>
  <si>
    <t>Nathaniel Hawthorne</t>
  </si>
  <si>
    <t>Hawthorne, Nathaniel</t>
  </si>
  <si>
    <t>Thomas E. Connolly, Nina Baym</t>
  </si>
  <si>
    <t>Isaac Newton</t>
  </si>
  <si>
    <t>America the Beautiful: Rediscovering What Made This Nation Great</t>
  </si>
  <si>
    <t>Ben Carson</t>
  </si>
  <si>
    <t>Carson, Ben</t>
  </si>
  <si>
    <t>Zondervan</t>
  </si>
  <si>
    <t>The Wisdom of Crowds</t>
  </si>
  <si>
    <t>James Surowiecki</t>
  </si>
  <si>
    <t>Surowiecki, James</t>
  </si>
  <si>
    <t>First In: An Insider's Account of How the CIA Spearheaded the War on Terror in Afghanistan</t>
  </si>
  <si>
    <t>Gary Schroen</t>
  </si>
  <si>
    <t>Schroen, Gary</t>
  </si>
  <si>
    <t>Presidio Press</t>
  </si>
  <si>
    <t>The Search</t>
  </si>
  <si>
    <t>Berkley Trade</t>
  </si>
  <si>
    <t>Man's Search for Meaning</t>
  </si>
  <si>
    <t>Viktor E. Frankl</t>
  </si>
  <si>
    <t>Frankl, Viktor E.</t>
  </si>
  <si>
    <t>Harold S. Kushner, William J. Winslade, Isle Lasch</t>
  </si>
  <si>
    <t>Beacon Press</t>
  </si>
  <si>
    <t>Anger: Wisdom for Cooling the Flames</t>
  </si>
  <si>
    <t>Outliers: The Story of Success</t>
  </si>
  <si>
    <t>Relax &amp; Win: Championship Performance in Whatever You Do</t>
  </si>
  <si>
    <t>Bud Winter</t>
  </si>
  <si>
    <t>Winter, Bud</t>
  </si>
  <si>
    <t>The Art of Deception: Controlling the Human Element of Security</t>
  </si>
  <si>
    <t>Kevin D. Mitnick</t>
  </si>
  <si>
    <t>Mitnick, Kevin D.</t>
  </si>
  <si>
    <t>William L. Simon, Steve Wozniak</t>
  </si>
  <si>
    <t>Failing Forward: Turning Mistakes Into Stepping Stones for Success</t>
  </si>
  <si>
    <t>John C. Maxwell</t>
  </si>
  <si>
    <t>Maxwell, John C.</t>
  </si>
  <si>
    <t>Thomas Nelson Inc</t>
  </si>
  <si>
    <t>Inside Delta Force: The Story of America's Elite Counterterrorist Unit</t>
  </si>
  <si>
    <t>Eric L. Haney</t>
  </si>
  <si>
    <t>Haney, Eric L.</t>
  </si>
  <si>
    <t>Delta</t>
  </si>
  <si>
    <t>Lions of Kandahar: The Story of a Fight Against All Odds</t>
  </si>
  <si>
    <t>Rusty Bradley</t>
  </si>
  <si>
    <t>Bradley, Rusty</t>
  </si>
  <si>
    <t>Kevin Maurer</t>
  </si>
  <si>
    <t>The 48 Laws of Power</t>
  </si>
  <si>
    <t>Joost Elffers</t>
  </si>
  <si>
    <t>Penguin (Business)</t>
  </si>
  <si>
    <t>The Warrior Elite: The Forging of SEAL Class 228</t>
  </si>
  <si>
    <t>Dick Couch</t>
  </si>
  <si>
    <t>Couch, Dick</t>
  </si>
  <si>
    <t>Cliff Hollenbeck</t>
  </si>
  <si>
    <t>The Greatest Show on Earth: The Evidence for Evolution</t>
  </si>
  <si>
    <t>Richard Dawkins</t>
  </si>
  <si>
    <t>Dawkins, Richard</t>
  </si>
  <si>
    <t>The Contested Plains: Indians, Goldseekers, and the Rush to Colorado</t>
  </si>
  <si>
    <t>Elliott West</t>
  </si>
  <si>
    <t>West, Elliott</t>
  </si>
  <si>
    <t>A Short History of Nearly Everything</t>
  </si>
  <si>
    <t>Bill Bryson</t>
  </si>
  <si>
    <t>Bryson, Bill</t>
  </si>
  <si>
    <t>A Brief History of Time</t>
  </si>
  <si>
    <t>Stephen Hawking</t>
  </si>
  <si>
    <t>Hawking, Stephen</t>
  </si>
  <si>
    <t>Bantam Books</t>
  </si>
  <si>
    <t>Moonwalking with Einstein: The Art and Science of Remembering Everything</t>
  </si>
  <si>
    <t>Penguin Press HC, The</t>
  </si>
  <si>
    <t>SEAL Team Six: Memoirs of an Elite Navy SEAL Sniper</t>
  </si>
  <si>
    <t>Howard E. Wasdin</t>
  </si>
  <si>
    <t>Wasdin, Howard E.</t>
  </si>
  <si>
    <t>Stephen Templin</t>
  </si>
  <si>
    <t>Brothers in Arms: The Kennedys, the Castros, and the Politics of Murder</t>
  </si>
  <si>
    <t>Gus Russo</t>
  </si>
  <si>
    <t>Russo, Gus</t>
  </si>
  <si>
    <t>Stephen Molton</t>
  </si>
  <si>
    <t>Bloomsbury USA</t>
  </si>
  <si>
    <t>Cosmos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</si>
</sst>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45"/>
  <sheetViews>
    <sheetView tabSelected="1" workbookViewId="0">
      <selection activeCell="B2" sqref="B2"/>
    </sheetView>
  </sheetViews>
  <sheetFormatPr baseColWidth="10" defaultRowHeight="16" x14ac:dyDescent="0.2"/>
  <sheetData>
    <row r="1" spans="1:31"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2">
      <c r="A2">
        <v>223556</v>
      </c>
      <c r="B2" t="s">
        <v>31</v>
      </c>
      <c r="C2" t="s">
        <v>32</v>
      </c>
      <c r="D2" t="s">
        <v>33</v>
      </c>
      <c r="E2" t="s">
        <v>34</v>
      </c>
      <c r="F2" t="str">
        <f>"0684824299"</f>
        <v>0684824299</v>
      </c>
      <c r="G2" t="str">
        <f>"9780684824291"</f>
        <v>9780684824291</v>
      </c>
      <c r="H2">
        <v>0</v>
      </c>
      <c r="I2">
        <v>3.56</v>
      </c>
      <c r="J2" t="s">
        <v>35</v>
      </c>
      <c r="K2" t="s">
        <v>36</v>
      </c>
      <c r="L2">
        <v>912</v>
      </c>
      <c r="M2">
        <v>1996</v>
      </c>
      <c r="N2">
        <v>1994</v>
      </c>
      <c r="P2" s="1">
        <v>43926</v>
      </c>
      <c r="Q2" t="s">
        <v>37</v>
      </c>
      <c r="R2" t="s">
        <v>38</v>
      </c>
      <c r="S2" t="s">
        <v>37</v>
      </c>
      <c r="W2">
        <v>0</v>
      </c>
      <c r="Z2">
        <v>0</v>
      </c>
    </row>
    <row r="3" spans="1:31" x14ac:dyDescent="0.2">
      <c r="A3">
        <v>15731248</v>
      </c>
      <c r="B3" t="s">
        <v>39</v>
      </c>
      <c r="C3" t="s">
        <v>40</v>
      </c>
      <c r="D3" t="s">
        <v>41</v>
      </c>
      <c r="F3" t="str">
        <f>""</f>
        <v/>
      </c>
      <c r="G3" t="str">
        <f>""</f>
        <v/>
      </c>
      <c r="H3">
        <v>0</v>
      </c>
      <c r="I3">
        <v>4.24</v>
      </c>
      <c r="J3" t="s">
        <v>40</v>
      </c>
      <c r="K3" t="s">
        <v>42</v>
      </c>
      <c r="L3">
        <v>115</v>
      </c>
      <c r="M3">
        <v>2015</v>
      </c>
      <c r="N3">
        <v>2012</v>
      </c>
      <c r="P3" s="1">
        <v>43924</v>
      </c>
      <c r="Q3" t="s">
        <v>37</v>
      </c>
      <c r="R3" t="s">
        <v>43</v>
      </c>
      <c r="S3" t="s">
        <v>37</v>
      </c>
      <c r="W3">
        <v>0</v>
      </c>
      <c r="Z3">
        <v>0</v>
      </c>
    </row>
    <row r="4" spans="1:31" x14ac:dyDescent="0.2">
      <c r="A4">
        <v>36817</v>
      </c>
      <c r="B4" t="s">
        <v>44</v>
      </c>
      <c r="C4" t="s">
        <v>45</v>
      </c>
      <c r="D4" t="s">
        <v>46</v>
      </c>
      <c r="E4" t="s">
        <v>47</v>
      </c>
      <c r="F4" t="str">
        <f>"097434723X"</f>
        <v>097434723X</v>
      </c>
      <c r="G4" t="str">
        <f>"9780974347233"</f>
        <v>9780974347233</v>
      </c>
      <c r="H4">
        <v>0</v>
      </c>
      <c r="I4">
        <v>3.84</v>
      </c>
      <c r="J4" t="s">
        <v>48</v>
      </c>
      <c r="K4" t="s">
        <v>49</v>
      </c>
      <c r="L4">
        <v>304</v>
      </c>
      <c r="M4">
        <v>2005</v>
      </c>
      <c r="N4">
        <v>1964</v>
      </c>
      <c r="P4" s="1">
        <v>43922</v>
      </c>
      <c r="Q4" t="s">
        <v>37</v>
      </c>
      <c r="R4" t="s">
        <v>50</v>
      </c>
      <c r="S4" t="s">
        <v>37</v>
      </c>
      <c r="W4">
        <v>0</v>
      </c>
      <c r="Z4">
        <v>0</v>
      </c>
    </row>
    <row r="5" spans="1:31" x14ac:dyDescent="0.2">
      <c r="A5">
        <v>8701960</v>
      </c>
      <c r="B5" t="s">
        <v>51</v>
      </c>
      <c r="C5" t="s">
        <v>52</v>
      </c>
      <c r="D5" t="s">
        <v>53</v>
      </c>
      <c r="F5" t="str">
        <f>"0375423729"</f>
        <v>0375423729</v>
      </c>
      <c r="G5" t="str">
        <f>"9780375423727"</f>
        <v>9780375423727</v>
      </c>
      <c r="H5">
        <v>0</v>
      </c>
      <c r="I5">
        <v>4</v>
      </c>
      <c r="J5" t="s">
        <v>54</v>
      </c>
      <c r="K5" t="s">
        <v>49</v>
      </c>
      <c r="L5">
        <v>527</v>
      </c>
      <c r="M5">
        <v>2011</v>
      </c>
      <c r="N5">
        <v>2011</v>
      </c>
      <c r="P5" s="1">
        <v>43091</v>
      </c>
      <c r="Q5" t="s">
        <v>55</v>
      </c>
      <c r="R5" t="s">
        <v>56</v>
      </c>
      <c r="S5" t="s">
        <v>57</v>
      </c>
      <c r="W5">
        <v>1</v>
      </c>
      <c r="Z5">
        <v>0</v>
      </c>
    </row>
    <row r="6" spans="1:31" x14ac:dyDescent="0.2">
      <c r="A6">
        <v>39092290</v>
      </c>
      <c r="B6" t="s">
        <v>58</v>
      </c>
      <c r="C6" t="s">
        <v>59</v>
      </c>
      <c r="D6" t="s">
        <v>60</v>
      </c>
      <c r="F6" t="str">
        <f>""</f>
        <v/>
      </c>
      <c r="G6" t="str">
        <f>""</f>
        <v/>
      </c>
      <c r="H6">
        <v>0</v>
      </c>
      <c r="I6">
        <v>3.92</v>
      </c>
      <c r="J6" t="s">
        <v>61</v>
      </c>
      <c r="K6" t="s">
        <v>62</v>
      </c>
      <c r="L6">
        <v>142</v>
      </c>
      <c r="M6">
        <v>2012</v>
      </c>
      <c r="N6">
        <v>1933</v>
      </c>
      <c r="P6" s="1">
        <v>43700</v>
      </c>
      <c r="Q6" t="s">
        <v>55</v>
      </c>
      <c r="R6" t="s">
        <v>63</v>
      </c>
      <c r="S6" t="s">
        <v>57</v>
      </c>
      <c r="W6">
        <v>1</v>
      </c>
      <c r="Z6">
        <v>0</v>
      </c>
    </row>
    <row r="7" spans="1:31" x14ac:dyDescent="0.2">
      <c r="A7">
        <v>83017</v>
      </c>
      <c r="B7" t="s">
        <v>64</v>
      </c>
      <c r="C7" t="s">
        <v>65</v>
      </c>
      <c r="D7" t="s">
        <v>66</v>
      </c>
      <c r="E7" t="s">
        <v>67</v>
      </c>
      <c r="F7" t="str">
        <f>"1567923046"</f>
        <v>1567923046</v>
      </c>
      <c r="G7" t="str">
        <f>"9781567923049"</f>
        <v>9781567923049</v>
      </c>
      <c r="H7">
        <v>0</v>
      </c>
      <c r="I7">
        <v>4.18</v>
      </c>
      <c r="J7" t="s">
        <v>68</v>
      </c>
      <c r="K7" t="s">
        <v>36</v>
      </c>
      <c r="L7">
        <v>198</v>
      </c>
      <c r="M7">
        <v>2005</v>
      </c>
      <c r="N7">
        <v>1940</v>
      </c>
      <c r="P7" s="1">
        <v>43921</v>
      </c>
      <c r="Q7" t="s">
        <v>55</v>
      </c>
      <c r="R7" t="s">
        <v>69</v>
      </c>
      <c r="S7" t="s">
        <v>57</v>
      </c>
      <c r="W7">
        <v>0</v>
      </c>
      <c r="Z7">
        <v>0</v>
      </c>
    </row>
    <row r="8" spans="1:31" x14ac:dyDescent="0.2">
      <c r="A8">
        <v>35629744</v>
      </c>
      <c r="B8" t="s">
        <v>70</v>
      </c>
      <c r="C8" t="s">
        <v>71</v>
      </c>
      <c r="D8" t="s">
        <v>72</v>
      </c>
      <c r="F8" t="str">
        <f>"0735222916"</f>
        <v>0735222916</v>
      </c>
      <c r="G8" t="str">
        <f>"9780735222915"</f>
        <v>9780735222915</v>
      </c>
      <c r="H8">
        <v>0</v>
      </c>
      <c r="I8">
        <v>3.65</v>
      </c>
      <c r="J8" t="s">
        <v>73</v>
      </c>
      <c r="K8" t="s">
        <v>49</v>
      </c>
      <c r="L8">
        <v>592</v>
      </c>
      <c r="M8">
        <v>2018</v>
      </c>
      <c r="N8">
        <v>2017</v>
      </c>
      <c r="P8" s="1">
        <v>43701</v>
      </c>
      <c r="Q8" t="s">
        <v>74</v>
      </c>
      <c r="R8" t="s">
        <v>75</v>
      </c>
      <c r="S8" t="s">
        <v>74</v>
      </c>
      <c r="W8">
        <v>1</v>
      </c>
      <c r="Z8">
        <v>0</v>
      </c>
    </row>
    <row r="9" spans="1:31" x14ac:dyDescent="0.2">
      <c r="A9">
        <v>6004724</v>
      </c>
      <c r="B9" t="s">
        <v>76</v>
      </c>
      <c r="C9" t="s">
        <v>77</v>
      </c>
      <c r="D9" t="s">
        <v>78</v>
      </c>
      <c r="F9" t="str">
        <f>"0385521308"</f>
        <v>0385521308</v>
      </c>
      <c r="G9" t="str">
        <f>"9780385521307"</f>
        <v>9780385521307</v>
      </c>
      <c r="H9">
        <v>4</v>
      </c>
      <c r="I9">
        <v>3.99</v>
      </c>
      <c r="J9" t="s">
        <v>79</v>
      </c>
      <c r="K9" t="s">
        <v>49</v>
      </c>
      <c r="L9">
        <v>432</v>
      </c>
      <c r="M9">
        <v>2009</v>
      </c>
      <c r="N9">
        <v>2009</v>
      </c>
      <c r="O9" s="1">
        <v>43919</v>
      </c>
      <c r="P9" s="1">
        <v>43889</v>
      </c>
      <c r="S9" t="s">
        <v>57</v>
      </c>
      <c r="T9" t="s">
        <v>80</v>
      </c>
      <c r="W9">
        <v>1</v>
      </c>
      <c r="Z9">
        <v>0</v>
      </c>
    </row>
    <row r="10" spans="1:31" x14ac:dyDescent="0.2">
      <c r="A10">
        <v>17349</v>
      </c>
      <c r="B10" t="s">
        <v>81</v>
      </c>
      <c r="C10" t="s">
        <v>82</v>
      </c>
      <c r="D10" t="s">
        <v>83</v>
      </c>
      <c r="E10" t="s">
        <v>84</v>
      </c>
      <c r="F10" t="str">
        <f>"0345409469"</f>
        <v>0345409469</v>
      </c>
      <c r="G10" t="str">
        <f>"9780345409461"</f>
        <v>9780345409461</v>
      </c>
      <c r="H10">
        <v>0</v>
      </c>
      <c r="I10">
        <v>4.2699999999999996</v>
      </c>
      <c r="J10" t="s">
        <v>85</v>
      </c>
      <c r="K10" t="s">
        <v>36</v>
      </c>
      <c r="L10">
        <v>459</v>
      </c>
      <c r="M10">
        <v>1997</v>
      </c>
      <c r="N10">
        <v>1996</v>
      </c>
      <c r="P10" s="1">
        <v>43918</v>
      </c>
      <c r="Q10" t="s">
        <v>37</v>
      </c>
      <c r="R10" t="s">
        <v>86</v>
      </c>
      <c r="S10" t="s">
        <v>37</v>
      </c>
      <c r="W10">
        <v>0</v>
      </c>
      <c r="Z10">
        <v>0</v>
      </c>
    </row>
    <row r="11" spans="1:31" x14ac:dyDescent="0.2">
      <c r="A11">
        <v>28820444</v>
      </c>
      <c r="B11" t="s">
        <v>87</v>
      </c>
      <c r="C11" t="s">
        <v>88</v>
      </c>
      <c r="D11" t="s">
        <v>89</v>
      </c>
      <c r="E11" t="s">
        <v>90</v>
      </c>
      <c r="F11" t="str">
        <f>""</f>
        <v/>
      </c>
      <c r="G11" t="str">
        <f>"9780190496012"</f>
        <v>9780190496012</v>
      </c>
      <c r="H11">
        <v>0</v>
      </c>
      <c r="I11">
        <v>4.07</v>
      </c>
      <c r="J11" t="s">
        <v>91</v>
      </c>
      <c r="K11" t="s">
        <v>42</v>
      </c>
      <c r="L11">
        <v>408</v>
      </c>
      <c r="M11">
        <v>2017</v>
      </c>
      <c r="N11">
        <v>2018</v>
      </c>
      <c r="P11" s="1">
        <v>43918</v>
      </c>
      <c r="Q11" t="s">
        <v>37</v>
      </c>
      <c r="R11" t="s">
        <v>92</v>
      </c>
      <c r="S11" t="s">
        <v>37</v>
      </c>
      <c r="W11">
        <v>0</v>
      </c>
      <c r="Z11">
        <v>0</v>
      </c>
    </row>
    <row r="12" spans="1:31" x14ac:dyDescent="0.2">
      <c r="A12">
        <v>24800</v>
      </c>
      <c r="B12" t="s">
        <v>93</v>
      </c>
      <c r="C12" t="s">
        <v>94</v>
      </c>
      <c r="D12" t="s">
        <v>95</v>
      </c>
      <c r="F12" t="str">
        <f>"038560310X"</f>
        <v>038560310X</v>
      </c>
      <c r="G12" t="str">
        <f>"9780385603102"</f>
        <v>9780385603102</v>
      </c>
      <c r="H12">
        <v>0</v>
      </c>
      <c r="I12">
        <v>4.0999999999999996</v>
      </c>
      <c r="J12" t="s">
        <v>96</v>
      </c>
      <c r="K12" t="s">
        <v>36</v>
      </c>
      <c r="L12">
        <v>705</v>
      </c>
      <c r="M12">
        <v>2000</v>
      </c>
      <c r="N12">
        <v>2000</v>
      </c>
      <c r="P12" s="1">
        <v>43918</v>
      </c>
      <c r="Q12" t="s">
        <v>37</v>
      </c>
      <c r="R12" t="s">
        <v>97</v>
      </c>
      <c r="S12" t="s">
        <v>37</v>
      </c>
      <c r="W12">
        <v>0</v>
      </c>
      <c r="Z12">
        <v>0</v>
      </c>
    </row>
    <row r="13" spans="1:31" x14ac:dyDescent="0.2">
      <c r="A13">
        <v>743692</v>
      </c>
      <c r="B13" t="s">
        <v>98</v>
      </c>
      <c r="C13" t="s">
        <v>99</v>
      </c>
      <c r="D13" t="s">
        <v>100</v>
      </c>
      <c r="E13" t="s">
        <v>101</v>
      </c>
      <c r="F13" t="str">
        <f>"1928649270"</f>
        <v>1928649270</v>
      </c>
      <c r="G13" t="str">
        <f>"9781928649274"</f>
        <v>9781928649274</v>
      </c>
      <c r="H13">
        <v>0</v>
      </c>
      <c r="I13">
        <v>4.26</v>
      </c>
      <c r="J13" t="s">
        <v>102</v>
      </c>
      <c r="K13" t="s">
        <v>36</v>
      </c>
      <c r="L13">
        <v>362</v>
      </c>
      <c r="M13">
        <v>2004</v>
      </c>
      <c r="N13">
        <v>2004</v>
      </c>
      <c r="P13" s="1">
        <v>43917</v>
      </c>
      <c r="Q13" t="s">
        <v>37</v>
      </c>
      <c r="R13" t="s">
        <v>103</v>
      </c>
      <c r="S13" t="s">
        <v>37</v>
      </c>
      <c r="W13">
        <v>0</v>
      </c>
      <c r="Z13">
        <v>0</v>
      </c>
    </row>
    <row r="14" spans="1:31" x14ac:dyDescent="0.2">
      <c r="A14">
        <v>177766</v>
      </c>
      <c r="B14" t="s">
        <v>104</v>
      </c>
      <c r="C14" t="s">
        <v>105</v>
      </c>
      <c r="D14" t="s">
        <v>106</v>
      </c>
      <c r="F14" t="str">
        <f>"0385720386"</f>
        <v>0385720386</v>
      </c>
      <c r="G14" t="str">
        <f>"9780385720380"</f>
        <v>9780385720380</v>
      </c>
      <c r="H14">
        <v>0</v>
      </c>
      <c r="I14">
        <v>4.0599999999999996</v>
      </c>
      <c r="J14" t="s">
        <v>107</v>
      </c>
      <c r="K14" t="s">
        <v>36</v>
      </c>
      <c r="L14">
        <v>526</v>
      </c>
      <c r="M14">
        <v>2002</v>
      </c>
      <c r="N14">
        <v>2001</v>
      </c>
      <c r="P14" s="1">
        <v>43915</v>
      </c>
      <c r="Q14" t="s">
        <v>37</v>
      </c>
      <c r="R14" t="s">
        <v>108</v>
      </c>
      <c r="S14" t="s">
        <v>37</v>
      </c>
      <c r="W14">
        <v>0</v>
      </c>
      <c r="Z14">
        <v>0</v>
      </c>
    </row>
    <row r="15" spans="1:31" x14ac:dyDescent="0.2">
      <c r="A15">
        <v>40940205</v>
      </c>
      <c r="B15" t="s">
        <v>109</v>
      </c>
      <c r="C15" t="s">
        <v>110</v>
      </c>
      <c r="D15" t="s">
        <v>111</v>
      </c>
      <c r="F15" t="str">
        <f>""</f>
        <v/>
      </c>
      <c r="G15" t="str">
        <f>""</f>
        <v/>
      </c>
      <c r="H15">
        <v>2</v>
      </c>
      <c r="I15">
        <v>4.03</v>
      </c>
      <c r="J15" t="s">
        <v>112</v>
      </c>
      <c r="K15" t="s">
        <v>62</v>
      </c>
      <c r="L15">
        <v>182</v>
      </c>
      <c r="M15">
        <v>2016</v>
      </c>
      <c r="N15">
        <v>2016</v>
      </c>
      <c r="O15" s="1">
        <v>43915</v>
      </c>
      <c r="P15" s="1">
        <v>43899</v>
      </c>
      <c r="S15" t="s">
        <v>57</v>
      </c>
      <c r="T15" t="s">
        <v>113</v>
      </c>
      <c r="W15">
        <v>1</v>
      </c>
      <c r="Z15">
        <v>0</v>
      </c>
    </row>
    <row r="16" spans="1:31" x14ac:dyDescent="0.2">
      <c r="A16">
        <v>46945</v>
      </c>
      <c r="B16" t="s">
        <v>114</v>
      </c>
      <c r="C16" t="s">
        <v>115</v>
      </c>
      <c r="D16" t="s">
        <v>116</v>
      </c>
      <c r="E16" t="s">
        <v>117</v>
      </c>
      <c r="F16" t="str">
        <f>"1560252480"</f>
        <v>1560252480</v>
      </c>
      <c r="G16" t="str">
        <f>"9781560252481"</f>
        <v>9781560252481</v>
      </c>
      <c r="H16">
        <v>5</v>
      </c>
      <c r="I16">
        <v>4.1100000000000003</v>
      </c>
      <c r="J16" t="s">
        <v>118</v>
      </c>
      <c r="K16" t="s">
        <v>119</v>
      </c>
      <c r="L16">
        <v>279</v>
      </c>
      <c r="M16">
        <v>1999</v>
      </c>
      <c r="N16">
        <v>1978</v>
      </c>
      <c r="O16" s="1">
        <v>43914</v>
      </c>
      <c r="P16" s="1">
        <v>43883</v>
      </c>
      <c r="S16" t="s">
        <v>57</v>
      </c>
      <c r="T16" t="s">
        <v>120</v>
      </c>
      <c r="W16">
        <v>1</v>
      </c>
      <c r="Z16">
        <v>0</v>
      </c>
    </row>
    <row r="17" spans="1:26" x14ac:dyDescent="0.2">
      <c r="A17">
        <v>115596</v>
      </c>
      <c r="B17" t="s">
        <v>121</v>
      </c>
      <c r="C17" t="s">
        <v>122</v>
      </c>
      <c r="D17" t="s">
        <v>123</v>
      </c>
      <c r="E17" t="s">
        <v>124</v>
      </c>
      <c r="F17" t="str">
        <f>"0140432086"</f>
        <v>0140432086</v>
      </c>
      <c r="G17" t="str">
        <f>"9780140432084"</f>
        <v>9780140432084</v>
      </c>
      <c r="H17">
        <v>0</v>
      </c>
      <c r="I17">
        <v>3.96</v>
      </c>
      <c r="J17" t="s">
        <v>125</v>
      </c>
      <c r="K17" t="s">
        <v>36</v>
      </c>
      <c r="L17">
        <v>544</v>
      </c>
      <c r="M17">
        <v>1982</v>
      </c>
      <c r="N17">
        <v>1776</v>
      </c>
      <c r="P17" s="1">
        <v>43913</v>
      </c>
      <c r="Q17" t="s">
        <v>37</v>
      </c>
      <c r="R17" t="s">
        <v>126</v>
      </c>
      <c r="S17" t="s">
        <v>37</v>
      </c>
      <c r="W17">
        <v>0</v>
      </c>
      <c r="Z17">
        <v>0</v>
      </c>
    </row>
    <row r="18" spans="1:26" x14ac:dyDescent="0.2">
      <c r="A18">
        <v>303615</v>
      </c>
      <c r="B18" t="s">
        <v>127</v>
      </c>
      <c r="C18" t="s">
        <v>128</v>
      </c>
      <c r="D18" t="s">
        <v>129</v>
      </c>
      <c r="F18" t="str">
        <f>"1573921394"</f>
        <v>1573921394</v>
      </c>
      <c r="G18" t="str">
        <f>"9781573921398"</f>
        <v>9781573921398</v>
      </c>
      <c r="H18">
        <v>0</v>
      </c>
      <c r="I18">
        <v>3.84</v>
      </c>
      <c r="J18" t="s">
        <v>130</v>
      </c>
      <c r="K18" t="s">
        <v>36</v>
      </c>
      <c r="L18">
        <v>403</v>
      </c>
      <c r="M18">
        <v>1997</v>
      </c>
      <c r="N18">
        <v>1935</v>
      </c>
      <c r="P18" s="1">
        <v>43913</v>
      </c>
      <c r="Q18" t="s">
        <v>37</v>
      </c>
      <c r="R18" t="s">
        <v>131</v>
      </c>
      <c r="S18" t="s">
        <v>37</v>
      </c>
      <c r="W18">
        <v>0</v>
      </c>
      <c r="Z18">
        <v>0</v>
      </c>
    </row>
    <row r="19" spans="1:26" x14ac:dyDescent="0.2">
      <c r="A19">
        <v>23168840</v>
      </c>
      <c r="B19" t="s">
        <v>132</v>
      </c>
      <c r="C19" t="s">
        <v>133</v>
      </c>
      <c r="D19" t="s">
        <v>134</v>
      </c>
      <c r="F19" t="str">
        <f>"1627793445"</f>
        <v>1627793445</v>
      </c>
      <c r="G19" t="str">
        <f>"9781627793445"</f>
        <v>9781627793445</v>
      </c>
      <c r="H19">
        <v>0</v>
      </c>
      <c r="I19">
        <v>4.03</v>
      </c>
      <c r="J19" t="s">
        <v>135</v>
      </c>
      <c r="K19" t="s">
        <v>36</v>
      </c>
      <c r="L19">
        <v>156</v>
      </c>
      <c r="M19">
        <v>2015</v>
      </c>
      <c r="N19">
        <v>2014</v>
      </c>
      <c r="P19" s="1">
        <v>43912</v>
      </c>
      <c r="Q19" t="s">
        <v>37</v>
      </c>
      <c r="R19" t="s">
        <v>136</v>
      </c>
      <c r="S19" t="s">
        <v>37</v>
      </c>
      <c r="W19">
        <v>0</v>
      </c>
      <c r="Z19">
        <v>0</v>
      </c>
    </row>
    <row r="20" spans="1:26" x14ac:dyDescent="0.2">
      <c r="A20">
        <v>377742</v>
      </c>
      <c r="B20" t="s">
        <v>137</v>
      </c>
      <c r="C20" t="s">
        <v>138</v>
      </c>
      <c r="D20" t="s">
        <v>139</v>
      </c>
      <c r="E20" t="s">
        <v>137</v>
      </c>
      <c r="F20" t="str">
        <f>"0810981149"</f>
        <v>0810981149</v>
      </c>
      <c r="G20" t="str">
        <f>"9780810981140"</f>
        <v>9780810981140</v>
      </c>
      <c r="H20">
        <v>0</v>
      </c>
      <c r="I20">
        <v>4.1500000000000004</v>
      </c>
      <c r="J20" t="s">
        <v>140</v>
      </c>
      <c r="K20" t="s">
        <v>49</v>
      </c>
      <c r="L20">
        <v>306</v>
      </c>
      <c r="M20">
        <v>1993</v>
      </c>
      <c r="N20">
        <v>1971</v>
      </c>
      <c r="P20" s="1">
        <v>43912</v>
      </c>
      <c r="Q20" t="s">
        <v>37</v>
      </c>
      <c r="R20" t="s">
        <v>141</v>
      </c>
      <c r="S20" t="s">
        <v>37</v>
      </c>
      <c r="W20">
        <v>0</v>
      </c>
      <c r="Z20">
        <v>0</v>
      </c>
    </row>
    <row r="21" spans="1:26" x14ac:dyDescent="0.2">
      <c r="A21">
        <v>825419</v>
      </c>
      <c r="B21" t="s">
        <v>142</v>
      </c>
      <c r="C21" t="s">
        <v>143</v>
      </c>
      <c r="D21" t="s">
        <v>144</v>
      </c>
      <c r="F21" t="str">
        <f>"0140095144"</f>
        <v>0140095144</v>
      </c>
      <c r="G21" t="str">
        <f>"9780140095142"</f>
        <v>9780140095142</v>
      </c>
      <c r="H21">
        <v>3</v>
      </c>
      <c r="I21">
        <v>4.17</v>
      </c>
      <c r="J21" t="s">
        <v>145</v>
      </c>
      <c r="K21" t="s">
        <v>36</v>
      </c>
      <c r="L21">
        <v>347</v>
      </c>
      <c r="M21">
        <v>1984</v>
      </c>
      <c r="N21">
        <v>1959</v>
      </c>
      <c r="O21" s="1">
        <v>43909</v>
      </c>
      <c r="P21" s="1">
        <v>43702</v>
      </c>
      <c r="S21" t="s">
        <v>57</v>
      </c>
      <c r="T21" t="s">
        <v>146</v>
      </c>
      <c r="W21">
        <v>1</v>
      </c>
      <c r="Z21">
        <v>0</v>
      </c>
    </row>
    <row r="22" spans="1:26" x14ac:dyDescent="0.2">
      <c r="A22">
        <v>853510</v>
      </c>
      <c r="B22" t="s">
        <v>147</v>
      </c>
      <c r="C22" t="s">
        <v>148</v>
      </c>
      <c r="D22" t="s">
        <v>149</v>
      </c>
      <c r="F22" t="str">
        <f>"0007119313"</f>
        <v>0007119313</v>
      </c>
      <c r="G22" t="str">
        <f>"9780007119318"</f>
        <v>9780007119318</v>
      </c>
      <c r="H22">
        <v>0</v>
      </c>
      <c r="I22">
        <v>4.17</v>
      </c>
      <c r="J22" t="s">
        <v>150</v>
      </c>
      <c r="K22" t="s">
        <v>36</v>
      </c>
      <c r="L22">
        <v>347</v>
      </c>
      <c r="M22">
        <v>2007</v>
      </c>
      <c r="N22">
        <v>1934</v>
      </c>
      <c r="P22" s="1">
        <v>43909</v>
      </c>
      <c r="Q22" t="s">
        <v>37</v>
      </c>
      <c r="R22" t="s">
        <v>151</v>
      </c>
      <c r="S22" t="s">
        <v>37</v>
      </c>
      <c r="W22">
        <v>0</v>
      </c>
      <c r="Z22">
        <v>0</v>
      </c>
    </row>
    <row r="23" spans="1:26" x14ac:dyDescent="0.2">
      <c r="A23">
        <v>28815</v>
      </c>
      <c r="B23" t="s">
        <v>152</v>
      </c>
      <c r="C23" t="s">
        <v>153</v>
      </c>
      <c r="D23" t="s">
        <v>154</v>
      </c>
      <c r="F23" t="str">
        <f>"006124189X"</f>
        <v>006124189X</v>
      </c>
      <c r="G23" t="str">
        <f>"9780061241895"</f>
        <v>9780061241895</v>
      </c>
      <c r="H23">
        <v>0</v>
      </c>
      <c r="I23">
        <v>4.1900000000000004</v>
      </c>
      <c r="J23" t="s">
        <v>155</v>
      </c>
      <c r="K23" t="s">
        <v>36</v>
      </c>
      <c r="L23">
        <v>320</v>
      </c>
      <c r="M23">
        <v>2006</v>
      </c>
      <c r="N23">
        <v>1984</v>
      </c>
      <c r="P23" s="1">
        <v>43906</v>
      </c>
      <c r="Q23" t="s">
        <v>37</v>
      </c>
      <c r="R23" t="s">
        <v>156</v>
      </c>
      <c r="S23" t="s">
        <v>37</v>
      </c>
      <c r="W23">
        <v>0</v>
      </c>
      <c r="Z23">
        <v>0</v>
      </c>
    </row>
    <row r="24" spans="1:26" x14ac:dyDescent="0.2">
      <c r="A24">
        <v>1139231</v>
      </c>
      <c r="B24" t="s">
        <v>157</v>
      </c>
      <c r="C24" t="s">
        <v>158</v>
      </c>
      <c r="D24" t="s">
        <v>159</v>
      </c>
      <c r="F24" t="str">
        <f>"0465072097"</f>
        <v>0465072097</v>
      </c>
      <c r="G24" t="str">
        <f>"9780465072095"</f>
        <v>9780465072095</v>
      </c>
      <c r="H24">
        <v>0</v>
      </c>
      <c r="I24">
        <v>4.1500000000000004</v>
      </c>
      <c r="J24" t="s">
        <v>160</v>
      </c>
      <c r="K24" t="s">
        <v>49</v>
      </c>
      <c r="L24">
        <v>267</v>
      </c>
      <c r="M24">
        <v>2007</v>
      </c>
      <c r="N24">
        <v>2005</v>
      </c>
      <c r="P24" s="1">
        <v>43905</v>
      </c>
      <c r="Q24" t="s">
        <v>37</v>
      </c>
      <c r="R24" t="s">
        <v>161</v>
      </c>
      <c r="S24" t="s">
        <v>37</v>
      </c>
      <c r="W24">
        <v>0</v>
      </c>
      <c r="Z24">
        <v>0</v>
      </c>
    </row>
    <row r="25" spans="1:26" x14ac:dyDescent="0.2">
      <c r="A25">
        <v>36681373</v>
      </c>
      <c r="B25" t="s">
        <v>162</v>
      </c>
      <c r="C25" t="s">
        <v>163</v>
      </c>
      <c r="D25" t="s">
        <v>164</v>
      </c>
      <c r="F25" t="str">
        <f>""</f>
        <v/>
      </c>
      <c r="G25" t="str">
        <f>""</f>
        <v/>
      </c>
      <c r="H25">
        <v>0</v>
      </c>
      <c r="I25">
        <v>3.93</v>
      </c>
      <c r="J25" t="s">
        <v>165</v>
      </c>
      <c r="K25" t="s">
        <v>62</v>
      </c>
      <c r="L25">
        <v>1063</v>
      </c>
      <c r="M25">
        <v>2017</v>
      </c>
      <c r="N25">
        <v>1519</v>
      </c>
      <c r="P25" s="1">
        <v>43091</v>
      </c>
      <c r="S25" t="s">
        <v>57</v>
      </c>
      <c r="W25">
        <v>1</v>
      </c>
      <c r="Z25">
        <v>0</v>
      </c>
    </row>
    <row r="26" spans="1:26" x14ac:dyDescent="0.2">
      <c r="A26">
        <v>258860</v>
      </c>
      <c r="B26" t="s">
        <v>166</v>
      </c>
      <c r="C26" t="s">
        <v>167</v>
      </c>
      <c r="D26" t="s">
        <v>168</v>
      </c>
      <c r="F26" t="str">
        <f>"184018907X"</f>
        <v>184018907X</v>
      </c>
      <c r="G26" t="str">
        <f>"9781840189070"</f>
        <v>9781840189070</v>
      </c>
      <c r="H26">
        <v>3</v>
      </c>
      <c r="I26">
        <v>3.99</v>
      </c>
      <c r="J26" t="s">
        <v>169</v>
      </c>
      <c r="K26" t="s">
        <v>36</v>
      </c>
      <c r="L26">
        <v>320</v>
      </c>
      <c r="M26">
        <v>2004</v>
      </c>
      <c r="O26" s="1">
        <v>43814</v>
      </c>
      <c r="P26" s="1">
        <v>43701</v>
      </c>
      <c r="S26" t="s">
        <v>57</v>
      </c>
      <c r="T26" t="s">
        <v>170</v>
      </c>
      <c r="W26">
        <v>1</v>
      </c>
      <c r="Z26">
        <v>0</v>
      </c>
    </row>
    <row r="27" spans="1:26" x14ac:dyDescent="0.2">
      <c r="A27">
        <v>40163119</v>
      </c>
      <c r="B27" t="s">
        <v>171</v>
      </c>
      <c r="C27" t="s">
        <v>77</v>
      </c>
      <c r="D27" t="s">
        <v>78</v>
      </c>
      <c r="F27" t="str">
        <f>"0385521316"</f>
        <v>0385521316</v>
      </c>
      <c r="G27" t="str">
        <f>"9780385521314"</f>
        <v>9780385521314</v>
      </c>
      <c r="H27">
        <v>4</v>
      </c>
      <c r="I27">
        <v>4.43</v>
      </c>
      <c r="J27" t="s">
        <v>79</v>
      </c>
      <c r="K27" t="s">
        <v>49</v>
      </c>
      <c r="L27">
        <v>441</v>
      </c>
      <c r="M27">
        <v>2019</v>
      </c>
      <c r="N27">
        <v>2018</v>
      </c>
      <c r="O27" s="1">
        <v>43900</v>
      </c>
      <c r="P27" s="1">
        <v>43835</v>
      </c>
      <c r="S27" t="s">
        <v>57</v>
      </c>
      <c r="T27" t="s">
        <v>172</v>
      </c>
      <c r="W27">
        <v>1</v>
      </c>
      <c r="Z27">
        <v>0</v>
      </c>
    </row>
    <row r="28" spans="1:26" x14ac:dyDescent="0.2">
      <c r="A28">
        <v>289947</v>
      </c>
      <c r="B28" t="s">
        <v>173</v>
      </c>
      <c r="C28" t="s">
        <v>174</v>
      </c>
      <c r="D28" t="s">
        <v>175</v>
      </c>
      <c r="F28" t="str">
        <f>"0738206709"</f>
        <v>0738206709</v>
      </c>
      <c r="G28" t="str">
        <f>"9780738206707"</f>
        <v>9780738206707</v>
      </c>
      <c r="H28">
        <v>3</v>
      </c>
      <c r="I28">
        <v>3.94</v>
      </c>
      <c r="J28" t="s">
        <v>176</v>
      </c>
      <c r="K28" t="s">
        <v>36</v>
      </c>
      <c r="L28">
        <v>344</v>
      </c>
      <c r="M28">
        <v>2002</v>
      </c>
      <c r="N28">
        <v>2000</v>
      </c>
      <c r="O28" s="1">
        <v>43899</v>
      </c>
      <c r="P28" s="1">
        <v>43701</v>
      </c>
      <c r="S28" t="s">
        <v>57</v>
      </c>
      <c r="T28" t="s">
        <v>177</v>
      </c>
      <c r="W28">
        <v>1</v>
      </c>
      <c r="Z28">
        <v>0</v>
      </c>
    </row>
    <row r="29" spans="1:26" x14ac:dyDescent="0.2">
      <c r="A29">
        <v>16240481</v>
      </c>
      <c r="B29" t="s">
        <v>178</v>
      </c>
      <c r="C29" t="s">
        <v>179</v>
      </c>
      <c r="D29" t="s">
        <v>180</v>
      </c>
      <c r="F29" t="str">
        <f>"1848547528"</f>
        <v>1848547528</v>
      </c>
      <c r="G29" t="str">
        <f>"9781848547520"</f>
        <v>9781848547520</v>
      </c>
      <c r="H29">
        <v>0</v>
      </c>
      <c r="I29">
        <v>4.2300000000000004</v>
      </c>
      <c r="J29" t="s">
        <v>181</v>
      </c>
      <c r="K29" t="s">
        <v>49</v>
      </c>
      <c r="L29">
        <v>362</v>
      </c>
      <c r="M29">
        <v>2013</v>
      </c>
      <c r="N29">
        <v>2013</v>
      </c>
      <c r="P29" s="1">
        <v>43898</v>
      </c>
      <c r="Q29" t="s">
        <v>37</v>
      </c>
      <c r="R29" t="s">
        <v>182</v>
      </c>
      <c r="S29" t="s">
        <v>37</v>
      </c>
      <c r="W29">
        <v>0</v>
      </c>
      <c r="Z29">
        <v>0</v>
      </c>
    </row>
    <row r="30" spans="1:26" x14ac:dyDescent="0.2">
      <c r="A30">
        <v>293207</v>
      </c>
      <c r="B30" t="s">
        <v>183</v>
      </c>
      <c r="C30" t="s">
        <v>179</v>
      </c>
      <c r="D30" t="s">
        <v>180</v>
      </c>
      <c r="E30" t="s">
        <v>184</v>
      </c>
      <c r="F30" t="str">
        <f>"1590171667"</f>
        <v>1590171667</v>
      </c>
      <c r="G30" t="str">
        <f>"9781590171660"</f>
        <v>9781590171660</v>
      </c>
      <c r="H30">
        <v>0</v>
      </c>
      <c r="I30">
        <v>4.3</v>
      </c>
      <c r="J30" t="s">
        <v>185</v>
      </c>
      <c r="K30" t="s">
        <v>36</v>
      </c>
      <c r="L30">
        <v>280</v>
      </c>
      <c r="M30">
        <v>2005</v>
      </c>
      <c r="N30">
        <v>1986</v>
      </c>
      <c r="P30" s="1">
        <v>43898</v>
      </c>
      <c r="Q30" t="s">
        <v>37</v>
      </c>
      <c r="R30" t="s">
        <v>186</v>
      </c>
      <c r="S30" t="s">
        <v>37</v>
      </c>
      <c r="W30">
        <v>0</v>
      </c>
      <c r="Z30">
        <v>0</v>
      </c>
    </row>
    <row r="31" spans="1:26" x14ac:dyDescent="0.2">
      <c r="A31">
        <v>282085</v>
      </c>
      <c r="B31" t="s">
        <v>187</v>
      </c>
      <c r="C31" t="s">
        <v>34</v>
      </c>
      <c r="D31" t="s">
        <v>188</v>
      </c>
      <c r="F31" t="str">
        <f>"0060929642"</f>
        <v>0060929642</v>
      </c>
      <c r="G31" t="str">
        <f>"9780060929640"</f>
        <v>9780060929640</v>
      </c>
      <c r="H31">
        <v>0</v>
      </c>
      <c r="I31">
        <v>3.89</v>
      </c>
      <c r="J31" t="s">
        <v>189</v>
      </c>
      <c r="K31" t="s">
        <v>36</v>
      </c>
      <c r="L31">
        <v>688</v>
      </c>
      <c r="M31">
        <v>2004</v>
      </c>
      <c r="N31">
        <v>2004</v>
      </c>
      <c r="P31" s="1">
        <v>43702</v>
      </c>
      <c r="Q31" t="s">
        <v>74</v>
      </c>
      <c r="R31" t="s">
        <v>190</v>
      </c>
      <c r="S31" t="s">
        <v>74</v>
      </c>
      <c r="W31">
        <v>1</v>
      </c>
      <c r="Z31">
        <v>0</v>
      </c>
    </row>
    <row r="32" spans="1:26" x14ac:dyDescent="0.2">
      <c r="A32">
        <v>7190</v>
      </c>
      <c r="B32" t="s">
        <v>191</v>
      </c>
      <c r="C32" t="s">
        <v>192</v>
      </c>
      <c r="D32" t="s">
        <v>193</v>
      </c>
      <c r="F32" t="str">
        <f>""</f>
        <v/>
      </c>
      <c r="G32" t="str">
        <f>""</f>
        <v/>
      </c>
      <c r="H32">
        <v>0</v>
      </c>
      <c r="I32">
        <v>4.07</v>
      </c>
      <c r="J32" t="s">
        <v>194</v>
      </c>
      <c r="K32" t="s">
        <v>36</v>
      </c>
      <c r="L32">
        <v>625</v>
      </c>
      <c r="M32">
        <v>2001</v>
      </c>
      <c r="N32">
        <v>1844</v>
      </c>
      <c r="P32" s="1">
        <v>43889</v>
      </c>
      <c r="Q32" t="s">
        <v>37</v>
      </c>
      <c r="R32" t="s">
        <v>195</v>
      </c>
      <c r="S32" t="s">
        <v>37</v>
      </c>
      <c r="W32">
        <v>0</v>
      </c>
      <c r="Z32">
        <v>0</v>
      </c>
    </row>
    <row r="33" spans="1:26" x14ac:dyDescent="0.2">
      <c r="A33">
        <v>1381</v>
      </c>
      <c r="B33" t="s">
        <v>196</v>
      </c>
      <c r="C33" t="s">
        <v>197</v>
      </c>
      <c r="D33" t="s">
        <v>198</v>
      </c>
      <c r="E33" t="s">
        <v>199</v>
      </c>
      <c r="F33" t="str">
        <f>"0143039954"</f>
        <v>0143039954</v>
      </c>
      <c r="G33" t="str">
        <f>"9780143039952"</f>
        <v>9780143039952</v>
      </c>
      <c r="H33">
        <v>0</v>
      </c>
      <c r="I33">
        <v>3.76</v>
      </c>
      <c r="J33" t="s">
        <v>125</v>
      </c>
      <c r="K33" t="s">
        <v>36</v>
      </c>
      <c r="L33">
        <v>541</v>
      </c>
      <c r="M33">
        <v>2006</v>
      </c>
      <c r="N33">
        <v>-800</v>
      </c>
      <c r="P33" s="1">
        <v>43889</v>
      </c>
      <c r="S33" t="s">
        <v>57</v>
      </c>
      <c r="W33">
        <v>1</v>
      </c>
      <c r="Z33">
        <v>0</v>
      </c>
    </row>
    <row r="34" spans="1:26" x14ac:dyDescent="0.2">
      <c r="A34">
        <v>344860</v>
      </c>
      <c r="B34" t="s">
        <v>200</v>
      </c>
      <c r="C34" t="s">
        <v>77</v>
      </c>
      <c r="D34" t="s">
        <v>78</v>
      </c>
      <c r="F34" t="str">
        <f>"1400060346"</f>
        <v>1400060346</v>
      </c>
      <c r="G34" t="str">
        <f>"9781400060344"</f>
        <v>9781400060344</v>
      </c>
      <c r="H34">
        <v>0</v>
      </c>
      <c r="I34">
        <v>3.59</v>
      </c>
      <c r="J34" t="s">
        <v>96</v>
      </c>
      <c r="K34" t="s">
        <v>49</v>
      </c>
      <c r="L34">
        <v>300</v>
      </c>
      <c r="M34">
        <v>2005</v>
      </c>
      <c r="N34">
        <v>2005</v>
      </c>
      <c r="P34" s="1">
        <v>43889</v>
      </c>
      <c r="Q34" t="s">
        <v>37</v>
      </c>
      <c r="R34" t="s">
        <v>201</v>
      </c>
      <c r="S34" t="s">
        <v>37</v>
      </c>
      <c r="W34">
        <v>0</v>
      </c>
      <c r="Z34">
        <v>0</v>
      </c>
    </row>
    <row r="35" spans="1:26" x14ac:dyDescent="0.2">
      <c r="A35">
        <v>5934152</v>
      </c>
      <c r="B35" t="s">
        <v>202</v>
      </c>
      <c r="C35" t="s">
        <v>203</v>
      </c>
      <c r="D35" t="s">
        <v>204</v>
      </c>
      <c r="E35" t="s">
        <v>205</v>
      </c>
      <c r="F35" t="str">
        <f>""</f>
        <v/>
      </c>
      <c r="G35" t="str">
        <f>""</f>
        <v/>
      </c>
      <c r="H35">
        <v>4</v>
      </c>
      <c r="I35">
        <v>4.29</v>
      </c>
      <c r="J35" t="s">
        <v>206</v>
      </c>
      <c r="K35" t="s">
        <v>49</v>
      </c>
      <c r="L35">
        <v>266</v>
      </c>
      <c r="M35">
        <v>1953</v>
      </c>
      <c r="N35">
        <v>1953</v>
      </c>
      <c r="O35" s="1">
        <v>43886</v>
      </c>
      <c r="P35" s="1">
        <v>43880</v>
      </c>
      <c r="S35" t="s">
        <v>57</v>
      </c>
      <c r="T35" t="s">
        <v>207</v>
      </c>
      <c r="W35">
        <v>1</v>
      </c>
      <c r="Z35">
        <v>0</v>
      </c>
    </row>
    <row r="36" spans="1:26" x14ac:dyDescent="0.2">
      <c r="A36">
        <v>50489112</v>
      </c>
      <c r="B36" t="s">
        <v>208</v>
      </c>
      <c r="C36" t="s">
        <v>209</v>
      </c>
      <c r="D36" t="s">
        <v>210</v>
      </c>
      <c r="E36" t="s">
        <v>211</v>
      </c>
      <c r="F36" t="str">
        <f>""</f>
        <v/>
      </c>
      <c r="G36" t="str">
        <f>"9781733518055"</f>
        <v>9781733518055</v>
      </c>
      <c r="H36">
        <v>4</v>
      </c>
      <c r="I36">
        <v>4</v>
      </c>
      <c r="J36" t="s">
        <v>212</v>
      </c>
      <c r="K36" t="s">
        <v>36</v>
      </c>
      <c r="L36">
        <v>196</v>
      </c>
      <c r="M36">
        <v>2019</v>
      </c>
      <c r="O36" s="1">
        <v>43884</v>
      </c>
      <c r="P36" s="1">
        <v>43851</v>
      </c>
      <c r="S36" t="s">
        <v>57</v>
      </c>
      <c r="T36" t="s">
        <v>213</v>
      </c>
      <c r="W36">
        <v>1</v>
      </c>
      <c r="Z36">
        <v>0</v>
      </c>
    </row>
    <row r="37" spans="1:26" x14ac:dyDescent="0.2">
      <c r="A37">
        <v>764165</v>
      </c>
      <c r="B37" t="s">
        <v>214</v>
      </c>
      <c r="C37" t="s">
        <v>215</v>
      </c>
      <c r="D37" t="s">
        <v>216</v>
      </c>
      <c r="F37" t="str">
        <f>"0140255087"</f>
        <v>0140255087</v>
      </c>
      <c r="G37" t="str">
        <f>"9780140255089"</f>
        <v>9780140255089</v>
      </c>
      <c r="H37">
        <v>0</v>
      </c>
      <c r="I37">
        <v>4.12</v>
      </c>
      <c r="J37" t="s">
        <v>217</v>
      </c>
      <c r="K37" t="s">
        <v>36</v>
      </c>
      <c r="L37">
        <v>352</v>
      </c>
      <c r="M37">
        <v>1987</v>
      </c>
      <c r="N37">
        <v>1978</v>
      </c>
      <c r="P37" s="1">
        <v>43883</v>
      </c>
      <c r="Q37" t="s">
        <v>37</v>
      </c>
      <c r="R37" t="s">
        <v>218</v>
      </c>
      <c r="S37" t="s">
        <v>37</v>
      </c>
      <c r="W37">
        <v>0</v>
      </c>
      <c r="Z37">
        <v>0</v>
      </c>
    </row>
    <row r="38" spans="1:26" x14ac:dyDescent="0.2">
      <c r="A38">
        <v>100247</v>
      </c>
      <c r="B38" t="s">
        <v>219</v>
      </c>
      <c r="C38" t="s">
        <v>220</v>
      </c>
      <c r="D38" t="s">
        <v>221</v>
      </c>
      <c r="F38" t="str">
        <f>"0812992180"</f>
        <v>0812992180</v>
      </c>
      <c r="G38" t="str">
        <f>"9780812992182"</f>
        <v>9780812992182</v>
      </c>
      <c r="H38">
        <v>0</v>
      </c>
      <c r="I38">
        <v>3.94</v>
      </c>
      <c r="J38" t="s">
        <v>222</v>
      </c>
      <c r="K38" t="s">
        <v>36</v>
      </c>
      <c r="L38">
        <v>205</v>
      </c>
      <c r="M38">
        <v>2002</v>
      </c>
      <c r="N38">
        <v>2002</v>
      </c>
      <c r="P38" s="1">
        <v>43883</v>
      </c>
      <c r="Q38" t="s">
        <v>37</v>
      </c>
      <c r="R38" t="s">
        <v>223</v>
      </c>
      <c r="S38" t="s">
        <v>37</v>
      </c>
      <c r="W38">
        <v>0</v>
      </c>
      <c r="Z38">
        <v>0</v>
      </c>
    </row>
    <row r="39" spans="1:26" x14ac:dyDescent="0.2">
      <c r="A39">
        <v>5306</v>
      </c>
      <c r="B39" t="s">
        <v>224</v>
      </c>
      <c r="C39" t="s">
        <v>225</v>
      </c>
      <c r="D39" t="s">
        <v>226</v>
      </c>
      <c r="F39" t="str">
        <f>"0142000701"</f>
        <v>0142000701</v>
      </c>
      <c r="G39" t="str">
        <f>"9780142000700"</f>
        <v>9780142000700</v>
      </c>
      <c r="H39">
        <v>0</v>
      </c>
      <c r="I39">
        <v>4.08</v>
      </c>
      <c r="J39" t="s">
        <v>145</v>
      </c>
      <c r="K39" t="s">
        <v>36</v>
      </c>
      <c r="L39">
        <v>214</v>
      </c>
      <c r="M39">
        <v>2002</v>
      </c>
      <c r="N39">
        <v>1962</v>
      </c>
      <c r="P39" s="1">
        <v>43883</v>
      </c>
      <c r="Q39" t="s">
        <v>37</v>
      </c>
      <c r="R39" t="s">
        <v>227</v>
      </c>
      <c r="S39" t="s">
        <v>37</v>
      </c>
      <c r="W39">
        <v>0</v>
      </c>
      <c r="Z39">
        <v>0</v>
      </c>
    </row>
    <row r="40" spans="1:26" x14ac:dyDescent="0.2">
      <c r="A40">
        <v>899949</v>
      </c>
      <c r="B40" t="s">
        <v>228</v>
      </c>
      <c r="C40" t="s">
        <v>229</v>
      </c>
      <c r="D40" t="s">
        <v>230</v>
      </c>
      <c r="F40" t="str">
        <f>"0810959402"</f>
        <v>0810959402</v>
      </c>
      <c r="G40" t="str">
        <f>"9780810959408"</f>
        <v>9780810959408</v>
      </c>
      <c r="H40">
        <v>0</v>
      </c>
      <c r="I40">
        <v>4.58</v>
      </c>
      <c r="J40" t="s">
        <v>140</v>
      </c>
      <c r="K40" t="s">
        <v>49</v>
      </c>
      <c r="L40">
        <v>180</v>
      </c>
      <c r="M40">
        <v>2006</v>
      </c>
      <c r="N40">
        <v>2006</v>
      </c>
      <c r="P40" s="1">
        <v>43883</v>
      </c>
      <c r="Q40" t="s">
        <v>37</v>
      </c>
      <c r="R40" t="s">
        <v>231</v>
      </c>
      <c r="S40" t="s">
        <v>37</v>
      </c>
      <c r="W40">
        <v>0</v>
      </c>
      <c r="Z40">
        <v>0</v>
      </c>
    </row>
    <row r="41" spans="1:26" x14ac:dyDescent="0.2">
      <c r="A41">
        <v>5759</v>
      </c>
      <c r="B41" t="s">
        <v>232</v>
      </c>
      <c r="C41" t="s">
        <v>233</v>
      </c>
      <c r="D41" t="s">
        <v>234</v>
      </c>
      <c r="F41" t="str">
        <f>"0393327345"</f>
        <v>0393327345</v>
      </c>
      <c r="G41" t="str">
        <f>"9780393327342"</f>
        <v>9780393327342</v>
      </c>
      <c r="H41">
        <v>0</v>
      </c>
      <c r="I41">
        <v>4.1900000000000004</v>
      </c>
      <c r="J41" t="s">
        <v>235</v>
      </c>
      <c r="K41" t="s">
        <v>36</v>
      </c>
      <c r="L41">
        <v>218</v>
      </c>
      <c r="M41">
        <v>2005</v>
      </c>
      <c r="N41">
        <v>1996</v>
      </c>
      <c r="P41" s="1">
        <v>43883</v>
      </c>
      <c r="Q41" t="s">
        <v>37</v>
      </c>
      <c r="R41" t="s">
        <v>236</v>
      </c>
      <c r="S41" t="s">
        <v>37</v>
      </c>
      <c r="W41">
        <v>0</v>
      </c>
      <c r="Z41">
        <v>0</v>
      </c>
    </row>
    <row r="42" spans="1:26" x14ac:dyDescent="0.2">
      <c r="A42">
        <v>16145175</v>
      </c>
      <c r="B42" t="s">
        <v>237</v>
      </c>
      <c r="C42" t="s">
        <v>238</v>
      </c>
      <c r="D42" t="s">
        <v>239</v>
      </c>
      <c r="E42" t="s">
        <v>240</v>
      </c>
      <c r="F42" t="str">
        <f>"0520274067"</f>
        <v>0520274067</v>
      </c>
      <c r="G42" t="str">
        <f>"9780520274068"</f>
        <v>9780520274068</v>
      </c>
      <c r="H42">
        <v>0</v>
      </c>
      <c r="I42">
        <v>3.9</v>
      </c>
      <c r="J42" t="s">
        <v>241</v>
      </c>
      <c r="K42" t="s">
        <v>49</v>
      </c>
      <c r="L42">
        <v>296</v>
      </c>
      <c r="M42">
        <v>2013</v>
      </c>
      <c r="N42">
        <v>2013</v>
      </c>
      <c r="P42" s="1">
        <v>43883</v>
      </c>
      <c r="Q42" t="s">
        <v>37</v>
      </c>
      <c r="R42" t="s">
        <v>242</v>
      </c>
      <c r="S42" t="s">
        <v>37</v>
      </c>
      <c r="W42">
        <v>0</v>
      </c>
      <c r="Z42">
        <v>0</v>
      </c>
    </row>
    <row r="43" spans="1:26" x14ac:dyDescent="0.2">
      <c r="A43">
        <v>24194340</v>
      </c>
      <c r="B43" t="s">
        <v>243</v>
      </c>
      <c r="C43" t="s">
        <v>244</v>
      </c>
      <c r="D43" t="s">
        <v>245</v>
      </c>
      <c r="F43" t="str">
        <f>""</f>
        <v/>
      </c>
      <c r="G43" t="str">
        <f>""</f>
        <v/>
      </c>
      <c r="H43">
        <v>0</v>
      </c>
      <c r="I43">
        <v>4.5</v>
      </c>
      <c r="J43" t="s">
        <v>246</v>
      </c>
      <c r="K43" t="s">
        <v>62</v>
      </c>
      <c r="L43">
        <v>310</v>
      </c>
      <c r="M43">
        <v>2013</v>
      </c>
      <c r="N43">
        <v>2013</v>
      </c>
      <c r="P43" s="1">
        <v>43883</v>
      </c>
      <c r="Q43" t="s">
        <v>37</v>
      </c>
      <c r="R43" t="s">
        <v>247</v>
      </c>
      <c r="S43" t="s">
        <v>37</v>
      </c>
      <c r="W43">
        <v>0</v>
      </c>
      <c r="Z43">
        <v>0</v>
      </c>
    </row>
    <row r="44" spans="1:26" x14ac:dyDescent="0.2">
      <c r="A44">
        <v>32603496</v>
      </c>
      <c r="B44" t="s">
        <v>248</v>
      </c>
      <c r="C44" t="s">
        <v>249</v>
      </c>
      <c r="D44" t="s">
        <v>250</v>
      </c>
      <c r="F44" t="str">
        <f>"0593078411"</f>
        <v>0593078411</v>
      </c>
      <c r="G44" t="str">
        <f>"9780593078419"</f>
        <v>9780593078419</v>
      </c>
      <c r="H44">
        <v>0</v>
      </c>
      <c r="I44">
        <v>3.87</v>
      </c>
      <c r="J44" t="s">
        <v>251</v>
      </c>
      <c r="K44" t="s">
        <v>36</v>
      </c>
      <c r="L44">
        <v>416</v>
      </c>
      <c r="M44">
        <v>2017</v>
      </c>
      <c r="N44">
        <v>2017</v>
      </c>
      <c r="P44" s="1">
        <v>43883</v>
      </c>
      <c r="Q44" t="s">
        <v>37</v>
      </c>
      <c r="R44" t="s">
        <v>252</v>
      </c>
      <c r="S44" t="s">
        <v>37</v>
      </c>
      <c r="W44">
        <v>0</v>
      </c>
      <c r="Z44">
        <v>0</v>
      </c>
    </row>
    <row r="45" spans="1:26" x14ac:dyDescent="0.2">
      <c r="A45">
        <v>33864783</v>
      </c>
      <c r="B45" t="s">
        <v>253</v>
      </c>
      <c r="C45" t="s">
        <v>254</v>
      </c>
      <c r="D45" t="s">
        <v>255</v>
      </c>
      <c r="F45" t="str">
        <f>"1101984430"</f>
        <v>1101984430</v>
      </c>
      <c r="G45" t="str">
        <f>"9781101984437"</f>
        <v>9781101984437</v>
      </c>
      <c r="H45">
        <v>0</v>
      </c>
      <c r="I45">
        <v>4.18</v>
      </c>
      <c r="J45" t="s">
        <v>256</v>
      </c>
      <c r="K45" t="s">
        <v>49</v>
      </c>
      <c r="L45">
        <v>384</v>
      </c>
      <c r="M45">
        <v>2017</v>
      </c>
      <c r="N45">
        <v>2017</v>
      </c>
      <c r="P45" s="1">
        <v>43883</v>
      </c>
      <c r="Q45" t="s">
        <v>37</v>
      </c>
      <c r="R45" t="s">
        <v>257</v>
      </c>
      <c r="S45" t="s">
        <v>37</v>
      </c>
      <c r="W45">
        <v>0</v>
      </c>
      <c r="Z45">
        <v>0</v>
      </c>
    </row>
    <row r="46" spans="1:26" x14ac:dyDescent="0.2">
      <c r="A46">
        <v>637044</v>
      </c>
      <c r="B46" t="s">
        <v>258</v>
      </c>
      <c r="C46" t="s">
        <v>259</v>
      </c>
      <c r="D46" t="s">
        <v>260</v>
      </c>
      <c r="F46" t="str">
        <f>"1850434034"</f>
        <v>1850434034</v>
      </c>
      <c r="G46" t="str">
        <f>"9781850434030"</f>
        <v>9781850434030</v>
      </c>
      <c r="H46">
        <v>0</v>
      </c>
      <c r="I46">
        <v>4.26</v>
      </c>
      <c r="J46" t="s">
        <v>261</v>
      </c>
      <c r="K46" t="s">
        <v>36</v>
      </c>
      <c r="L46">
        <v>512</v>
      </c>
      <c r="M46">
        <v>2004</v>
      </c>
      <c r="N46">
        <v>1960</v>
      </c>
      <c r="P46" s="1">
        <v>43883</v>
      </c>
      <c r="Q46" t="s">
        <v>37</v>
      </c>
      <c r="R46" t="s">
        <v>262</v>
      </c>
      <c r="S46" t="s">
        <v>37</v>
      </c>
      <c r="W46">
        <v>0</v>
      </c>
      <c r="Z46">
        <v>0</v>
      </c>
    </row>
    <row r="47" spans="1:26" x14ac:dyDescent="0.2">
      <c r="A47">
        <v>426504</v>
      </c>
      <c r="B47" t="s">
        <v>263</v>
      </c>
      <c r="C47" t="s">
        <v>264</v>
      </c>
      <c r="D47" t="s">
        <v>265</v>
      </c>
      <c r="E47" t="s">
        <v>266</v>
      </c>
      <c r="F47" t="str">
        <f>"0802130305"</f>
        <v>0802130305</v>
      </c>
      <c r="G47" t="str">
        <f>"9780802130303"</f>
        <v>9780802130303</v>
      </c>
      <c r="H47">
        <v>0</v>
      </c>
      <c r="I47">
        <v>4.45</v>
      </c>
      <c r="J47" t="s">
        <v>267</v>
      </c>
      <c r="K47" t="s">
        <v>36</v>
      </c>
      <c r="L47">
        <v>174</v>
      </c>
      <c r="M47">
        <v>1994</v>
      </c>
      <c r="N47">
        <v>1944</v>
      </c>
      <c r="P47" s="1">
        <v>43883</v>
      </c>
      <c r="Q47" t="s">
        <v>37</v>
      </c>
      <c r="R47" t="s">
        <v>268</v>
      </c>
      <c r="S47" t="s">
        <v>37</v>
      </c>
      <c r="W47">
        <v>0</v>
      </c>
      <c r="Z47">
        <v>0</v>
      </c>
    </row>
    <row r="48" spans="1:26" x14ac:dyDescent="0.2">
      <c r="A48">
        <v>3769306</v>
      </c>
      <c r="B48" t="s">
        <v>269</v>
      </c>
      <c r="C48" t="s">
        <v>270</v>
      </c>
      <c r="D48" t="s">
        <v>271</v>
      </c>
      <c r="E48" t="s">
        <v>272</v>
      </c>
      <c r="F48" t="str">
        <f>"0345030982"</f>
        <v>0345030982</v>
      </c>
      <c r="G48" t="str">
        <f>"9780345030986"</f>
        <v>9780345030986</v>
      </c>
      <c r="H48">
        <v>0</v>
      </c>
      <c r="I48">
        <v>4.33</v>
      </c>
      <c r="J48" t="s">
        <v>273</v>
      </c>
      <c r="K48" t="s">
        <v>36</v>
      </c>
      <c r="L48">
        <v>127</v>
      </c>
      <c r="M48">
        <v>1972</v>
      </c>
      <c r="N48">
        <v>1972</v>
      </c>
      <c r="P48" s="1">
        <v>43882</v>
      </c>
      <c r="Q48" t="s">
        <v>37</v>
      </c>
      <c r="R48" t="s">
        <v>274</v>
      </c>
      <c r="S48" t="s">
        <v>37</v>
      </c>
      <c r="W48">
        <v>0</v>
      </c>
      <c r="Z48">
        <v>0</v>
      </c>
    </row>
    <row r="49" spans="1:26" x14ac:dyDescent="0.2">
      <c r="A49">
        <v>23814</v>
      </c>
      <c r="B49" t="s">
        <v>275</v>
      </c>
      <c r="C49" t="s">
        <v>276</v>
      </c>
      <c r="D49" t="s">
        <v>277</v>
      </c>
      <c r="F49" t="str">
        <f>"0812966295"</f>
        <v>0812966295</v>
      </c>
      <c r="G49" t="str">
        <f>"9780812966299"</f>
        <v>9780812966299</v>
      </c>
      <c r="H49">
        <v>4</v>
      </c>
      <c r="I49">
        <v>3.8</v>
      </c>
      <c r="J49" t="s">
        <v>194</v>
      </c>
      <c r="K49" t="s">
        <v>36</v>
      </c>
      <c r="L49">
        <v>264</v>
      </c>
      <c r="M49">
        <v>2002</v>
      </c>
      <c r="N49">
        <v>1885</v>
      </c>
      <c r="O49" s="1">
        <v>43881</v>
      </c>
      <c r="P49" s="1">
        <v>43701</v>
      </c>
      <c r="S49" t="s">
        <v>57</v>
      </c>
      <c r="T49" t="s">
        <v>278</v>
      </c>
      <c r="W49">
        <v>1</v>
      </c>
      <c r="Z49">
        <v>0</v>
      </c>
    </row>
    <row r="50" spans="1:26" x14ac:dyDescent="0.2">
      <c r="A50">
        <v>206970</v>
      </c>
      <c r="B50" t="s">
        <v>279</v>
      </c>
      <c r="C50" t="s">
        <v>280</v>
      </c>
      <c r="D50" t="s">
        <v>281</v>
      </c>
      <c r="E50" t="s">
        <v>282</v>
      </c>
      <c r="F50" t="str">
        <f>"0792238761"</f>
        <v>0792238761</v>
      </c>
      <c r="G50" t="str">
        <f>"9780792238768"</f>
        <v>9780792238768</v>
      </c>
      <c r="H50">
        <v>0</v>
      </c>
      <c r="I50">
        <v>3.97</v>
      </c>
      <c r="J50" t="s">
        <v>283</v>
      </c>
      <c r="K50" t="s">
        <v>36</v>
      </c>
      <c r="L50">
        <v>472</v>
      </c>
      <c r="M50">
        <v>2005</v>
      </c>
      <c r="N50">
        <v>1897</v>
      </c>
      <c r="P50" s="1">
        <v>43880</v>
      </c>
      <c r="Q50" t="s">
        <v>37</v>
      </c>
      <c r="R50" t="s">
        <v>284</v>
      </c>
      <c r="S50" t="s">
        <v>37</v>
      </c>
      <c r="W50">
        <v>0</v>
      </c>
      <c r="Z50">
        <v>0</v>
      </c>
    </row>
    <row r="51" spans="1:26" x14ac:dyDescent="0.2">
      <c r="A51">
        <v>1049517</v>
      </c>
      <c r="B51" t="s">
        <v>285</v>
      </c>
      <c r="C51" t="s">
        <v>286</v>
      </c>
      <c r="D51" t="s">
        <v>287</v>
      </c>
      <c r="F51" t="str">
        <f>"0792268903"</f>
        <v>0792268903</v>
      </c>
      <c r="G51" t="str">
        <f>"9780792268901"</f>
        <v>9780792268901</v>
      </c>
      <c r="H51">
        <v>0</v>
      </c>
      <c r="I51">
        <v>4.18</v>
      </c>
      <c r="J51" t="s">
        <v>283</v>
      </c>
      <c r="K51" t="s">
        <v>36</v>
      </c>
      <c r="L51">
        <v>320</v>
      </c>
      <c r="M51">
        <v>2003</v>
      </c>
      <c r="N51">
        <v>1954</v>
      </c>
      <c r="P51" s="1">
        <v>43880</v>
      </c>
      <c r="Q51" t="s">
        <v>37</v>
      </c>
      <c r="R51" t="s">
        <v>288</v>
      </c>
      <c r="S51" t="s">
        <v>37</v>
      </c>
      <c r="W51">
        <v>0</v>
      </c>
      <c r="Z51">
        <v>0</v>
      </c>
    </row>
    <row r="52" spans="1:26" x14ac:dyDescent="0.2">
      <c r="A52">
        <v>7841672</v>
      </c>
      <c r="B52" t="s">
        <v>289</v>
      </c>
      <c r="C52" t="s">
        <v>290</v>
      </c>
      <c r="D52" t="s">
        <v>291</v>
      </c>
      <c r="E52" t="s">
        <v>292</v>
      </c>
      <c r="F52" t="str">
        <f>"1439108277"</f>
        <v>1439108277</v>
      </c>
      <c r="G52" t="str">
        <f>"9781439108277"</f>
        <v>9781439108277</v>
      </c>
      <c r="H52">
        <v>0</v>
      </c>
      <c r="I52">
        <v>4.2300000000000004</v>
      </c>
      <c r="J52" t="s">
        <v>35</v>
      </c>
      <c r="K52" t="s">
        <v>49</v>
      </c>
      <c r="L52">
        <v>301</v>
      </c>
      <c r="M52">
        <v>2011</v>
      </c>
      <c r="N52">
        <v>2011</v>
      </c>
      <c r="P52" s="1">
        <v>43878</v>
      </c>
      <c r="Q52" t="s">
        <v>37</v>
      </c>
      <c r="R52" t="s">
        <v>293</v>
      </c>
      <c r="S52" t="s">
        <v>37</v>
      </c>
      <c r="W52">
        <v>0</v>
      </c>
      <c r="Z52">
        <v>0</v>
      </c>
    </row>
    <row r="53" spans="1:26" x14ac:dyDescent="0.2">
      <c r="A53">
        <v>568236</v>
      </c>
      <c r="B53" t="s">
        <v>294</v>
      </c>
      <c r="C53" t="s">
        <v>295</v>
      </c>
      <c r="D53" t="s">
        <v>296</v>
      </c>
      <c r="F53" t="str">
        <f>"0345349571"</f>
        <v>0345349571</v>
      </c>
      <c r="G53" t="str">
        <f>"9780345349576"</f>
        <v>9780345349576</v>
      </c>
      <c r="H53">
        <v>0</v>
      </c>
      <c r="I53">
        <v>4.08</v>
      </c>
      <c r="J53" t="s">
        <v>297</v>
      </c>
      <c r="K53" t="s">
        <v>36</v>
      </c>
      <c r="L53">
        <v>677</v>
      </c>
      <c r="M53">
        <v>1987</v>
      </c>
      <c r="N53">
        <v>1978</v>
      </c>
      <c r="P53" s="1">
        <v>43878</v>
      </c>
      <c r="Q53" t="s">
        <v>37</v>
      </c>
      <c r="R53" t="s">
        <v>298</v>
      </c>
      <c r="S53" t="s">
        <v>37</v>
      </c>
      <c r="W53">
        <v>0</v>
      </c>
      <c r="Z53">
        <v>0</v>
      </c>
    </row>
    <row r="54" spans="1:26" x14ac:dyDescent="0.2">
      <c r="A54">
        <v>42954943</v>
      </c>
      <c r="B54" t="s">
        <v>299</v>
      </c>
      <c r="C54" t="s">
        <v>300</v>
      </c>
      <c r="D54" t="s">
        <v>301</v>
      </c>
      <c r="E54" t="s">
        <v>302</v>
      </c>
      <c r="F54" t="str">
        <f>"1642930474"</f>
        <v>1642930474</v>
      </c>
      <c r="G54" t="str">
        <f>"9781642930474"</f>
        <v>9781642930474</v>
      </c>
      <c r="H54">
        <v>0</v>
      </c>
      <c r="I54">
        <v>4.07</v>
      </c>
      <c r="J54" t="s">
        <v>303</v>
      </c>
      <c r="K54" t="s">
        <v>49</v>
      </c>
      <c r="L54">
        <v>240</v>
      </c>
      <c r="M54">
        <v>2019</v>
      </c>
      <c r="N54">
        <v>2019</v>
      </c>
      <c r="P54" s="1">
        <v>43876</v>
      </c>
      <c r="Q54" t="s">
        <v>37</v>
      </c>
      <c r="R54" t="s">
        <v>304</v>
      </c>
      <c r="S54" t="s">
        <v>37</v>
      </c>
      <c r="W54">
        <v>0</v>
      </c>
      <c r="Z54">
        <v>0</v>
      </c>
    </row>
    <row r="55" spans="1:26" x14ac:dyDescent="0.2">
      <c r="A55">
        <v>246041</v>
      </c>
      <c r="B55" t="s">
        <v>305</v>
      </c>
      <c r="C55" t="s">
        <v>306</v>
      </c>
      <c r="D55" t="s">
        <v>307</v>
      </c>
      <c r="E55" t="s">
        <v>308</v>
      </c>
      <c r="F55" t="str">
        <f>"0609807072"</f>
        <v>0609807072</v>
      </c>
      <c r="G55" t="str">
        <f>"9780609807071"</f>
        <v>9780609807071</v>
      </c>
      <c r="H55">
        <v>0</v>
      </c>
      <c r="I55">
        <v>4.1100000000000003</v>
      </c>
      <c r="J55" t="s">
        <v>309</v>
      </c>
      <c r="K55" t="s">
        <v>36</v>
      </c>
      <c r="L55">
        <v>688</v>
      </c>
      <c r="M55">
        <v>2001</v>
      </c>
      <c r="N55">
        <v>2000</v>
      </c>
      <c r="P55" s="1">
        <v>43872</v>
      </c>
      <c r="Q55" t="s">
        <v>37</v>
      </c>
      <c r="R55" t="s">
        <v>310</v>
      </c>
      <c r="S55" t="s">
        <v>37</v>
      </c>
      <c r="W55">
        <v>0</v>
      </c>
      <c r="Z55">
        <v>0</v>
      </c>
    </row>
    <row r="56" spans="1:26" x14ac:dyDescent="0.2">
      <c r="A56">
        <v>216363</v>
      </c>
      <c r="B56" t="s">
        <v>311</v>
      </c>
      <c r="C56" t="s">
        <v>312</v>
      </c>
      <c r="D56" t="s">
        <v>313</v>
      </c>
      <c r="F56" t="str">
        <f>"0679740678"</f>
        <v>0679740678</v>
      </c>
      <c r="G56" t="str">
        <f>"9780679740674"</f>
        <v>9780679740674</v>
      </c>
      <c r="H56">
        <v>2</v>
      </c>
      <c r="I56">
        <v>3.62</v>
      </c>
      <c r="J56" t="s">
        <v>314</v>
      </c>
      <c r="K56" t="s">
        <v>36</v>
      </c>
      <c r="L56">
        <v>259</v>
      </c>
      <c r="M56">
        <v>1992</v>
      </c>
      <c r="N56">
        <v>1962</v>
      </c>
      <c r="O56" s="1">
        <v>43869</v>
      </c>
      <c r="P56" s="1">
        <v>43824</v>
      </c>
      <c r="S56" t="s">
        <v>57</v>
      </c>
      <c r="W56">
        <v>1</v>
      </c>
      <c r="Z56">
        <v>0</v>
      </c>
    </row>
    <row r="57" spans="1:26" x14ac:dyDescent="0.2">
      <c r="A57">
        <v>495954</v>
      </c>
      <c r="B57" t="s">
        <v>315</v>
      </c>
      <c r="C57" t="s">
        <v>316</v>
      </c>
      <c r="D57" t="s">
        <v>317</v>
      </c>
      <c r="E57" t="s">
        <v>318</v>
      </c>
      <c r="F57" t="str">
        <f>"0880293934"</f>
        <v>0880293934</v>
      </c>
      <c r="G57" t="str">
        <f>"9780880293938"</f>
        <v>9780880293938</v>
      </c>
      <c r="H57">
        <v>3</v>
      </c>
      <c r="I57">
        <v>3.57</v>
      </c>
      <c r="J57" t="s">
        <v>319</v>
      </c>
      <c r="K57" t="s">
        <v>49</v>
      </c>
      <c r="L57">
        <v>176</v>
      </c>
      <c r="M57">
        <v>1993</v>
      </c>
      <c r="N57">
        <v>1988</v>
      </c>
      <c r="O57" s="1">
        <v>43860</v>
      </c>
      <c r="P57" s="1">
        <v>43700</v>
      </c>
      <c r="S57" t="s">
        <v>57</v>
      </c>
      <c r="T57" t="s">
        <v>320</v>
      </c>
      <c r="W57">
        <v>1</v>
      </c>
      <c r="Z57">
        <v>0</v>
      </c>
    </row>
    <row r="58" spans="1:26" x14ac:dyDescent="0.2">
      <c r="A58">
        <v>7071759</v>
      </c>
      <c r="B58" t="s">
        <v>321</v>
      </c>
      <c r="C58" t="s">
        <v>322</v>
      </c>
      <c r="D58" t="s">
        <v>323</v>
      </c>
      <c r="E58" t="s">
        <v>324</v>
      </c>
      <c r="F58" t="str">
        <f>"1402766513"</f>
        <v>1402766513</v>
      </c>
      <c r="G58" t="str">
        <f>"9781402766510"</f>
        <v>9781402766510</v>
      </c>
      <c r="H58">
        <v>3</v>
      </c>
      <c r="I58">
        <v>3.87</v>
      </c>
      <c r="J58" t="s">
        <v>325</v>
      </c>
      <c r="K58" t="s">
        <v>49</v>
      </c>
      <c r="L58">
        <v>336</v>
      </c>
      <c r="M58">
        <v>2010</v>
      </c>
      <c r="N58">
        <v>2010</v>
      </c>
      <c r="O58" s="1">
        <v>43858</v>
      </c>
      <c r="P58" s="1">
        <v>43847</v>
      </c>
      <c r="S58" t="s">
        <v>57</v>
      </c>
      <c r="T58" t="s">
        <v>326</v>
      </c>
      <c r="W58">
        <v>1</v>
      </c>
      <c r="Z58">
        <v>0</v>
      </c>
    </row>
    <row r="59" spans="1:26" x14ac:dyDescent="0.2">
      <c r="A59">
        <v>37415</v>
      </c>
      <c r="B59" t="s">
        <v>327</v>
      </c>
      <c r="C59" t="s">
        <v>328</v>
      </c>
      <c r="D59" t="s">
        <v>329</v>
      </c>
      <c r="F59" t="str">
        <f>"0061120065"</f>
        <v>0061120065</v>
      </c>
      <c r="G59" t="str">
        <f>"9780061120060"</f>
        <v>9780061120060</v>
      </c>
      <c r="H59">
        <v>0</v>
      </c>
      <c r="I59">
        <v>3.91</v>
      </c>
      <c r="J59" t="s">
        <v>330</v>
      </c>
      <c r="K59" t="s">
        <v>36</v>
      </c>
      <c r="L59">
        <v>219</v>
      </c>
      <c r="M59">
        <v>2006</v>
      </c>
      <c r="N59">
        <v>1937</v>
      </c>
      <c r="P59" s="1">
        <v>43856</v>
      </c>
      <c r="S59" t="s">
        <v>57</v>
      </c>
      <c r="W59">
        <v>1</v>
      </c>
      <c r="Z59">
        <v>0</v>
      </c>
    </row>
    <row r="60" spans="1:26" x14ac:dyDescent="0.2">
      <c r="A60">
        <v>1898</v>
      </c>
      <c r="B60" t="s">
        <v>331</v>
      </c>
      <c r="C60" t="s">
        <v>332</v>
      </c>
      <c r="D60" t="s">
        <v>333</v>
      </c>
      <c r="F60" t="str">
        <f>"0385494785"</f>
        <v>0385494785</v>
      </c>
      <c r="G60" t="str">
        <f>"9780385494786"</f>
        <v>9780385494786</v>
      </c>
      <c r="H60">
        <v>4</v>
      </c>
      <c r="I60">
        <v>4.17</v>
      </c>
      <c r="J60" t="s">
        <v>334</v>
      </c>
      <c r="K60" t="s">
        <v>36</v>
      </c>
      <c r="L60">
        <v>368</v>
      </c>
      <c r="M60">
        <v>1999</v>
      </c>
      <c r="N60">
        <v>1997</v>
      </c>
      <c r="O60" s="1">
        <v>43853</v>
      </c>
      <c r="P60" s="1">
        <v>43826</v>
      </c>
      <c r="S60" t="s">
        <v>57</v>
      </c>
      <c r="T60" t="s">
        <v>335</v>
      </c>
      <c r="W60">
        <v>1</v>
      </c>
      <c r="Z60">
        <v>0</v>
      </c>
    </row>
    <row r="61" spans="1:26" x14ac:dyDescent="0.2">
      <c r="A61">
        <v>17575112</v>
      </c>
      <c r="B61" t="s">
        <v>336</v>
      </c>
      <c r="C61" t="s">
        <v>337</v>
      </c>
      <c r="D61" t="s">
        <v>338</v>
      </c>
      <c r="E61" t="s">
        <v>339</v>
      </c>
      <c r="F61" t="str">
        <f>"0871404265"</f>
        <v>0871404265</v>
      </c>
      <c r="G61" t="str">
        <f>"9780871404268"</f>
        <v>9780871404268</v>
      </c>
      <c r="H61">
        <v>0</v>
      </c>
      <c r="I61">
        <v>4.08</v>
      </c>
      <c r="J61" t="s">
        <v>340</v>
      </c>
      <c r="K61" t="s">
        <v>49</v>
      </c>
      <c r="L61">
        <v>224</v>
      </c>
      <c r="M61">
        <v>2013</v>
      </c>
      <c r="N61">
        <v>1886</v>
      </c>
      <c r="P61" s="1">
        <v>43091</v>
      </c>
      <c r="S61" t="s">
        <v>57</v>
      </c>
      <c r="W61">
        <v>1</v>
      </c>
      <c r="Z61">
        <v>0</v>
      </c>
    </row>
    <row r="62" spans="1:26" x14ac:dyDescent="0.2">
      <c r="A62">
        <v>828890</v>
      </c>
      <c r="B62" t="s">
        <v>341</v>
      </c>
      <c r="C62" t="s">
        <v>342</v>
      </c>
      <c r="D62" t="s">
        <v>343</v>
      </c>
      <c r="F62" t="str">
        <f>"0684869683"</f>
        <v>0684869683</v>
      </c>
      <c r="G62" t="str">
        <f>"9780684869681"</f>
        <v>9780684869681</v>
      </c>
      <c r="H62">
        <v>3</v>
      </c>
      <c r="I62">
        <v>3.48</v>
      </c>
      <c r="J62" t="s">
        <v>344</v>
      </c>
      <c r="K62" t="s">
        <v>36</v>
      </c>
      <c r="L62">
        <v>336</v>
      </c>
      <c r="M62">
        <v>2000</v>
      </c>
      <c r="N62">
        <v>1999</v>
      </c>
      <c r="O62" s="1">
        <v>43848</v>
      </c>
      <c r="P62" s="1">
        <v>43700</v>
      </c>
      <c r="S62" t="s">
        <v>57</v>
      </c>
      <c r="T62" t="s">
        <v>345</v>
      </c>
      <c r="W62">
        <v>1</v>
      </c>
      <c r="Z62">
        <v>0</v>
      </c>
    </row>
    <row r="63" spans="1:26" x14ac:dyDescent="0.2">
      <c r="A63">
        <v>124431</v>
      </c>
      <c r="B63" t="s">
        <v>346</v>
      </c>
      <c r="C63" t="s">
        <v>347</v>
      </c>
      <c r="D63" t="s">
        <v>348</v>
      </c>
      <c r="F63" t="str">
        <f>"1864501731"</f>
        <v>1864501731</v>
      </c>
      <c r="G63" t="str">
        <f>"9781864501735"</f>
        <v>9781864501735</v>
      </c>
      <c r="H63">
        <v>0</v>
      </c>
      <c r="I63">
        <v>4.01</v>
      </c>
      <c r="J63" t="s">
        <v>349</v>
      </c>
      <c r="K63" t="s">
        <v>36</v>
      </c>
      <c r="L63">
        <v>319</v>
      </c>
      <c r="M63">
        <v>2000</v>
      </c>
      <c r="N63">
        <v>1989</v>
      </c>
      <c r="P63" s="1">
        <v>43847</v>
      </c>
      <c r="Q63" t="s">
        <v>37</v>
      </c>
      <c r="R63" t="s">
        <v>350</v>
      </c>
      <c r="S63" t="s">
        <v>37</v>
      </c>
      <c r="W63">
        <v>0</v>
      </c>
      <c r="Z63">
        <v>0</v>
      </c>
    </row>
    <row r="64" spans="1:26" x14ac:dyDescent="0.2">
      <c r="A64">
        <v>843923</v>
      </c>
      <c r="B64" t="s">
        <v>351</v>
      </c>
      <c r="C64" t="s">
        <v>352</v>
      </c>
      <c r="D64" t="s">
        <v>353</v>
      </c>
      <c r="E64" t="s">
        <v>354</v>
      </c>
      <c r="F64" t="str">
        <f>"0896892972"</f>
        <v>0896892972</v>
      </c>
      <c r="G64" t="str">
        <f>"9780896892972"</f>
        <v>9780896892972</v>
      </c>
      <c r="H64">
        <v>0</v>
      </c>
      <c r="I64">
        <v>4.3</v>
      </c>
      <c r="J64" t="s">
        <v>355</v>
      </c>
      <c r="K64" t="s">
        <v>36</v>
      </c>
      <c r="L64">
        <v>552</v>
      </c>
      <c r="M64">
        <v>2006</v>
      </c>
      <c r="N64">
        <v>1969</v>
      </c>
      <c r="P64" s="1">
        <v>43846</v>
      </c>
      <c r="Q64" t="s">
        <v>37</v>
      </c>
      <c r="R64" t="s">
        <v>356</v>
      </c>
      <c r="S64" t="s">
        <v>37</v>
      </c>
      <c r="W64">
        <v>0</v>
      </c>
      <c r="Z64">
        <v>0</v>
      </c>
    </row>
    <row r="65" spans="1:26" x14ac:dyDescent="0.2">
      <c r="A65">
        <v>554640</v>
      </c>
      <c r="B65" t="s">
        <v>357</v>
      </c>
      <c r="C65" t="s">
        <v>358</v>
      </c>
      <c r="D65" t="s">
        <v>359</v>
      </c>
      <c r="F65" t="str">
        <f>"0879051698"</f>
        <v>0879051698</v>
      </c>
      <c r="G65" t="str">
        <f>"9780879051693"</f>
        <v>9780879051693</v>
      </c>
      <c r="H65">
        <v>0</v>
      </c>
      <c r="I65">
        <v>4.12</v>
      </c>
      <c r="J65" t="s">
        <v>360</v>
      </c>
      <c r="K65" t="s">
        <v>36</v>
      </c>
      <c r="L65">
        <v>175</v>
      </c>
      <c r="M65">
        <v>1984</v>
      </c>
      <c r="N65">
        <v>1984</v>
      </c>
      <c r="P65" s="1">
        <v>43835</v>
      </c>
      <c r="Q65" t="s">
        <v>37</v>
      </c>
      <c r="R65" t="s">
        <v>361</v>
      </c>
      <c r="S65" t="s">
        <v>37</v>
      </c>
      <c r="W65">
        <v>0</v>
      </c>
      <c r="Z65">
        <v>0</v>
      </c>
    </row>
    <row r="66" spans="1:26" x14ac:dyDescent="0.2">
      <c r="A66">
        <v>54479</v>
      </c>
      <c r="B66" t="s">
        <v>362</v>
      </c>
      <c r="C66" t="s">
        <v>363</v>
      </c>
      <c r="D66" t="s">
        <v>364</v>
      </c>
      <c r="E66" t="s">
        <v>365</v>
      </c>
      <c r="F66" t="str">
        <f>"014044906X"</f>
        <v>014044906X</v>
      </c>
      <c r="G66" t="str">
        <f>"9780140449068"</f>
        <v>9780140449068</v>
      </c>
      <c r="H66">
        <v>2</v>
      </c>
      <c r="I66">
        <v>3.93</v>
      </c>
      <c r="J66" t="s">
        <v>217</v>
      </c>
      <c r="K66" t="s">
        <v>36</v>
      </c>
      <c r="L66">
        <v>252</v>
      </c>
      <c r="M66">
        <v>2004</v>
      </c>
      <c r="N66">
        <v>1872</v>
      </c>
      <c r="O66" s="1">
        <v>43835</v>
      </c>
      <c r="P66" s="1">
        <v>43701</v>
      </c>
      <c r="S66" t="s">
        <v>57</v>
      </c>
      <c r="W66">
        <v>1</v>
      </c>
      <c r="Z66">
        <v>0</v>
      </c>
    </row>
    <row r="67" spans="1:26" x14ac:dyDescent="0.2">
      <c r="A67">
        <v>687930</v>
      </c>
      <c r="B67" t="s">
        <v>366</v>
      </c>
      <c r="C67" t="s">
        <v>367</v>
      </c>
      <c r="D67" t="s">
        <v>368</v>
      </c>
      <c r="F67" t="str">
        <f>"0571221777"</f>
        <v>0571221777</v>
      </c>
      <c r="G67" t="str">
        <f>"9780571221776"</f>
        <v>9780571221776</v>
      </c>
      <c r="H67">
        <v>0</v>
      </c>
      <c r="I67">
        <v>3.42</v>
      </c>
      <c r="J67" t="s">
        <v>369</v>
      </c>
      <c r="K67" t="s">
        <v>36</v>
      </c>
      <c r="L67">
        <v>233</v>
      </c>
      <c r="M67">
        <v>2004</v>
      </c>
      <c r="N67">
        <v>1995</v>
      </c>
      <c r="P67" s="1">
        <v>43835</v>
      </c>
      <c r="Q67" t="s">
        <v>37</v>
      </c>
      <c r="R67" t="s">
        <v>370</v>
      </c>
      <c r="S67" t="s">
        <v>37</v>
      </c>
      <c r="W67">
        <v>0</v>
      </c>
      <c r="Z67">
        <v>0</v>
      </c>
    </row>
    <row r="68" spans="1:26" x14ac:dyDescent="0.2">
      <c r="A68">
        <v>42343</v>
      </c>
      <c r="B68" t="s">
        <v>371</v>
      </c>
      <c r="C68" t="s">
        <v>372</v>
      </c>
      <c r="D68" t="s">
        <v>373</v>
      </c>
      <c r="E68" t="s">
        <v>374</v>
      </c>
      <c r="F68" t="str">
        <f>"006097771X"</f>
        <v>006097771X</v>
      </c>
      <c r="G68" t="str">
        <f>"9780060977719"</f>
        <v>9780060977719</v>
      </c>
      <c r="H68">
        <v>0</v>
      </c>
      <c r="I68">
        <v>4.1900000000000004</v>
      </c>
      <c r="J68" t="s">
        <v>375</v>
      </c>
      <c r="K68" t="s">
        <v>36</v>
      </c>
      <c r="L68">
        <v>432</v>
      </c>
      <c r="M68">
        <v>2000</v>
      </c>
      <c r="N68">
        <v>1998</v>
      </c>
      <c r="P68" s="1">
        <v>43831</v>
      </c>
      <c r="Q68" t="s">
        <v>37</v>
      </c>
      <c r="R68" t="s">
        <v>376</v>
      </c>
      <c r="S68" t="s">
        <v>37</v>
      </c>
      <c r="W68">
        <v>0</v>
      </c>
      <c r="Z68">
        <v>0</v>
      </c>
    </row>
    <row r="69" spans="1:26" x14ac:dyDescent="0.2">
      <c r="A69">
        <v>14568663</v>
      </c>
      <c r="B69" t="s">
        <v>377</v>
      </c>
      <c r="C69" t="s">
        <v>378</v>
      </c>
      <c r="D69" t="s">
        <v>379</v>
      </c>
      <c r="E69" t="s">
        <v>380</v>
      </c>
      <c r="F69" t="str">
        <f>"1907677763"</f>
        <v>1907677763</v>
      </c>
      <c r="G69" t="str">
        <f>"9781907677762"</f>
        <v>9781907677762</v>
      </c>
      <c r="H69">
        <v>0</v>
      </c>
      <c r="I69">
        <v>3.97</v>
      </c>
      <c r="J69" t="s">
        <v>381</v>
      </c>
      <c r="K69" t="s">
        <v>49</v>
      </c>
      <c r="L69">
        <v>256</v>
      </c>
      <c r="M69">
        <v>2012</v>
      </c>
      <c r="N69">
        <v>2012</v>
      </c>
      <c r="P69" s="1">
        <v>43829</v>
      </c>
      <c r="Q69" t="s">
        <v>37</v>
      </c>
      <c r="R69" t="s">
        <v>382</v>
      </c>
      <c r="S69" t="s">
        <v>37</v>
      </c>
      <c r="W69">
        <v>0</v>
      </c>
      <c r="Z69">
        <v>0</v>
      </c>
    </row>
    <row r="70" spans="1:26" x14ac:dyDescent="0.2">
      <c r="A70">
        <v>17681595</v>
      </c>
      <c r="B70" t="s">
        <v>383</v>
      </c>
      <c r="C70" t="s">
        <v>384</v>
      </c>
      <c r="D70" t="s">
        <v>385</v>
      </c>
      <c r="E70" t="s">
        <v>386</v>
      </c>
      <c r="F70" t="str">
        <f>"0988981440"</f>
        <v>0988981440</v>
      </c>
      <c r="G70" t="str">
        <f>"9780988981447"</f>
        <v>9780988981447</v>
      </c>
      <c r="H70">
        <v>2</v>
      </c>
      <c r="I70">
        <v>4.01</v>
      </c>
      <c r="J70" t="s">
        <v>387</v>
      </c>
      <c r="K70" t="s">
        <v>36</v>
      </c>
      <c r="L70">
        <v>250</v>
      </c>
      <c r="M70">
        <v>2013</v>
      </c>
      <c r="N70">
        <v>1977</v>
      </c>
      <c r="O70" s="1">
        <v>43828</v>
      </c>
      <c r="P70" s="1">
        <v>43702</v>
      </c>
      <c r="S70" t="s">
        <v>57</v>
      </c>
      <c r="T70" t="s">
        <v>388</v>
      </c>
      <c r="W70">
        <v>1</v>
      </c>
      <c r="Z70">
        <v>0</v>
      </c>
    </row>
    <row r="71" spans="1:26" x14ac:dyDescent="0.2">
      <c r="A71">
        <v>6693</v>
      </c>
      <c r="B71" t="s">
        <v>389</v>
      </c>
      <c r="C71" t="s">
        <v>390</v>
      </c>
      <c r="D71" t="s">
        <v>391</v>
      </c>
      <c r="E71" t="s">
        <v>392</v>
      </c>
      <c r="F71" t="str">
        <f>"0375822070"</f>
        <v>0375822070</v>
      </c>
      <c r="G71" t="str">
        <f>"9780375822070"</f>
        <v>9780375822070</v>
      </c>
      <c r="H71">
        <v>0</v>
      </c>
      <c r="I71">
        <v>4.0599999999999996</v>
      </c>
      <c r="J71" t="s">
        <v>393</v>
      </c>
      <c r="K71" t="s">
        <v>49</v>
      </c>
      <c r="L71">
        <v>96</v>
      </c>
      <c r="M71">
        <v>2002</v>
      </c>
      <c r="N71">
        <v>1970</v>
      </c>
      <c r="P71" s="1">
        <v>43827</v>
      </c>
      <c r="S71" t="s">
        <v>57</v>
      </c>
      <c r="W71">
        <v>1</v>
      </c>
      <c r="Z71">
        <v>0</v>
      </c>
    </row>
    <row r="72" spans="1:26" x14ac:dyDescent="0.2">
      <c r="A72">
        <v>6689</v>
      </c>
      <c r="B72" t="s">
        <v>394</v>
      </c>
      <c r="C72" t="s">
        <v>390</v>
      </c>
      <c r="D72" t="s">
        <v>391</v>
      </c>
      <c r="E72" t="s">
        <v>392</v>
      </c>
      <c r="F72" t="str">
        <f>"0375814248"</f>
        <v>0375814248</v>
      </c>
      <c r="G72" t="str">
        <f>"9780375814242"</f>
        <v>9780375814242</v>
      </c>
      <c r="H72">
        <v>0</v>
      </c>
      <c r="I72">
        <v>4.01</v>
      </c>
      <c r="J72" t="s">
        <v>395</v>
      </c>
      <c r="K72" t="s">
        <v>49</v>
      </c>
      <c r="L72">
        <v>146</v>
      </c>
      <c r="M72">
        <v>2002</v>
      </c>
      <c r="N72">
        <v>1961</v>
      </c>
      <c r="P72" s="1">
        <v>43827</v>
      </c>
      <c r="S72" t="s">
        <v>57</v>
      </c>
      <c r="W72">
        <v>1</v>
      </c>
      <c r="Z72">
        <v>0</v>
      </c>
    </row>
    <row r="73" spans="1:26" x14ac:dyDescent="0.2">
      <c r="A73">
        <v>6319</v>
      </c>
      <c r="B73" t="s">
        <v>396</v>
      </c>
      <c r="C73" t="s">
        <v>390</v>
      </c>
      <c r="D73" t="s">
        <v>391</v>
      </c>
      <c r="E73" t="s">
        <v>392</v>
      </c>
      <c r="F73" t="str">
        <f>"0141311371"</f>
        <v>0141311371</v>
      </c>
      <c r="G73" t="str">
        <f>"9780141311371"</f>
        <v>9780141311371</v>
      </c>
      <c r="H73">
        <v>0</v>
      </c>
      <c r="I73">
        <v>4.2300000000000004</v>
      </c>
      <c r="J73" t="s">
        <v>397</v>
      </c>
      <c r="K73" t="s">
        <v>36</v>
      </c>
      <c r="L73">
        <v>199</v>
      </c>
      <c r="M73">
        <v>2001</v>
      </c>
      <c r="N73">
        <v>1982</v>
      </c>
      <c r="P73" s="1">
        <v>43827</v>
      </c>
      <c r="S73" t="s">
        <v>57</v>
      </c>
      <c r="W73">
        <v>1</v>
      </c>
      <c r="Z73">
        <v>0</v>
      </c>
    </row>
    <row r="74" spans="1:26" x14ac:dyDescent="0.2">
      <c r="A74">
        <v>39988</v>
      </c>
      <c r="B74" t="s">
        <v>398</v>
      </c>
      <c r="C74" t="s">
        <v>390</v>
      </c>
      <c r="D74" t="s">
        <v>391</v>
      </c>
      <c r="E74" t="s">
        <v>392</v>
      </c>
      <c r="F74" t="str">
        <f>"0141301066"</f>
        <v>0141301066</v>
      </c>
      <c r="G74" t="str">
        <f>"9780141301068"</f>
        <v>9780141301068</v>
      </c>
      <c r="H74">
        <v>0</v>
      </c>
      <c r="I74">
        <v>4.3099999999999996</v>
      </c>
      <c r="J74" t="s">
        <v>397</v>
      </c>
      <c r="K74" t="s">
        <v>36</v>
      </c>
      <c r="L74">
        <v>240</v>
      </c>
      <c r="M74">
        <v>1998</v>
      </c>
      <c r="N74">
        <v>1988</v>
      </c>
      <c r="P74" s="1">
        <v>43827</v>
      </c>
      <c r="S74" t="s">
        <v>57</v>
      </c>
      <c r="W74">
        <v>1</v>
      </c>
      <c r="Z74">
        <v>0</v>
      </c>
    </row>
    <row r="75" spans="1:26" x14ac:dyDescent="0.2">
      <c r="A75">
        <v>26125009</v>
      </c>
      <c r="B75" t="s">
        <v>399</v>
      </c>
      <c r="C75" t="s">
        <v>400</v>
      </c>
      <c r="D75" t="s">
        <v>401</v>
      </c>
      <c r="F75" t="str">
        <f>""</f>
        <v/>
      </c>
      <c r="G75" t="str">
        <f>""</f>
        <v/>
      </c>
      <c r="H75">
        <v>0</v>
      </c>
      <c r="I75">
        <v>4.55</v>
      </c>
      <c r="J75" t="s">
        <v>402</v>
      </c>
      <c r="K75" t="s">
        <v>62</v>
      </c>
      <c r="L75">
        <v>239</v>
      </c>
      <c r="M75">
        <v>2015</v>
      </c>
      <c r="N75">
        <v>2015</v>
      </c>
      <c r="P75" s="1">
        <v>43827</v>
      </c>
      <c r="S75" t="s">
        <v>57</v>
      </c>
      <c r="W75">
        <v>1</v>
      </c>
      <c r="Z75">
        <v>0</v>
      </c>
    </row>
    <row r="76" spans="1:26" x14ac:dyDescent="0.2">
      <c r="A76">
        <v>10176119</v>
      </c>
      <c r="B76" t="s">
        <v>403</v>
      </c>
      <c r="C76" t="s">
        <v>404</v>
      </c>
      <c r="D76" t="s">
        <v>405</v>
      </c>
      <c r="F76" t="str">
        <f>""</f>
        <v/>
      </c>
      <c r="G76" t="str">
        <f>""</f>
        <v/>
      </c>
      <c r="H76">
        <v>0</v>
      </c>
      <c r="I76">
        <v>4.22</v>
      </c>
      <c r="J76" t="s">
        <v>406</v>
      </c>
      <c r="K76" t="s">
        <v>42</v>
      </c>
      <c r="L76">
        <v>9</v>
      </c>
      <c r="N76">
        <v>1961</v>
      </c>
      <c r="P76" s="1">
        <v>43825</v>
      </c>
      <c r="Q76" t="s">
        <v>37</v>
      </c>
      <c r="R76" t="s">
        <v>407</v>
      </c>
      <c r="S76" t="s">
        <v>37</v>
      </c>
      <c r="W76">
        <v>0</v>
      </c>
      <c r="Z76">
        <v>0</v>
      </c>
    </row>
    <row r="77" spans="1:26" x14ac:dyDescent="0.2">
      <c r="A77">
        <v>84981</v>
      </c>
      <c r="B77" t="s">
        <v>408</v>
      </c>
      <c r="C77" t="s">
        <v>409</v>
      </c>
      <c r="D77" t="s">
        <v>410</v>
      </c>
      <c r="F77" t="str">
        <f>"0374480095"</f>
        <v>0374480095</v>
      </c>
      <c r="G77" t="str">
        <f>"9780374480097"</f>
        <v>9780374480097</v>
      </c>
      <c r="H77">
        <v>0</v>
      </c>
      <c r="I77">
        <v>3.87</v>
      </c>
      <c r="J77" t="s">
        <v>411</v>
      </c>
      <c r="K77" t="s">
        <v>36</v>
      </c>
      <c r="L77">
        <v>139</v>
      </c>
      <c r="M77">
        <v>1985</v>
      </c>
      <c r="N77">
        <v>1975</v>
      </c>
      <c r="P77" s="1">
        <v>43825</v>
      </c>
      <c r="Q77" t="s">
        <v>37</v>
      </c>
      <c r="R77" t="s">
        <v>412</v>
      </c>
      <c r="S77" t="s">
        <v>37</v>
      </c>
      <c r="W77">
        <v>0</v>
      </c>
      <c r="Z77">
        <v>0</v>
      </c>
    </row>
    <row r="78" spans="1:26" x14ac:dyDescent="0.2">
      <c r="A78">
        <v>9938498</v>
      </c>
      <c r="B78" t="s">
        <v>413</v>
      </c>
      <c r="C78" t="s">
        <v>414</v>
      </c>
      <c r="D78" t="s">
        <v>415</v>
      </c>
      <c r="F78" t="str">
        <f>"0307408841"</f>
        <v>0307408841</v>
      </c>
      <c r="G78" t="str">
        <f>"9780307408846"</f>
        <v>9780307408846</v>
      </c>
      <c r="H78">
        <v>5</v>
      </c>
      <c r="I78">
        <v>3.84</v>
      </c>
      <c r="J78" t="s">
        <v>416</v>
      </c>
      <c r="K78" t="s">
        <v>49</v>
      </c>
      <c r="L78">
        <v>448</v>
      </c>
      <c r="M78">
        <v>2011</v>
      </c>
      <c r="N78">
        <v>2011</v>
      </c>
      <c r="O78" s="1">
        <v>43825</v>
      </c>
      <c r="P78" s="1">
        <v>43801</v>
      </c>
      <c r="S78" t="s">
        <v>57</v>
      </c>
      <c r="T78" t="s">
        <v>417</v>
      </c>
      <c r="W78">
        <v>1</v>
      </c>
      <c r="Z78">
        <v>0</v>
      </c>
    </row>
    <row r="79" spans="1:26" x14ac:dyDescent="0.2">
      <c r="A79">
        <v>133394</v>
      </c>
      <c r="B79" t="s">
        <v>418</v>
      </c>
      <c r="C79" t="s">
        <v>419</v>
      </c>
      <c r="D79" t="s">
        <v>420</v>
      </c>
      <c r="F79" t="str">
        <f>"0140184937"</f>
        <v>0140184937</v>
      </c>
      <c r="G79" t="str">
        <f>"9780140184938"</f>
        <v>9780140184938</v>
      </c>
      <c r="H79">
        <v>0</v>
      </c>
      <c r="I79">
        <v>3.94</v>
      </c>
      <c r="J79" t="s">
        <v>421</v>
      </c>
      <c r="K79" t="s">
        <v>36</v>
      </c>
      <c r="L79">
        <v>220</v>
      </c>
      <c r="M79">
        <v>1991</v>
      </c>
      <c r="N79">
        <v>1958</v>
      </c>
      <c r="P79" s="1">
        <v>43824</v>
      </c>
      <c r="Q79" t="s">
        <v>37</v>
      </c>
      <c r="R79" t="s">
        <v>422</v>
      </c>
      <c r="S79" t="s">
        <v>37</v>
      </c>
      <c r="W79">
        <v>0</v>
      </c>
      <c r="Z79">
        <v>0</v>
      </c>
    </row>
    <row r="80" spans="1:26" x14ac:dyDescent="0.2">
      <c r="A80">
        <v>12691</v>
      </c>
      <c r="B80" t="s">
        <v>423</v>
      </c>
      <c r="C80" t="s">
        <v>424</v>
      </c>
      <c r="D80" t="s">
        <v>425</v>
      </c>
      <c r="F80" t="str">
        <f>"0739461192"</f>
        <v>0739461192</v>
      </c>
      <c r="G80" t="str">
        <f>"9780739461198"</f>
        <v>9780739461198</v>
      </c>
      <c r="H80">
        <v>0</v>
      </c>
      <c r="I80">
        <v>4.13</v>
      </c>
      <c r="J80" t="s">
        <v>426</v>
      </c>
      <c r="K80" t="s">
        <v>49</v>
      </c>
      <c r="L80">
        <v>291</v>
      </c>
      <c r="M80">
        <v>2005</v>
      </c>
      <c r="N80">
        <v>2005</v>
      </c>
      <c r="P80" s="1">
        <v>43824</v>
      </c>
      <c r="S80" t="s">
        <v>57</v>
      </c>
      <c r="W80">
        <v>1</v>
      </c>
      <c r="Z80">
        <v>0</v>
      </c>
    </row>
    <row r="81" spans="1:26" x14ac:dyDescent="0.2">
      <c r="A81">
        <v>21413662</v>
      </c>
      <c r="B81" t="s">
        <v>427</v>
      </c>
      <c r="C81" t="s">
        <v>428</v>
      </c>
      <c r="D81" t="s">
        <v>429</v>
      </c>
      <c r="F81" t="str">
        <f>"0544272994"</f>
        <v>0544272994</v>
      </c>
      <c r="G81" t="str">
        <f>"9780544272996"</f>
        <v>9780544272996</v>
      </c>
      <c r="H81">
        <v>0</v>
      </c>
      <c r="I81">
        <v>4.16</v>
      </c>
      <c r="J81" t="s">
        <v>430</v>
      </c>
      <c r="K81" t="s">
        <v>49</v>
      </c>
      <c r="L81">
        <v>303</v>
      </c>
      <c r="M81">
        <v>2014</v>
      </c>
      <c r="N81">
        <v>2014</v>
      </c>
      <c r="P81" s="1">
        <v>43824</v>
      </c>
      <c r="Q81" t="s">
        <v>37</v>
      </c>
      <c r="R81" t="s">
        <v>431</v>
      </c>
      <c r="S81" t="s">
        <v>37</v>
      </c>
      <c r="W81">
        <v>0</v>
      </c>
      <c r="Z81">
        <v>0</v>
      </c>
    </row>
    <row r="82" spans="1:26" x14ac:dyDescent="0.2">
      <c r="A82">
        <v>1845</v>
      </c>
      <c r="B82" t="s">
        <v>432</v>
      </c>
      <c r="C82" t="s">
        <v>332</v>
      </c>
      <c r="D82" t="s">
        <v>333</v>
      </c>
      <c r="F82" t="str">
        <f>"0385486804"</f>
        <v>0385486804</v>
      </c>
      <c r="G82" t="str">
        <f>"9780385486804"</f>
        <v>9780385486804</v>
      </c>
      <c r="H82">
        <v>0</v>
      </c>
      <c r="I82">
        <v>3.98</v>
      </c>
      <c r="J82" t="s">
        <v>334</v>
      </c>
      <c r="K82" t="s">
        <v>36</v>
      </c>
      <c r="L82">
        <v>207</v>
      </c>
      <c r="M82">
        <v>1997</v>
      </c>
      <c r="N82">
        <v>1996</v>
      </c>
      <c r="P82" s="1">
        <v>43824</v>
      </c>
      <c r="Q82" t="s">
        <v>37</v>
      </c>
      <c r="R82" t="s">
        <v>433</v>
      </c>
      <c r="S82" t="s">
        <v>37</v>
      </c>
      <c r="W82">
        <v>0</v>
      </c>
      <c r="Z82">
        <v>0</v>
      </c>
    </row>
    <row r="83" spans="1:26" x14ac:dyDescent="0.2">
      <c r="A83">
        <v>21996</v>
      </c>
      <c r="B83" t="s">
        <v>434</v>
      </c>
      <c r="C83" t="s">
        <v>414</v>
      </c>
      <c r="D83" t="s">
        <v>415</v>
      </c>
      <c r="E83" t="s">
        <v>435</v>
      </c>
      <c r="F83" t="str">
        <f>"0739303406"</f>
        <v>0739303406</v>
      </c>
      <c r="G83" t="str">
        <f>"9780739303405"</f>
        <v>9780739303405</v>
      </c>
      <c r="H83">
        <v>0</v>
      </c>
      <c r="I83">
        <v>3.99</v>
      </c>
      <c r="J83" t="s">
        <v>436</v>
      </c>
      <c r="K83" t="s">
        <v>437</v>
      </c>
      <c r="L83">
        <v>447</v>
      </c>
      <c r="M83">
        <v>2003</v>
      </c>
      <c r="N83">
        <v>2003</v>
      </c>
      <c r="P83" s="1">
        <v>43824</v>
      </c>
      <c r="Q83" t="s">
        <v>37</v>
      </c>
      <c r="R83" t="s">
        <v>438</v>
      </c>
      <c r="S83" t="s">
        <v>37</v>
      </c>
      <c r="W83">
        <v>0</v>
      </c>
      <c r="Z83">
        <v>0</v>
      </c>
    </row>
    <row r="84" spans="1:26" x14ac:dyDescent="0.2">
      <c r="A84">
        <v>8664353</v>
      </c>
      <c r="B84" t="s">
        <v>439</v>
      </c>
      <c r="C84" t="s">
        <v>440</v>
      </c>
      <c r="D84" t="s">
        <v>441</v>
      </c>
      <c r="F84" t="str">
        <f>"1400064163"</f>
        <v>1400064163</v>
      </c>
      <c r="G84" t="str">
        <f>"9781400064168"</f>
        <v>9781400064168</v>
      </c>
      <c r="H84">
        <v>0</v>
      </c>
      <c r="I84">
        <v>4.38</v>
      </c>
      <c r="J84" t="s">
        <v>96</v>
      </c>
      <c r="K84" t="s">
        <v>49</v>
      </c>
      <c r="L84">
        <v>492</v>
      </c>
      <c r="M84">
        <v>2010</v>
      </c>
      <c r="N84">
        <v>2010</v>
      </c>
      <c r="P84" s="1">
        <v>43824</v>
      </c>
      <c r="Q84" t="s">
        <v>37</v>
      </c>
      <c r="R84" t="s">
        <v>442</v>
      </c>
      <c r="S84" t="s">
        <v>37</v>
      </c>
      <c r="W84">
        <v>0</v>
      </c>
      <c r="Z84">
        <v>0</v>
      </c>
    </row>
    <row r="85" spans="1:26" x14ac:dyDescent="0.2">
      <c r="A85">
        <v>2199</v>
      </c>
      <c r="B85" t="s">
        <v>443</v>
      </c>
      <c r="C85" t="s">
        <v>444</v>
      </c>
      <c r="D85" t="s">
        <v>445</v>
      </c>
      <c r="F85" t="str">
        <f>"0743270754"</f>
        <v>0743270754</v>
      </c>
      <c r="G85" t="str">
        <f>"9780743270755"</f>
        <v>9780743270755</v>
      </c>
      <c r="H85">
        <v>0</v>
      </c>
      <c r="I85">
        <v>4.28</v>
      </c>
      <c r="J85" t="s">
        <v>446</v>
      </c>
      <c r="K85" t="s">
        <v>36</v>
      </c>
      <c r="L85">
        <v>916</v>
      </c>
      <c r="M85">
        <v>2006</v>
      </c>
      <c r="N85">
        <v>2005</v>
      </c>
      <c r="P85" s="1">
        <v>43824</v>
      </c>
      <c r="Q85" t="s">
        <v>37</v>
      </c>
      <c r="R85" t="s">
        <v>447</v>
      </c>
      <c r="S85" t="s">
        <v>37</v>
      </c>
      <c r="W85">
        <v>0</v>
      </c>
      <c r="Z85">
        <v>0</v>
      </c>
    </row>
    <row r="86" spans="1:26" x14ac:dyDescent="0.2">
      <c r="A86">
        <v>36794252</v>
      </c>
      <c r="B86" t="s">
        <v>448</v>
      </c>
      <c r="C86" t="s">
        <v>449</v>
      </c>
      <c r="D86" t="s">
        <v>450</v>
      </c>
      <c r="F86" t="str">
        <f>"0199646309"</f>
        <v>0199646309</v>
      </c>
      <c r="G86" t="str">
        <f>"9780199646302"</f>
        <v>9780199646302</v>
      </c>
      <c r="H86">
        <v>0</v>
      </c>
      <c r="I86">
        <v>4.04</v>
      </c>
      <c r="J86" t="s">
        <v>451</v>
      </c>
      <c r="K86" t="s">
        <v>49</v>
      </c>
      <c r="L86">
        <v>432</v>
      </c>
      <c r="M86">
        <v>2018</v>
      </c>
      <c r="P86" s="1">
        <v>43822</v>
      </c>
      <c r="Q86" t="s">
        <v>37</v>
      </c>
      <c r="R86" t="s">
        <v>452</v>
      </c>
      <c r="S86" t="s">
        <v>37</v>
      </c>
      <c r="W86">
        <v>0</v>
      </c>
      <c r="Z86">
        <v>0</v>
      </c>
    </row>
    <row r="87" spans="1:26" x14ac:dyDescent="0.2">
      <c r="A87">
        <v>153747</v>
      </c>
      <c r="B87" t="s">
        <v>453</v>
      </c>
      <c r="C87" t="s">
        <v>454</v>
      </c>
      <c r="D87" t="s">
        <v>455</v>
      </c>
      <c r="E87" t="s">
        <v>456</v>
      </c>
      <c r="F87" t="str">
        <f>"0142437247"</f>
        <v>0142437247</v>
      </c>
      <c r="G87" t="str">
        <f>"9780142437247"</f>
        <v>9780142437247</v>
      </c>
      <c r="H87">
        <v>0</v>
      </c>
      <c r="I87">
        <v>3.5</v>
      </c>
      <c r="J87" t="s">
        <v>125</v>
      </c>
      <c r="K87" t="s">
        <v>36</v>
      </c>
      <c r="L87">
        <v>654</v>
      </c>
      <c r="M87">
        <v>2003</v>
      </c>
      <c r="N87">
        <v>1851</v>
      </c>
      <c r="P87" s="1">
        <v>43821</v>
      </c>
      <c r="Q87" t="s">
        <v>37</v>
      </c>
      <c r="R87" t="s">
        <v>457</v>
      </c>
      <c r="S87" t="s">
        <v>37</v>
      </c>
      <c r="W87">
        <v>0</v>
      </c>
      <c r="Z87">
        <v>0</v>
      </c>
    </row>
    <row r="88" spans="1:26" x14ac:dyDescent="0.2">
      <c r="A88">
        <v>1953</v>
      </c>
      <c r="B88" t="s">
        <v>458</v>
      </c>
      <c r="C88" t="s">
        <v>459</v>
      </c>
      <c r="D88" t="s">
        <v>460</v>
      </c>
      <c r="E88" t="s">
        <v>461</v>
      </c>
      <c r="F88" t="str">
        <f>"0141439602"</f>
        <v>0141439602</v>
      </c>
      <c r="G88" t="str">
        <f>"9780141439600"</f>
        <v>9780141439600</v>
      </c>
      <c r="H88">
        <v>0</v>
      </c>
      <c r="I88">
        <v>3.84</v>
      </c>
      <c r="J88" t="s">
        <v>217</v>
      </c>
      <c r="K88" t="s">
        <v>36</v>
      </c>
      <c r="L88">
        <v>489</v>
      </c>
      <c r="M88">
        <v>2003</v>
      </c>
      <c r="N88">
        <v>1859</v>
      </c>
      <c r="P88" s="1">
        <v>43821</v>
      </c>
      <c r="S88" t="s">
        <v>57</v>
      </c>
      <c r="W88">
        <v>1</v>
      </c>
      <c r="Z88">
        <v>0</v>
      </c>
    </row>
    <row r="89" spans="1:26" x14ac:dyDescent="0.2">
      <c r="A89">
        <v>46787</v>
      </c>
      <c r="B89" t="s">
        <v>462</v>
      </c>
      <c r="C89" t="s">
        <v>463</v>
      </c>
      <c r="D89" t="s">
        <v>464</v>
      </c>
      <c r="F89" t="str">
        <f>""</f>
        <v/>
      </c>
      <c r="G89" t="str">
        <f>""</f>
        <v/>
      </c>
      <c r="H89">
        <v>0</v>
      </c>
      <c r="I89">
        <v>3.86</v>
      </c>
      <c r="J89" t="s">
        <v>465</v>
      </c>
      <c r="K89" t="s">
        <v>36</v>
      </c>
      <c r="L89">
        <v>438</v>
      </c>
      <c r="M89">
        <v>1999</v>
      </c>
      <c r="N89">
        <v>1852</v>
      </c>
      <c r="P89" s="1">
        <v>43821</v>
      </c>
      <c r="Q89" t="s">
        <v>37</v>
      </c>
      <c r="R89" t="s">
        <v>466</v>
      </c>
      <c r="S89" t="s">
        <v>37</v>
      </c>
      <c r="W89">
        <v>0</v>
      </c>
      <c r="Z89">
        <v>0</v>
      </c>
    </row>
    <row r="90" spans="1:26" x14ac:dyDescent="0.2">
      <c r="A90">
        <v>890</v>
      </c>
      <c r="B90" t="s">
        <v>467</v>
      </c>
      <c r="C90" t="s">
        <v>225</v>
      </c>
      <c r="D90" t="s">
        <v>226</v>
      </c>
      <c r="F90" t="str">
        <f>"0142000671"</f>
        <v>0142000671</v>
      </c>
      <c r="G90" t="str">
        <f>"9780142000670"</f>
        <v>9780142000670</v>
      </c>
      <c r="H90">
        <v>0</v>
      </c>
      <c r="I90">
        <v>3.87</v>
      </c>
      <c r="J90" t="s">
        <v>217</v>
      </c>
      <c r="K90" t="s">
        <v>36</v>
      </c>
      <c r="L90">
        <v>103</v>
      </c>
      <c r="M90">
        <v>2002</v>
      </c>
      <c r="N90">
        <v>1937</v>
      </c>
      <c r="P90" s="1">
        <v>43821</v>
      </c>
      <c r="Q90" t="s">
        <v>37</v>
      </c>
      <c r="R90" t="s">
        <v>468</v>
      </c>
      <c r="S90" t="s">
        <v>37</v>
      </c>
      <c r="W90">
        <v>0</v>
      </c>
      <c r="Z90">
        <v>0</v>
      </c>
    </row>
    <row r="91" spans="1:26" x14ac:dyDescent="0.2">
      <c r="A91">
        <v>70535</v>
      </c>
      <c r="B91" t="s">
        <v>469</v>
      </c>
      <c r="C91" t="s">
        <v>470</v>
      </c>
      <c r="D91" t="s">
        <v>471</v>
      </c>
      <c r="F91" t="str">
        <f>"0451457994"</f>
        <v>0451457994</v>
      </c>
      <c r="G91" t="str">
        <f>"9780451457998"</f>
        <v>9780451457998</v>
      </c>
      <c r="H91">
        <v>0</v>
      </c>
      <c r="I91">
        <v>4.1500000000000004</v>
      </c>
      <c r="J91" t="s">
        <v>472</v>
      </c>
      <c r="K91" t="s">
        <v>36</v>
      </c>
      <c r="L91">
        <v>297</v>
      </c>
      <c r="M91">
        <v>2000</v>
      </c>
      <c r="N91">
        <v>1968</v>
      </c>
      <c r="P91" s="1">
        <v>43821</v>
      </c>
      <c r="Q91" t="s">
        <v>37</v>
      </c>
      <c r="R91" t="s">
        <v>473</v>
      </c>
      <c r="S91" t="s">
        <v>37</v>
      </c>
      <c r="W91">
        <v>0</v>
      </c>
      <c r="Z91">
        <v>0</v>
      </c>
    </row>
    <row r="92" spans="1:26" x14ac:dyDescent="0.2">
      <c r="A92">
        <v>18007564</v>
      </c>
      <c r="B92" t="s">
        <v>474</v>
      </c>
      <c r="C92" t="s">
        <v>475</v>
      </c>
      <c r="D92" t="s">
        <v>476</v>
      </c>
      <c r="F92" t="str">
        <f>"0804139024"</f>
        <v>0804139024</v>
      </c>
      <c r="G92" t="str">
        <f>"9780804139021"</f>
        <v>9780804139021</v>
      </c>
      <c r="H92">
        <v>0</v>
      </c>
      <c r="I92">
        <v>4.4000000000000004</v>
      </c>
      <c r="J92" t="s">
        <v>416</v>
      </c>
      <c r="K92" t="s">
        <v>49</v>
      </c>
      <c r="L92">
        <v>369</v>
      </c>
      <c r="M92">
        <v>2014</v>
      </c>
      <c r="N92">
        <v>2012</v>
      </c>
      <c r="P92" s="1">
        <v>43821</v>
      </c>
      <c r="Q92" t="s">
        <v>37</v>
      </c>
      <c r="R92" t="s">
        <v>477</v>
      </c>
      <c r="S92" t="s">
        <v>37</v>
      </c>
      <c r="W92">
        <v>0</v>
      </c>
      <c r="Z92">
        <v>0</v>
      </c>
    </row>
    <row r="93" spans="1:26" x14ac:dyDescent="0.2">
      <c r="A93">
        <v>77270</v>
      </c>
      <c r="B93" t="s">
        <v>478</v>
      </c>
      <c r="C93" t="s">
        <v>479</v>
      </c>
      <c r="D93" t="s">
        <v>480</v>
      </c>
      <c r="F93" t="str">
        <f>"0812504690"</f>
        <v>0812504690</v>
      </c>
      <c r="G93" t="str">
        <f>"9780812504699"</f>
        <v>9780812504699</v>
      </c>
      <c r="H93">
        <v>0</v>
      </c>
      <c r="I93">
        <v>3.93</v>
      </c>
      <c r="J93" t="s">
        <v>481</v>
      </c>
      <c r="K93" t="s">
        <v>36</v>
      </c>
      <c r="L93">
        <v>277</v>
      </c>
      <c r="M93">
        <v>1992</v>
      </c>
      <c r="N93">
        <v>1893</v>
      </c>
      <c r="P93" s="1">
        <v>43821</v>
      </c>
      <c r="Q93" t="s">
        <v>37</v>
      </c>
      <c r="R93" t="s">
        <v>482</v>
      </c>
      <c r="S93" t="s">
        <v>37</v>
      </c>
      <c r="W93">
        <v>0</v>
      </c>
      <c r="Z93">
        <v>0</v>
      </c>
    </row>
    <row r="94" spans="1:26" x14ac:dyDescent="0.2">
      <c r="A94">
        <v>43171395</v>
      </c>
      <c r="B94" t="s">
        <v>483</v>
      </c>
      <c r="C94" t="s">
        <v>484</v>
      </c>
      <c r="D94" t="s">
        <v>485</v>
      </c>
      <c r="E94" t="s">
        <v>486</v>
      </c>
      <c r="F94" t="str">
        <f>"9056918184"</f>
        <v>9056918184</v>
      </c>
      <c r="G94" t="str">
        <f>"9789056918187"</f>
        <v>9789056918187</v>
      </c>
      <c r="H94">
        <v>0</v>
      </c>
      <c r="I94">
        <v>4.1500000000000004</v>
      </c>
      <c r="J94" t="s">
        <v>487</v>
      </c>
      <c r="K94" t="s">
        <v>36</v>
      </c>
      <c r="L94">
        <v>416</v>
      </c>
      <c r="M94">
        <v>2019</v>
      </c>
      <c r="N94">
        <v>2019</v>
      </c>
      <c r="P94" s="1">
        <v>43821</v>
      </c>
      <c r="Q94" t="s">
        <v>37</v>
      </c>
      <c r="R94" t="s">
        <v>488</v>
      </c>
      <c r="S94" t="s">
        <v>37</v>
      </c>
      <c r="W94">
        <v>0</v>
      </c>
      <c r="Z94">
        <v>0</v>
      </c>
    </row>
    <row r="95" spans="1:26" x14ac:dyDescent="0.2">
      <c r="A95">
        <v>32074951</v>
      </c>
      <c r="B95" t="s">
        <v>489</v>
      </c>
      <c r="C95" t="s">
        <v>490</v>
      </c>
      <c r="D95" t="s">
        <v>491</v>
      </c>
      <c r="F95" t="str">
        <f>"1537666932"</f>
        <v>1537666932</v>
      </c>
      <c r="G95" t="str">
        <f>"9781537666938"</f>
        <v>9781537666938</v>
      </c>
      <c r="H95">
        <v>0</v>
      </c>
      <c r="I95">
        <v>4.5599999999999996</v>
      </c>
      <c r="J95" t="s">
        <v>492</v>
      </c>
      <c r="K95" t="s">
        <v>36</v>
      </c>
      <c r="L95">
        <v>140</v>
      </c>
      <c r="M95">
        <v>2016</v>
      </c>
      <c r="P95" s="1">
        <v>43821</v>
      </c>
      <c r="S95" t="s">
        <v>57</v>
      </c>
      <c r="W95">
        <v>1</v>
      </c>
      <c r="Z95">
        <v>0</v>
      </c>
    </row>
    <row r="96" spans="1:26" x14ac:dyDescent="0.2">
      <c r="A96">
        <v>35222261</v>
      </c>
      <c r="B96" t="s">
        <v>493</v>
      </c>
      <c r="C96" t="s">
        <v>337</v>
      </c>
      <c r="D96" t="s">
        <v>338</v>
      </c>
      <c r="E96" t="s">
        <v>494</v>
      </c>
      <c r="F96" t="str">
        <f>""</f>
        <v/>
      </c>
      <c r="G96" t="str">
        <f>""</f>
        <v/>
      </c>
      <c r="H96">
        <v>0</v>
      </c>
      <c r="I96">
        <v>4.6399999999999997</v>
      </c>
      <c r="J96" t="s">
        <v>495</v>
      </c>
      <c r="K96" t="s">
        <v>62</v>
      </c>
      <c r="L96">
        <v>1275</v>
      </c>
      <c r="M96">
        <v>2008</v>
      </c>
      <c r="P96" s="1">
        <v>43821</v>
      </c>
      <c r="Q96" t="s">
        <v>37</v>
      </c>
      <c r="R96" t="s">
        <v>496</v>
      </c>
      <c r="S96" t="s">
        <v>37</v>
      </c>
      <c r="W96">
        <v>0</v>
      </c>
      <c r="Z96">
        <v>0</v>
      </c>
    </row>
    <row r="97" spans="1:26" x14ac:dyDescent="0.2">
      <c r="A97">
        <v>11468377</v>
      </c>
      <c r="B97" t="s">
        <v>497</v>
      </c>
      <c r="C97" t="s">
        <v>498</v>
      </c>
      <c r="D97" t="s">
        <v>499</v>
      </c>
      <c r="F97" t="str">
        <f>"0374275637"</f>
        <v>0374275637</v>
      </c>
      <c r="G97" t="str">
        <f>"9780374275631"</f>
        <v>9780374275631</v>
      </c>
      <c r="H97">
        <v>0</v>
      </c>
      <c r="I97">
        <v>4.1500000000000004</v>
      </c>
      <c r="J97" t="s">
        <v>500</v>
      </c>
      <c r="K97" t="s">
        <v>49</v>
      </c>
      <c r="L97">
        <v>499</v>
      </c>
      <c r="M97">
        <v>2011</v>
      </c>
      <c r="N97">
        <v>2011</v>
      </c>
      <c r="P97" s="1">
        <v>43821</v>
      </c>
      <c r="Q97" t="s">
        <v>37</v>
      </c>
      <c r="R97" t="s">
        <v>501</v>
      </c>
      <c r="S97" t="s">
        <v>37</v>
      </c>
      <c r="W97">
        <v>0</v>
      </c>
      <c r="Z97">
        <v>0</v>
      </c>
    </row>
    <row r="98" spans="1:26" x14ac:dyDescent="0.2">
      <c r="A98">
        <v>544564</v>
      </c>
      <c r="B98" t="s">
        <v>502</v>
      </c>
      <c r="C98" t="s">
        <v>209</v>
      </c>
      <c r="D98" t="s">
        <v>210</v>
      </c>
      <c r="F98" t="str">
        <f>"0898868874"</f>
        <v>0898868874</v>
      </c>
      <c r="G98" t="str">
        <f>"9780898868876"</f>
        <v>9780898868876</v>
      </c>
      <c r="H98">
        <v>4</v>
      </c>
      <c r="I98">
        <v>4.21</v>
      </c>
      <c r="J98" t="s">
        <v>503</v>
      </c>
      <c r="K98" t="s">
        <v>36</v>
      </c>
      <c r="L98">
        <v>192</v>
      </c>
      <c r="M98">
        <v>2002</v>
      </c>
      <c r="N98">
        <v>2001</v>
      </c>
      <c r="O98" s="1">
        <v>43820</v>
      </c>
      <c r="P98" s="1">
        <v>43798</v>
      </c>
      <c r="S98" t="s">
        <v>57</v>
      </c>
      <c r="T98" t="s">
        <v>504</v>
      </c>
      <c r="W98">
        <v>1</v>
      </c>
      <c r="Z98">
        <v>0</v>
      </c>
    </row>
    <row r="99" spans="1:26" x14ac:dyDescent="0.2">
      <c r="A99">
        <v>761935</v>
      </c>
      <c r="B99" t="s">
        <v>505</v>
      </c>
      <c r="C99" t="s">
        <v>506</v>
      </c>
      <c r="D99" t="s">
        <v>507</v>
      </c>
      <c r="F99" t="str">
        <f>"0498016641"</f>
        <v>0498016641</v>
      </c>
      <c r="G99" t="str">
        <f>"9780498016646"</f>
        <v>9780498016646</v>
      </c>
      <c r="H99">
        <v>0</v>
      </c>
      <c r="I99">
        <v>4.1399999999999997</v>
      </c>
      <c r="J99" t="s">
        <v>508</v>
      </c>
      <c r="K99" t="s">
        <v>49</v>
      </c>
      <c r="L99">
        <v>166</v>
      </c>
      <c r="M99">
        <v>1975</v>
      </c>
      <c r="N99">
        <v>1958</v>
      </c>
      <c r="P99" s="1">
        <v>43820</v>
      </c>
      <c r="Q99" t="s">
        <v>37</v>
      </c>
      <c r="R99" t="s">
        <v>509</v>
      </c>
      <c r="S99" t="s">
        <v>37</v>
      </c>
      <c r="W99">
        <v>0</v>
      </c>
      <c r="Z99">
        <v>0</v>
      </c>
    </row>
    <row r="100" spans="1:26" x14ac:dyDescent="0.2">
      <c r="A100">
        <v>51782</v>
      </c>
      <c r="B100" t="s">
        <v>510</v>
      </c>
      <c r="C100" t="s">
        <v>511</v>
      </c>
      <c r="D100" t="s">
        <v>512</v>
      </c>
      <c r="E100" t="s">
        <v>513</v>
      </c>
      <c r="F100" t="str">
        <f>"0415325102"</f>
        <v>0415325102</v>
      </c>
      <c r="G100" t="str">
        <f>"9780415325103"</f>
        <v>9780415325103</v>
      </c>
      <c r="H100">
        <v>0</v>
      </c>
      <c r="I100">
        <v>4.0199999999999996</v>
      </c>
      <c r="J100" t="s">
        <v>514</v>
      </c>
      <c r="K100" t="s">
        <v>36</v>
      </c>
      <c r="L100">
        <v>223</v>
      </c>
      <c r="M100">
        <v>2004</v>
      </c>
      <c r="N100">
        <v>1927</v>
      </c>
      <c r="P100" s="1">
        <v>43820</v>
      </c>
      <c r="Q100" t="s">
        <v>37</v>
      </c>
      <c r="R100" t="s">
        <v>515</v>
      </c>
      <c r="S100" t="s">
        <v>37</v>
      </c>
      <c r="W100">
        <v>0</v>
      </c>
      <c r="Z100">
        <v>0</v>
      </c>
    </row>
    <row r="101" spans="1:26" x14ac:dyDescent="0.2">
      <c r="A101">
        <v>94578</v>
      </c>
      <c r="B101" t="s">
        <v>516</v>
      </c>
      <c r="C101" t="s">
        <v>517</v>
      </c>
      <c r="D101" t="s">
        <v>518</v>
      </c>
      <c r="E101" t="s">
        <v>519</v>
      </c>
      <c r="F101" t="str">
        <f>"0394719859"</f>
        <v>0394719859</v>
      </c>
      <c r="G101" t="str">
        <f>"9780394719856"</f>
        <v>9780394719856</v>
      </c>
      <c r="H101">
        <v>0</v>
      </c>
      <c r="I101">
        <v>4.26</v>
      </c>
      <c r="J101" t="s">
        <v>96</v>
      </c>
      <c r="K101" t="s">
        <v>520</v>
      </c>
      <c r="L101">
        <v>398</v>
      </c>
      <c r="M101">
        <v>1974</v>
      </c>
      <c r="N101">
        <v>1882</v>
      </c>
      <c r="P101" s="1">
        <v>43820</v>
      </c>
      <c r="Q101" t="s">
        <v>37</v>
      </c>
      <c r="R101" t="s">
        <v>521</v>
      </c>
      <c r="S101" t="s">
        <v>37</v>
      </c>
      <c r="W101">
        <v>0</v>
      </c>
      <c r="Z101">
        <v>0</v>
      </c>
    </row>
    <row r="102" spans="1:26" x14ac:dyDescent="0.2">
      <c r="A102">
        <v>3876</v>
      </c>
      <c r="B102" t="s">
        <v>522</v>
      </c>
      <c r="C102" t="s">
        <v>523</v>
      </c>
      <c r="D102" t="s">
        <v>524</v>
      </c>
      <c r="F102" t="str">
        <f>""</f>
        <v/>
      </c>
      <c r="G102" t="str">
        <f>""</f>
        <v/>
      </c>
      <c r="H102">
        <v>0</v>
      </c>
      <c r="I102">
        <v>3.82</v>
      </c>
      <c r="J102" t="s">
        <v>525</v>
      </c>
      <c r="K102" t="s">
        <v>36</v>
      </c>
      <c r="L102">
        <v>189</v>
      </c>
      <c r="M102">
        <v>1957</v>
      </c>
      <c r="N102">
        <v>1926</v>
      </c>
      <c r="P102" s="1">
        <v>43816</v>
      </c>
      <c r="Q102" t="s">
        <v>37</v>
      </c>
      <c r="R102" t="s">
        <v>526</v>
      </c>
      <c r="S102" t="s">
        <v>37</v>
      </c>
      <c r="W102">
        <v>0</v>
      </c>
      <c r="Z102">
        <v>0</v>
      </c>
    </row>
    <row r="103" spans="1:26" x14ac:dyDescent="0.2">
      <c r="A103">
        <v>10799</v>
      </c>
      <c r="B103" t="s">
        <v>527</v>
      </c>
      <c r="C103" t="s">
        <v>523</v>
      </c>
      <c r="D103" t="s">
        <v>524</v>
      </c>
      <c r="F103" t="str">
        <f>"0099910101"</f>
        <v>0099910101</v>
      </c>
      <c r="G103" t="str">
        <f>"9780099910107"</f>
        <v>9780099910107</v>
      </c>
      <c r="H103">
        <v>0</v>
      </c>
      <c r="I103">
        <v>3.81</v>
      </c>
      <c r="J103" t="s">
        <v>528</v>
      </c>
      <c r="K103" t="s">
        <v>36</v>
      </c>
      <c r="L103">
        <v>293</v>
      </c>
      <c r="M103">
        <v>2004</v>
      </c>
      <c r="N103">
        <v>1929</v>
      </c>
      <c r="P103" s="1">
        <v>43816</v>
      </c>
      <c r="Q103" t="s">
        <v>37</v>
      </c>
      <c r="R103" t="s">
        <v>529</v>
      </c>
      <c r="S103" t="s">
        <v>37</v>
      </c>
      <c r="W103">
        <v>0</v>
      </c>
      <c r="Z103">
        <v>0</v>
      </c>
    </row>
    <row r="104" spans="1:26" x14ac:dyDescent="0.2">
      <c r="A104">
        <v>46170</v>
      </c>
      <c r="B104" t="s">
        <v>530</v>
      </c>
      <c r="C104" t="s">
        <v>523</v>
      </c>
      <c r="D104" t="s">
        <v>524</v>
      </c>
      <c r="E104" t="s">
        <v>531</v>
      </c>
      <c r="F104" t="str">
        <f>""</f>
        <v/>
      </c>
      <c r="G104" t="str">
        <f>""</f>
        <v/>
      </c>
      <c r="H104">
        <v>0</v>
      </c>
      <c r="I104">
        <v>3.97</v>
      </c>
      <c r="J104" t="s">
        <v>532</v>
      </c>
      <c r="K104" t="s">
        <v>36</v>
      </c>
      <c r="L104">
        <v>471</v>
      </c>
      <c r="M104">
        <v>1995</v>
      </c>
      <c r="N104">
        <v>1940</v>
      </c>
      <c r="P104" s="1">
        <v>43816</v>
      </c>
      <c r="Q104" t="s">
        <v>37</v>
      </c>
      <c r="R104" t="s">
        <v>533</v>
      </c>
      <c r="S104" t="s">
        <v>37</v>
      </c>
      <c r="W104">
        <v>0</v>
      </c>
      <c r="Z104">
        <v>0</v>
      </c>
    </row>
    <row r="105" spans="1:26" x14ac:dyDescent="0.2">
      <c r="A105">
        <v>191413</v>
      </c>
      <c r="B105" t="s">
        <v>534</v>
      </c>
      <c r="C105" t="s">
        <v>535</v>
      </c>
      <c r="D105" t="s">
        <v>536</v>
      </c>
      <c r="F105" t="str">
        <f>"0805076174"</f>
        <v>0805076174</v>
      </c>
      <c r="G105" t="str">
        <f>"9780805076172"</f>
        <v>9780805076172</v>
      </c>
      <c r="H105">
        <v>0</v>
      </c>
      <c r="I105">
        <v>4.12</v>
      </c>
      <c r="J105" t="s">
        <v>537</v>
      </c>
      <c r="K105" t="s">
        <v>36</v>
      </c>
      <c r="L105">
        <v>688</v>
      </c>
      <c r="M105">
        <v>2004</v>
      </c>
      <c r="N105">
        <v>1994</v>
      </c>
      <c r="P105" s="1">
        <v>43814</v>
      </c>
      <c r="Q105" t="s">
        <v>37</v>
      </c>
      <c r="R105" t="s">
        <v>538</v>
      </c>
      <c r="S105" t="s">
        <v>37</v>
      </c>
      <c r="W105">
        <v>0</v>
      </c>
      <c r="Z105">
        <v>0</v>
      </c>
    </row>
    <row r="106" spans="1:26" x14ac:dyDescent="0.2">
      <c r="A106">
        <v>8642478</v>
      </c>
      <c r="B106" t="s">
        <v>539</v>
      </c>
      <c r="C106" t="s">
        <v>540</v>
      </c>
      <c r="D106" t="s">
        <v>541</v>
      </c>
      <c r="F106" t="str">
        <f>"0810870649"</f>
        <v>0810870649</v>
      </c>
      <c r="G106" t="str">
        <f>"9780810870642"</f>
        <v>9780810870642</v>
      </c>
      <c r="H106">
        <v>4</v>
      </c>
      <c r="I106">
        <v>3.5</v>
      </c>
      <c r="J106" t="s">
        <v>542</v>
      </c>
      <c r="K106" t="s">
        <v>42</v>
      </c>
      <c r="L106">
        <v>402</v>
      </c>
      <c r="M106">
        <v>2009</v>
      </c>
      <c r="N106">
        <v>2009</v>
      </c>
      <c r="P106" s="1">
        <v>43805</v>
      </c>
      <c r="S106" t="s">
        <v>57</v>
      </c>
      <c r="T106" t="s">
        <v>543</v>
      </c>
      <c r="W106">
        <v>1</v>
      </c>
      <c r="Z106">
        <v>0</v>
      </c>
    </row>
    <row r="107" spans="1:26" x14ac:dyDescent="0.2">
      <c r="A107">
        <v>694886</v>
      </c>
      <c r="B107" t="s">
        <v>544</v>
      </c>
      <c r="C107" t="s">
        <v>545</v>
      </c>
      <c r="D107" t="s">
        <v>546</v>
      </c>
      <c r="F107" t="str">
        <f>"0684855720"</f>
        <v>0684855720</v>
      </c>
      <c r="G107" t="str">
        <f>"9780684855721"</f>
        <v>9780684855721</v>
      </c>
      <c r="H107">
        <v>0</v>
      </c>
      <c r="I107">
        <v>3.89</v>
      </c>
      <c r="J107" t="s">
        <v>547</v>
      </c>
      <c r="K107" t="s">
        <v>36</v>
      </c>
      <c r="L107">
        <v>1151</v>
      </c>
      <c r="M107">
        <v>2000</v>
      </c>
      <c r="N107">
        <v>1998</v>
      </c>
      <c r="P107" s="1">
        <v>43801</v>
      </c>
      <c r="Q107" t="s">
        <v>37</v>
      </c>
      <c r="R107" t="s">
        <v>548</v>
      </c>
      <c r="S107" t="s">
        <v>37</v>
      </c>
      <c r="W107">
        <v>0</v>
      </c>
      <c r="Z107">
        <v>0</v>
      </c>
    </row>
    <row r="108" spans="1:26" x14ac:dyDescent="0.2">
      <c r="A108">
        <v>259657</v>
      </c>
      <c r="B108" t="s">
        <v>549</v>
      </c>
      <c r="C108" t="s">
        <v>545</v>
      </c>
      <c r="D108" t="s">
        <v>546</v>
      </c>
      <c r="F108" t="str">
        <f>"0517639114"</f>
        <v>0517639114</v>
      </c>
      <c r="G108" t="str">
        <f>"9780517639115"</f>
        <v>9780517639115</v>
      </c>
      <c r="H108">
        <v>0</v>
      </c>
      <c r="I108">
        <v>3.89</v>
      </c>
      <c r="J108" t="s">
        <v>550</v>
      </c>
      <c r="K108" t="s">
        <v>49</v>
      </c>
      <c r="L108">
        <v>1298</v>
      </c>
      <c r="M108">
        <v>1987</v>
      </c>
      <c r="N108">
        <v>1979</v>
      </c>
      <c r="P108" s="1">
        <v>43801</v>
      </c>
      <c r="Q108" t="s">
        <v>37</v>
      </c>
      <c r="R108" t="s">
        <v>551</v>
      </c>
      <c r="S108" t="s">
        <v>37</v>
      </c>
      <c r="W108">
        <v>0</v>
      </c>
      <c r="Z108">
        <v>0</v>
      </c>
    </row>
    <row r="109" spans="1:26" x14ac:dyDescent="0.2">
      <c r="A109">
        <v>1414134</v>
      </c>
      <c r="B109" t="s">
        <v>552</v>
      </c>
      <c r="C109" t="s">
        <v>545</v>
      </c>
      <c r="D109" t="s">
        <v>546</v>
      </c>
      <c r="F109" t="str">
        <f>"0718118685"</f>
        <v>0718118685</v>
      </c>
      <c r="G109" t="str">
        <f>"9780718118686"</f>
        <v>9780718118686</v>
      </c>
      <c r="H109">
        <v>0</v>
      </c>
      <c r="I109">
        <v>3.88</v>
      </c>
      <c r="J109" t="s">
        <v>553</v>
      </c>
      <c r="K109" t="s">
        <v>49</v>
      </c>
      <c r="L109">
        <v>1521</v>
      </c>
      <c r="M109">
        <v>1979</v>
      </c>
      <c r="N109">
        <v>1979</v>
      </c>
      <c r="P109" s="1">
        <v>43801</v>
      </c>
      <c r="Q109" t="s">
        <v>37</v>
      </c>
      <c r="R109" t="s">
        <v>554</v>
      </c>
      <c r="S109" t="s">
        <v>37</v>
      </c>
      <c r="W109">
        <v>0</v>
      </c>
      <c r="Z109">
        <v>0</v>
      </c>
    </row>
    <row r="110" spans="1:26" x14ac:dyDescent="0.2">
      <c r="A110">
        <v>35031085</v>
      </c>
      <c r="B110" t="s">
        <v>555</v>
      </c>
      <c r="C110" t="s">
        <v>556</v>
      </c>
      <c r="D110" t="s">
        <v>557</v>
      </c>
      <c r="E110" t="s">
        <v>558</v>
      </c>
      <c r="F110" t="str">
        <f>""</f>
        <v/>
      </c>
      <c r="G110" t="str">
        <f>""</f>
        <v/>
      </c>
      <c r="H110">
        <v>0</v>
      </c>
      <c r="I110">
        <v>3.8</v>
      </c>
      <c r="J110" t="s">
        <v>125</v>
      </c>
      <c r="K110" t="s">
        <v>36</v>
      </c>
      <c r="L110">
        <v>288</v>
      </c>
      <c r="M110">
        <v>2018</v>
      </c>
      <c r="N110">
        <v>1818</v>
      </c>
      <c r="P110" s="1">
        <v>43798</v>
      </c>
      <c r="S110" t="s">
        <v>57</v>
      </c>
      <c r="W110">
        <v>1</v>
      </c>
      <c r="Z110">
        <v>0</v>
      </c>
    </row>
    <row r="111" spans="1:26" x14ac:dyDescent="0.2">
      <c r="A111">
        <v>13079982</v>
      </c>
      <c r="B111" t="s">
        <v>559</v>
      </c>
      <c r="C111" t="s">
        <v>560</v>
      </c>
      <c r="D111" t="s">
        <v>561</v>
      </c>
      <c r="F111" t="str">
        <f>""</f>
        <v/>
      </c>
      <c r="G111" t="str">
        <f>""</f>
        <v/>
      </c>
      <c r="H111">
        <v>0</v>
      </c>
      <c r="I111">
        <v>3.99</v>
      </c>
      <c r="J111" t="s">
        <v>446</v>
      </c>
      <c r="K111" t="s">
        <v>62</v>
      </c>
      <c r="L111">
        <v>194</v>
      </c>
      <c r="M111">
        <v>2011</v>
      </c>
      <c r="N111">
        <v>1953</v>
      </c>
      <c r="P111" s="1">
        <v>43798</v>
      </c>
      <c r="S111" t="s">
        <v>57</v>
      </c>
      <c r="W111">
        <v>1</v>
      </c>
      <c r="Z111">
        <v>0</v>
      </c>
    </row>
    <row r="112" spans="1:26" x14ac:dyDescent="0.2">
      <c r="A112">
        <v>39334805</v>
      </c>
      <c r="B112" t="s">
        <v>562</v>
      </c>
      <c r="C112" t="s">
        <v>563</v>
      </c>
      <c r="D112" t="s">
        <v>564</v>
      </c>
      <c r="F112" t="str">
        <f>""</f>
        <v/>
      </c>
      <c r="G112" t="str">
        <f>""</f>
        <v/>
      </c>
      <c r="H112">
        <v>0</v>
      </c>
      <c r="I112">
        <v>4.1399999999999997</v>
      </c>
      <c r="J112" t="s">
        <v>565</v>
      </c>
      <c r="K112" t="s">
        <v>62</v>
      </c>
      <c r="L112">
        <v>281</v>
      </c>
      <c r="M112">
        <v>2018</v>
      </c>
      <c r="P112" s="1">
        <v>43798</v>
      </c>
      <c r="Q112" t="s">
        <v>37</v>
      </c>
      <c r="R112" t="s">
        <v>566</v>
      </c>
      <c r="S112" t="s">
        <v>37</v>
      </c>
      <c r="W112">
        <v>0</v>
      </c>
      <c r="Z112">
        <v>0</v>
      </c>
    </row>
    <row r="113" spans="1:26" x14ac:dyDescent="0.2">
      <c r="A113">
        <v>42585634</v>
      </c>
      <c r="B113" t="s">
        <v>567</v>
      </c>
      <c r="C113" t="s">
        <v>568</v>
      </c>
      <c r="D113" t="s">
        <v>569</v>
      </c>
      <c r="F113" t="str">
        <f>"1786995352"</f>
        <v>1786995352</v>
      </c>
      <c r="G113" t="str">
        <f>"9781786995353"</f>
        <v>9781786995353</v>
      </c>
      <c r="H113">
        <v>0</v>
      </c>
      <c r="I113">
        <v>4.22</v>
      </c>
      <c r="J113" t="s">
        <v>570</v>
      </c>
      <c r="K113" t="s">
        <v>49</v>
      </c>
      <c r="L113">
        <v>400</v>
      </c>
      <c r="M113">
        <v>2019</v>
      </c>
      <c r="N113">
        <v>2019</v>
      </c>
      <c r="P113" s="1">
        <v>43798</v>
      </c>
      <c r="Q113" t="s">
        <v>37</v>
      </c>
      <c r="R113" t="s">
        <v>571</v>
      </c>
      <c r="S113" t="s">
        <v>37</v>
      </c>
      <c r="W113">
        <v>0</v>
      </c>
      <c r="Z113">
        <v>0</v>
      </c>
    </row>
    <row r="114" spans="1:26" x14ac:dyDescent="0.2">
      <c r="A114">
        <v>28862</v>
      </c>
      <c r="B114" t="s">
        <v>572</v>
      </c>
      <c r="C114" t="s">
        <v>573</v>
      </c>
      <c r="D114" t="s">
        <v>574</v>
      </c>
      <c r="E114" t="s">
        <v>575</v>
      </c>
      <c r="F114" t="str">
        <f>"0937832383"</f>
        <v>0937832383</v>
      </c>
      <c r="G114" t="str">
        <f>"9780937832387"</f>
        <v>9780937832387</v>
      </c>
      <c r="H114">
        <v>0</v>
      </c>
      <c r="I114">
        <v>3.81</v>
      </c>
      <c r="J114" t="s">
        <v>576</v>
      </c>
      <c r="K114" t="s">
        <v>36</v>
      </c>
      <c r="L114">
        <v>140</v>
      </c>
      <c r="M114">
        <v>2003</v>
      </c>
      <c r="N114">
        <v>1532</v>
      </c>
      <c r="P114" s="1">
        <v>43797</v>
      </c>
      <c r="Q114" t="s">
        <v>37</v>
      </c>
      <c r="R114" t="s">
        <v>577</v>
      </c>
      <c r="S114" t="s">
        <v>37</v>
      </c>
      <c r="W114">
        <v>0</v>
      </c>
      <c r="Z114">
        <v>0</v>
      </c>
    </row>
    <row r="115" spans="1:26" x14ac:dyDescent="0.2">
      <c r="A115">
        <v>8707112</v>
      </c>
      <c r="B115" t="s">
        <v>578</v>
      </c>
      <c r="C115" t="s">
        <v>579</v>
      </c>
      <c r="D115" t="s">
        <v>580</v>
      </c>
      <c r="E115" t="s">
        <v>581</v>
      </c>
      <c r="F115" t="str">
        <f>"1887368019"</f>
        <v>1887368019</v>
      </c>
      <c r="G115" t="str">
        <f>"9781887368018"</f>
        <v>9781887368018</v>
      </c>
      <c r="H115">
        <v>0</v>
      </c>
      <c r="I115">
        <v>4.07</v>
      </c>
      <c r="J115" t="s">
        <v>582</v>
      </c>
      <c r="K115" t="s">
        <v>583</v>
      </c>
      <c r="L115">
        <v>258</v>
      </c>
      <c r="M115">
        <v>1995</v>
      </c>
      <c r="N115">
        <v>1954</v>
      </c>
      <c r="P115" s="1">
        <v>43797</v>
      </c>
      <c r="Q115" t="s">
        <v>37</v>
      </c>
      <c r="R115" t="s">
        <v>584</v>
      </c>
      <c r="S115" t="s">
        <v>37</v>
      </c>
      <c r="W115">
        <v>0</v>
      </c>
      <c r="Z115">
        <v>0</v>
      </c>
    </row>
    <row r="116" spans="1:26" x14ac:dyDescent="0.2">
      <c r="A116">
        <v>83596</v>
      </c>
      <c r="B116" t="s">
        <v>585</v>
      </c>
      <c r="C116" t="s">
        <v>586</v>
      </c>
      <c r="D116" t="s">
        <v>587</v>
      </c>
      <c r="E116" t="s">
        <v>588</v>
      </c>
      <c r="F116" t="str">
        <f>"0385199732"</f>
        <v>0385199732</v>
      </c>
      <c r="G116" t="str">
        <f>"9780385199735"</f>
        <v>9780385199735</v>
      </c>
      <c r="H116">
        <v>0</v>
      </c>
      <c r="I116">
        <v>4.18</v>
      </c>
      <c r="J116" t="s">
        <v>107</v>
      </c>
      <c r="K116" t="s">
        <v>36</v>
      </c>
      <c r="L116">
        <v>299</v>
      </c>
      <c r="M116">
        <v>1987</v>
      </c>
      <c r="N116">
        <v>1986</v>
      </c>
      <c r="P116" s="1">
        <v>43797</v>
      </c>
      <c r="Q116" t="s">
        <v>37</v>
      </c>
      <c r="R116" t="s">
        <v>589</v>
      </c>
      <c r="S116" t="s">
        <v>37</v>
      </c>
      <c r="W116">
        <v>0</v>
      </c>
      <c r="Z116">
        <v>0</v>
      </c>
    </row>
    <row r="117" spans="1:26" x14ac:dyDescent="0.2">
      <c r="A117">
        <v>39999</v>
      </c>
      <c r="B117" t="s">
        <v>590</v>
      </c>
      <c r="C117" t="s">
        <v>591</v>
      </c>
      <c r="D117" t="s">
        <v>592</v>
      </c>
      <c r="F117" t="str">
        <f>""</f>
        <v/>
      </c>
      <c r="G117" t="str">
        <f>""</f>
        <v/>
      </c>
      <c r="H117">
        <v>0</v>
      </c>
      <c r="I117">
        <v>4.1399999999999997</v>
      </c>
      <c r="J117" t="s">
        <v>593</v>
      </c>
      <c r="K117" t="s">
        <v>49</v>
      </c>
      <c r="L117">
        <v>240</v>
      </c>
      <c r="M117">
        <v>2006</v>
      </c>
      <c r="N117">
        <v>2006</v>
      </c>
      <c r="P117" s="1">
        <v>43797</v>
      </c>
      <c r="S117" t="s">
        <v>57</v>
      </c>
      <c r="W117">
        <v>1</v>
      </c>
      <c r="Z117">
        <v>0</v>
      </c>
    </row>
    <row r="118" spans="1:26" x14ac:dyDescent="0.2">
      <c r="A118">
        <v>16343</v>
      </c>
      <c r="B118" t="s">
        <v>594</v>
      </c>
      <c r="C118" t="s">
        <v>148</v>
      </c>
      <c r="D118" t="s">
        <v>149</v>
      </c>
      <c r="F118" t="str">
        <f>"0646418432"</f>
        <v>0646418432</v>
      </c>
      <c r="G118" t="str">
        <f>"9780646418438"</f>
        <v>9780646418438</v>
      </c>
      <c r="H118">
        <v>0</v>
      </c>
      <c r="I118">
        <v>3.99</v>
      </c>
      <c r="J118" t="s">
        <v>595</v>
      </c>
      <c r="K118" t="s">
        <v>36</v>
      </c>
      <c r="L118">
        <v>121</v>
      </c>
      <c r="M118">
        <v>2002</v>
      </c>
      <c r="N118">
        <v>1920</v>
      </c>
      <c r="P118" s="1">
        <v>43797</v>
      </c>
      <c r="Q118" t="s">
        <v>37</v>
      </c>
      <c r="R118" t="s">
        <v>596</v>
      </c>
      <c r="S118" t="s">
        <v>37</v>
      </c>
      <c r="W118">
        <v>0</v>
      </c>
      <c r="Z118">
        <v>0</v>
      </c>
    </row>
    <row r="119" spans="1:26" x14ac:dyDescent="0.2">
      <c r="A119">
        <v>88431</v>
      </c>
      <c r="B119" t="s">
        <v>597</v>
      </c>
      <c r="C119" t="s">
        <v>598</v>
      </c>
      <c r="D119" t="s">
        <v>599</v>
      </c>
      <c r="E119" t="s">
        <v>600</v>
      </c>
      <c r="F119" t="str">
        <f>"0964920514"</f>
        <v>0964920514</v>
      </c>
      <c r="G119" t="str">
        <f>"9780964920514"</f>
        <v>9780964920514</v>
      </c>
      <c r="H119">
        <v>0</v>
      </c>
      <c r="I119">
        <v>4.33</v>
      </c>
      <c r="J119" t="s">
        <v>601</v>
      </c>
      <c r="K119" t="s">
        <v>36</v>
      </c>
      <c r="L119">
        <v>395</v>
      </c>
      <c r="M119">
        <v>2004</v>
      </c>
      <c r="N119">
        <v>2004</v>
      </c>
      <c r="P119" s="1">
        <v>43797</v>
      </c>
      <c r="Q119" t="s">
        <v>37</v>
      </c>
      <c r="R119" t="s">
        <v>602</v>
      </c>
      <c r="S119" t="s">
        <v>37</v>
      </c>
      <c r="W119">
        <v>0</v>
      </c>
      <c r="Z119">
        <v>0</v>
      </c>
    </row>
    <row r="120" spans="1:26" x14ac:dyDescent="0.2">
      <c r="A120">
        <v>6178648</v>
      </c>
      <c r="B120" t="s">
        <v>603</v>
      </c>
      <c r="C120" t="s">
        <v>604</v>
      </c>
      <c r="D120" t="s">
        <v>605</v>
      </c>
      <c r="F120" t="str">
        <f>"0385523904"</f>
        <v>0385523904</v>
      </c>
      <c r="G120" t="str">
        <f>"9780385523905"</f>
        <v>9780385523905</v>
      </c>
      <c r="H120">
        <v>5</v>
      </c>
      <c r="I120">
        <v>4.43</v>
      </c>
      <c r="J120" t="s">
        <v>606</v>
      </c>
      <c r="K120" t="s">
        <v>49</v>
      </c>
      <c r="L120">
        <v>316</v>
      </c>
      <c r="M120">
        <v>2009</v>
      </c>
      <c r="N120">
        <v>2009</v>
      </c>
      <c r="O120" s="1">
        <v>43797</v>
      </c>
      <c r="P120" s="1">
        <v>43787</v>
      </c>
      <c r="S120" t="s">
        <v>57</v>
      </c>
      <c r="T120" t="s">
        <v>607</v>
      </c>
      <c r="W120">
        <v>1</v>
      </c>
      <c r="Z120">
        <v>0</v>
      </c>
    </row>
    <row r="121" spans="1:26" x14ac:dyDescent="0.2">
      <c r="A121">
        <v>6900</v>
      </c>
      <c r="B121" t="s">
        <v>608</v>
      </c>
      <c r="C121" t="s">
        <v>609</v>
      </c>
      <c r="D121" t="s">
        <v>610</v>
      </c>
      <c r="E121" t="s">
        <v>611</v>
      </c>
      <c r="F121" t="str">
        <f>"0751529818"</f>
        <v>0751529818</v>
      </c>
      <c r="G121" t="str">
        <f>"9780751529814"</f>
        <v>9780751529814</v>
      </c>
      <c r="H121">
        <v>1</v>
      </c>
      <c r="I121">
        <v>4.1100000000000003</v>
      </c>
      <c r="J121" t="s">
        <v>612</v>
      </c>
      <c r="K121" t="s">
        <v>36</v>
      </c>
      <c r="L121">
        <v>210</v>
      </c>
      <c r="M121">
        <v>2000</v>
      </c>
      <c r="N121">
        <v>1997</v>
      </c>
      <c r="O121" s="1">
        <v>43797</v>
      </c>
      <c r="P121" s="1">
        <v>43796</v>
      </c>
      <c r="S121" t="s">
        <v>57</v>
      </c>
      <c r="W121">
        <v>1</v>
      </c>
      <c r="Z121">
        <v>0</v>
      </c>
    </row>
    <row r="122" spans="1:26" x14ac:dyDescent="0.2">
      <c r="A122">
        <v>57981</v>
      </c>
      <c r="B122" t="s">
        <v>613</v>
      </c>
      <c r="C122" t="s">
        <v>614</v>
      </c>
      <c r="D122" t="s">
        <v>615</v>
      </c>
      <c r="F122" t="str">
        <f>"0743284550"</f>
        <v>0743284550</v>
      </c>
      <c r="G122" t="str">
        <f>"9780743284554"</f>
        <v>9780743284554</v>
      </c>
      <c r="H122">
        <v>0</v>
      </c>
      <c r="I122">
        <v>3.55</v>
      </c>
      <c r="J122" t="s">
        <v>35</v>
      </c>
      <c r="K122" t="s">
        <v>36</v>
      </c>
      <c r="L122">
        <v>464</v>
      </c>
      <c r="M122">
        <v>2006</v>
      </c>
      <c r="N122">
        <v>1992</v>
      </c>
      <c r="P122" s="1">
        <v>43796</v>
      </c>
      <c r="Q122" t="s">
        <v>37</v>
      </c>
      <c r="R122" t="s">
        <v>616</v>
      </c>
      <c r="S122" t="s">
        <v>37</v>
      </c>
      <c r="W122">
        <v>0</v>
      </c>
      <c r="Z122">
        <v>0</v>
      </c>
    </row>
    <row r="123" spans="1:26" x14ac:dyDescent="0.2">
      <c r="A123">
        <v>475</v>
      </c>
      <c r="B123" t="s">
        <v>617</v>
      </c>
      <c r="C123" t="s">
        <v>618</v>
      </c>
      <c r="D123" t="s">
        <v>619</v>
      </c>
      <c r="F123" t="str">
        <f>"0143036556"</f>
        <v>0143036556</v>
      </c>
      <c r="G123" t="str">
        <f>"9780143036555"</f>
        <v>9780143036555</v>
      </c>
      <c r="H123">
        <v>0</v>
      </c>
      <c r="I123">
        <v>3.93</v>
      </c>
      <c r="J123" t="s">
        <v>620</v>
      </c>
      <c r="K123" t="s">
        <v>36</v>
      </c>
      <c r="L123">
        <v>608</v>
      </c>
      <c r="M123">
        <v>2005</v>
      </c>
      <c r="N123">
        <v>2004</v>
      </c>
      <c r="P123" s="1">
        <v>43796</v>
      </c>
      <c r="Q123" t="s">
        <v>37</v>
      </c>
      <c r="R123" t="s">
        <v>621</v>
      </c>
      <c r="S123" t="s">
        <v>37</v>
      </c>
      <c r="W123">
        <v>0</v>
      </c>
      <c r="Z123">
        <v>0</v>
      </c>
    </row>
    <row r="124" spans="1:26" x14ac:dyDescent="0.2">
      <c r="A124">
        <v>6289283</v>
      </c>
      <c r="B124" t="s">
        <v>622</v>
      </c>
      <c r="C124" t="s">
        <v>623</v>
      </c>
      <c r="D124" t="s">
        <v>624</v>
      </c>
      <c r="F124" t="str">
        <f>"0307266303"</f>
        <v>0307266303</v>
      </c>
      <c r="G124" t="str">
        <f>"9780307266309"</f>
        <v>9780307266309</v>
      </c>
      <c r="H124">
        <v>0</v>
      </c>
      <c r="I124">
        <v>4.29</v>
      </c>
      <c r="J124" t="s">
        <v>625</v>
      </c>
      <c r="K124" t="s">
        <v>49</v>
      </c>
      <c r="L124">
        <v>287</v>
      </c>
      <c r="M124">
        <v>2009</v>
      </c>
      <c r="N124">
        <v>2009</v>
      </c>
      <c r="P124" s="1">
        <v>43796</v>
      </c>
      <c r="S124" t="s">
        <v>57</v>
      </c>
      <c r="W124">
        <v>1</v>
      </c>
      <c r="Z124">
        <v>0</v>
      </c>
    </row>
    <row r="125" spans="1:26" x14ac:dyDescent="0.2">
      <c r="A125">
        <v>35133922</v>
      </c>
      <c r="B125" t="s">
        <v>626</v>
      </c>
      <c r="C125" t="s">
        <v>627</v>
      </c>
      <c r="D125" t="s">
        <v>628</v>
      </c>
      <c r="F125" t="str">
        <f>"0399590501"</f>
        <v>0399590501</v>
      </c>
      <c r="G125" t="str">
        <f>"9780399590504"</f>
        <v>9780399590504</v>
      </c>
      <c r="H125">
        <v>0</v>
      </c>
      <c r="I125">
        <v>4.47</v>
      </c>
      <c r="J125" t="s">
        <v>96</v>
      </c>
      <c r="K125" t="s">
        <v>49</v>
      </c>
      <c r="L125">
        <v>334</v>
      </c>
      <c r="M125">
        <v>2018</v>
      </c>
      <c r="N125">
        <v>2018</v>
      </c>
      <c r="P125" s="1">
        <v>43796</v>
      </c>
      <c r="Q125" t="s">
        <v>37</v>
      </c>
      <c r="R125" t="s">
        <v>629</v>
      </c>
      <c r="S125" t="s">
        <v>37</v>
      </c>
      <c r="W125">
        <v>0</v>
      </c>
      <c r="Z125">
        <v>0</v>
      </c>
    </row>
    <row r="126" spans="1:26" x14ac:dyDescent="0.2">
      <c r="A126">
        <v>1842</v>
      </c>
      <c r="B126" t="s">
        <v>630</v>
      </c>
      <c r="C126" t="s">
        <v>618</v>
      </c>
      <c r="D126" t="s">
        <v>619</v>
      </c>
      <c r="F126" t="str">
        <f>"0739467352"</f>
        <v>0739467352</v>
      </c>
      <c r="G126" t="str">
        <f>"9780739467350"</f>
        <v>9780739467350</v>
      </c>
      <c r="H126">
        <v>0</v>
      </c>
      <c r="I126">
        <v>4.03</v>
      </c>
      <c r="J126" t="s">
        <v>631</v>
      </c>
      <c r="K126" t="s">
        <v>36</v>
      </c>
      <c r="L126">
        <v>425</v>
      </c>
      <c r="M126">
        <v>2005</v>
      </c>
      <c r="N126">
        <v>1997</v>
      </c>
      <c r="P126" s="1">
        <v>43796</v>
      </c>
      <c r="Q126" t="s">
        <v>37</v>
      </c>
      <c r="R126" t="s">
        <v>632</v>
      </c>
      <c r="S126" t="s">
        <v>37</v>
      </c>
      <c r="W126">
        <v>0</v>
      </c>
      <c r="Z126">
        <v>0</v>
      </c>
    </row>
    <row r="127" spans="1:26" x14ac:dyDescent="0.2">
      <c r="A127">
        <v>1202</v>
      </c>
      <c r="B127" t="s">
        <v>633</v>
      </c>
      <c r="C127" t="s">
        <v>634</v>
      </c>
      <c r="D127" t="s">
        <v>635</v>
      </c>
      <c r="E127" t="s">
        <v>636</v>
      </c>
      <c r="F127" t="str">
        <f>"0061234001"</f>
        <v>0061234001</v>
      </c>
      <c r="G127" t="str">
        <f>"9780061234002"</f>
        <v>9780061234002</v>
      </c>
      <c r="H127">
        <v>0</v>
      </c>
      <c r="I127">
        <v>3.97</v>
      </c>
      <c r="J127" t="s">
        <v>637</v>
      </c>
      <c r="K127" t="s">
        <v>49</v>
      </c>
      <c r="L127">
        <v>320</v>
      </c>
      <c r="M127">
        <v>2006</v>
      </c>
      <c r="N127">
        <v>2005</v>
      </c>
      <c r="P127" s="1">
        <v>43796</v>
      </c>
      <c r="Q127" t="s">
        <v>37</v>
      </c>
      <c r="R127" t="s">
        <v>638</v>
      </c>
      <c r="S127" t="s">
        <v>37</v>
      </c>
      <c r="W127">
        <v>0</v>
      </c>
      <c r="Z127">
        <v>0</v>
      </c>
    </row>
    <row r="128" spans="1:26" x14ac:dyDescent="0.2">
      <c r="A128">
        <v>35167685</v>
      </c>
      <c r="B128" t="s">
        <v>639</v>
      </c>
      <c r="C128" t="s">
        <v>640</v>
      </c>
      <c r="D128" t="s">
        <v>641</v>
      </c>
      <c r="F128" t="str">
        <f>"0393355624"</f>
        <v>0393355624</v>
      </c>
      <c r="G128" t="str">
        <f>"9780393355628"</f>
        <v>9780393355628</v>
      </c>
      <c r="H128">
        <v>0</v>
      </c>
      <c r="I128">
        <v>4.28</v>
      </c>
      <c r="J128" t="s">
        <v>642</v>
      </c>
      <c r="K128" t="s">
        <v>36</v>
      </c>
      <c r="L128">
        <v>400</v>
      </c>
      <c r="M128">
        <v>2018</v>
      </c>
      <c r="N128">
        <v>1985</v>
      </c>
      <c r="P128" s="1">
        <v>43796</v>
      </c>
      <c r="Q128" t="s">
        <v>37</v>
      </c>
      <c r="R128" t="s">
        <v>643</v>
      </c>
      <c r="S128" t="s">
        <v>37</v>
      </c>
      <c r="W128">
        <v>0</v>
      </c>
      <c r="Z128">
        <v>0</v>
      </c>
    </row>
    <row r="129" spans="1:26" x14ac:dyDescent="0.2">
      <c r="A129">
        <v>168668</v>
      </c>
      <c r="B129" t="s">
        <v>644</v>
      </c>
      <c r="C129" t="s">
        <v>645</v>
      </c>
      <c r="D129" t="s">
        <v>646</v>
      </c>
      <c r="F129" t="str">
        <f>"0684833395"</f>
        <v>0684833395</v>
      </c>
      <c r="G129" t="str">
        <f>"9780684833392"</f>
        <v>9780684833392</v>
      </c>
      <c r="H129">
        <v>1</v>
      </c>
      <c r="I129">
        <v>3.98</v>
      </c>
      <c r="J129" t="s">
        <v>647</v>
      </c>
      <c r="K129" t="s">
        <v>36</v>
      </c>
      <c r="L129">
        <v>453</v>
      </c>
      <c r="M129">
        <v>2004</v>
      </c>
      <c r="N129">
        <v>1961</v>
      </c>
      <c r="P129" s="1">
        <v>43091</v>
      </c>
      <c r="S129" t="s">
        <v>57</v>
      </c>
      <c r="W129">
        <v>1</v>
      </c>
      <c r="Z129">
        <v>0</v>
      </c>
    </row>
    <row r="130" spans="1:26" x14ac:dyDescent="0.2">
      <c r="A130">
        <v>6772577</v>
      </c>
      <c r="B130" t="s">
        <v>648</v>
      </c>
      <c r="C130" t="s">
        <v>649</v>
      </c>
      <c r="D130" t="s">
        <v>650</v>
      </c>
      <c r="F130" t="str">
        <f>"1933633913"</f>
        <v>1933633913</v>
      </c>
      <c r="G130" t="str">
        <f>"9781933633916"</f>
        <v>9781933633916</v>
      </c>
      <c r="H130">
        <v>0</v>
      </c>
      <c r="I130">
        <v>3.91</v>
      </c>
      <c r="J130" t="s">
        <v>651</v>
      </c>
      <c r="K130" t="s">
        <v>49</v>
      </c>
      <c r="L130">
        <v>208</v>
      </c>
      <c r="M130">
        <v>2010</v>
      </c>
      <c r="N130">
        <v>2010</v>
      </c>
      <c r="P130" s="1">
        <v>43787</v>
      </c>
      <c r="Q130" t="s">
        <v>37</v>
      </c>
      <c r="R130" t="s">
        <v>652</v>
      </c>
      <c r="S130" t="s">
        <v>37</v>
      </c>
      <c r="W130">
        <v>0</v>
      </c>
      <c r="Z130">
        <v>0</v>
      </c>
    </row>
    <row r="131" spans="1:26" x14ac:dyDescent="0.2">
      <c r="A131">
        <v>18122</v>
      </c>
      <c r="B131" t="s">
        <v>653</v>
      </c>
      <c r="C131" t="s">
        <v>654</v>
      </c>
      <c r="D131" t="s">
        <v>655</v>
      </c>
      <c r="F131" t="str">
        <f>"0440238153"</f>
        <v>0440238153</v>
      </c>
      <c r="G131" t="str">
        <f>"9780440238157"</f>
        <v>9780440238157</v>
      </c>
      <c r="H131">
        <v>0</v>
      </c>
      <c r="I131">
        <v>4.09</v>
      </c>
      <c r="J131" t="s">
        <v>656</v>
      </c>
      <c r="K131" t="s">
        <v>520</v>
      </c>
      <c r="L131">
        <v>467</v>
      </c>
      <c r="M131">
        <v>2003</v>
      </c>
      <c r="N131">
        <v>2000</v>
      </c>
      <c r="P131" s="1">
        <v>43786</v>
      </c>
      <c r="S131" t="s">
        <v>57</v>
      </c>
      <c r="W131">
        <v>1</v>
      </c>
      <c r="Z131">
        <v>0</v>
      </c>
    </row>
    <row r="132" spans="1:26" x14ac:dyDescent="0.2">
      <c r="A132">
        <v>119322</v>
      </c>
      <c r="B132" t="s">
        <v>657</v>
      </c>
      <c r="C132" t="s">
        <v>654</v>
      </c>
      <c r="D132" t="s">
        <v>655</v>
      </c>
      <c r="F132" t="str">
        <f>"0679879242"</f>
        <v>0679879242</v>
      </c>
      <c r="G132" t="str">
        <f>"9780679879244"</f>
        <v>9780679879244</v>
      </c>
      <c r="H132">
        <v>0</v>
      </c>
      <c r="I132">
        <v>3.98</v>
      </c>
      <c r="J132" t="s">
        <v>658</v>
      </c>
      <c r="K132" t="s">
        <v>49</v>
      </c>
      <c r="L132">
        <v>399</v>
      </c>
      <c r="M132">
        <v>1996</v>
      </c>
      <c r="N132">
        <v>1995</v>
      </c>
      <c r="P132" s="1">
        <v>43786</v>
      </c>
      <c r="S132" t="s">
        <v>57</v>
      </c>
      <c r="W132">
        <v>1</v>
      </c>
      <c r="Z132">
        <v>0</v>
      </c>
    </row>
    <row r="133" spans="1:26" x14ac:dyDescent="0.2">
      <c r="A133">
        <v>13324841</v>
      </c>
      <c r="B133" t="s">
        <v>659</v>
      </c>
      <c r="C133" t="s">
        <v>660</v>
      </c>
      <c r="D133" t="s">
        <v>661</v>
      </c>
      <c r="F133" t="str">
        <f>"0547887205"</f>
        <v>0547887205</v>
      </c>
      <c r="G133" t="str">
        <f>"9780547887203"</f>
        <v>9780547887203</v>
      </c>
      <c r="H133">
        <v>3</v>
      </c>
      <c r="I133">
        <v>3.99</v>
      </c>
      <c r="J133" t="s">
        <v>662</v>
      </c>
      <c r="K133" t="s">
        <v>49</v>
      </c>
      <c r="L133">
        <v>393</v>
      </c>
      <c r="M133">
        <v>2012</v>
      </c>
      <c r="N133">
        <v>2012</v>
      </c>
      <c r="O133" s="1">
        <v>43786</v>
      </c>
      <c r="P133" s="1">
        <v>43700</v>
      </c>
      <c r="S133" t="s">
        <v>57</v>
      </c>
      <c r="W133">
        <v>1</v>
      </c>
      <c r="Z133">
        <v>0</v>
      </c>
    </row>
    <row r="134" spans="1:26" x14ac:dyDescent="0.2">
      <c r="A134">
        <v>12931</v>
      </c>
      <c r="B134" t="s">
        <v>663</v>
      </c>
      <c r="C134" t="s">
        <v>660</v>
      </c>
      <c r="D134" t="s">
        <v>661</v>
      </c>
      <c r="F134" t="str">
        <f>"0618685502"</f>
        <v>0618685502</v>
      </c>
      <c r="G134" t="str">
        <f>"9780618685509"</f>
        <v>9780618685509</v>
      </c>
      <c r="H134">
        <v>0</v>
      </c>
      <c r="I134">
        <v>3.9</v>
      </c>
      <c r="J134" t="s">
        <v>662</v>
      </c>
      <c r="K134" t="s">
        <v>49</v>
      </c>
      <c r="L134">
        <v>144</v>
      </c>
      <c r="M134">
        <v>2006</v>
      </c>
      <c r="N134">
        <v>2006</v>
      </c>
      <c r="P134" s="1">
        <v>43786</v>
      </c>
      <c r="S134" t="s">
        <v>57</v>
      </c>
      <c r="W134">
        <v>1</v>
      </c>
      <c r="Z134">
        <v>0</v>
      </c>
    </row>
    <row r="135" spans="1:26" x14ac:dyDescent="0.2">
      <c r="A135">
        <v>37486540</v>
      </c>
      <c r="B135" t="s">
        <v>664</v>
      </c>
      <c r="C135" t="s">
        <v>665</v>
      </c>
      <c r="D135" t="s">
        <v>666</v>
      </c>
      <c r="F135" t="str">
        <f>"0316523178"</f>
        <v>0316523178</v>
      </c>
      <c r="G135" t="str">
        <f>"9780316523172"</f>
        <v>9780316523172</v>
      </c>
      <c r="H135">
        <v>0</v>
      </c>
      <c r="I135">
        <v>4.12</v>
      </c>
      <c r="J135" t="s">
        <v>667</v>
      </c>
      <c r="K135" t="s">
        <v>49</v>
      </c>
      <c r="L135">
        <v>384</v>
      </c>
      <c r="M135">
        <v>2018</v>
      </c>
      <c r="N135">
        <v>2018</v>
      </c>
      <c r="P135" s="1">
        <v>43784</v>
      </c>
      <c r="Q135" t="s">
        <v>37</v>
      </c>
      <c r="R135" t="s">
        <v>668</v>
      </c>
      <c r="S135" t="s">
        <v>37</v>
      </c>
      <c r="W135">
        <v>0</v>
      </c>
      <c r="Z135">
        <v>0</v>
      </c>
    </row>
    <row r="136" spans="1:26" x14ac:dyDescent="0.2">
      <c r="A136">
        <v>2467227</v>
      </c>
      <c r="B136" t="s">
        <v>669</v>
      </c>
      <c r="C136" t="s">
        <v>670</v>
      </c>
      <c r="D136" t="s">
        <v>671</v>
      </c>
      <c r="F136" t="str">
        <f>"0151010811"</f>
        <v>0151010811</v>
      </c>
      <c r="G136" t="str">
        <f>"9780151010813"</f>
        <v>9780151010813</v>
      </c>
      <c r="H136">
        <v>3</v>
      </c>
      <c r="I136">
        <v>3.5</v>
      </c>
      <c r="J136" t="s">
        <v>672</v>
      </c>
      <c r="K136" t="s">
        <v>49</v>
      </c>
      <c r="L136">
        <v>388</v>
      </c>
      <c r="M136">
        <v>2008</v>
      </c>
      <c r="N136">
        <v>2008</v>
      </c>
      <c r="O136" s="1">
        <v>43783</v>
      </c>
      <c r="P136" s="1">
        <v>43702</v>
      </c>
      <c r="S136" t="s">
        <v>57</v>
      </c>
      <c r="T136" t="s">
        <v>673</v>
      </c>
      <c r="W136">
        <v>1</v>
      </c>
      <c r="Z136">
        <v>0</v>
      </c>
    </row>
    <row r="137" spans="1:26" x14ac:dyDescent="0.2">
      <c r="A137">
        <v>11472345</v>
      </c>
      <c r="B137" t="s">
        <v>674</v>
      </c>
      <c r="C137" t="s">
        <v>675</v>
      </c>
      <c r="D137" t="s">
        <v>676</v>
      </c>
      <c r="F137" t="str">
        <f>"0674055446"</f>
        <v>0674055446</v>
      </c>
      <c r="G137" t="str">
        <f>"9780674055445"</f>
        <v>9780674055445</v>
      </c>
      <c r="H137">
        <v>0</v>
      </c>
      <c r="I137">
        <v>4.3600000000000003</v>
      </c>
      <c r="J137" t="s">
        <v>677</v>
      </c>
      <c r="K137" t="s">
        <v>49</v>
      </c>
      <c r="L137">
        <v>928</v>
      </c>
      <c r="M137">
        <v>2011</v>
      </c>
      <c r="N137">
        <v>2011</v>
      </c>
      <c r="P137" s="1">
        <v>43779</v>
      </c>
      <c r="Q137" t="s">
        <v>37</v>
      </c>
      <c r="R137" t="s">
        <v>678</v>
      </c>
      <c r="S137" t="s">
        <v>37</v>
      </c>
      <c r="W137">
        <v>0</v>
      </c>
      <c r="Z137">
        <v>0</v>
      </c>
    </row>
    <row r="138" spans="1:26" x14ac:dyDescent="0.2">
      <c r="A138">
        <v>18465875</v>
      </c>
      <c r="B138" t="s">
        <v>679</v>
      </c>
      <c r="C138" t="s">
        <v>680</v>
      </c>
      <c r="D138" t="s">
        <v>681</v>
      </c>
      <c r="F138" t="str">
        <f>"077043617X"</f>
        <v>077043617X</v>
      </c>
      <c r="G138" t="str">
        <f>"9780770436179"</f>
        <v>9780770436179</v>
      </c>
      <c r="H138">
        <v>5</v>
      </c>
      <c r="I138">
        <v>4.1399999999999997</v>
      </c>
      <c r="J138" t="s">
        <v>416</v>
      </c>
      <c r="K138" t="s">
        <v>49</v>
      </c>
      <c r="L138">
        <v>406</v>
      </c>
      <c r="M138">
        <v>2014</v>
      </c>
      <c r="N138">
        <v>2014</v>
      </c>
      <c r="O138" s="1">
        <v>43769</v>
      </c>
      <c r="P138" s="1">
        <v>43702</v>
      </c>
      <c r="S138" t="s">
        <v>57</v>
      </c>
      <c r="T138" t="s">
        <v>682</v>
      </c>
      <c r="W138">
        <v>1</v>
      </c>
      <c r="Z138">
        <v>0</v>
      </c>
    </row>
    <row r="139" spans="1:26" x14ac:dyDescent="0.2">
      <c r="A139">
        <v>25159062</v>
      </c>
      <c r="B139" t="s">
        <v>683</v>
      </c>
      <c r="C139" t="s">
        <v>684</v>
      </c>
      <c r="D139" t="s">
        <v>685</v>
      </c>
      <c r="F139" t="str">
        <f>"1610395832"</f>
        <v>1610395832</v>
      </c>
      <c r="G139" t="str">
        <f>"9781610395830"</f>
        <v>9781610395830</v>
      </c>
      <c r="H139">
        <v>0</v>
      </c>
      <c r="I139">
        <v>4.16</v>
      </c>
      <c r="J139" t="s">
        <v>686</v>
      </c>
      <c r="K139" t="s">
        <v>49</v>
      </c>
      <c r="L139">
        <v>288</v>
      </c>
      <c r="M139">
        <v>2016</v>
      </c>
      <c r="N139">
        <v>2016</v>
      </c>
      <c r="P139" s="1">
        <v>43768</v>
      </c>
      <c r="Q139" t="s">
        <v>37</v>
      </c>
      <c r="R139" t="s">
        <v>687</v>
      </c>
      <c r="S139" t="s">
        <v>37</v>
      </c>
      <c r="W139">
        <v>0</v>
      </c>
      <c r="Z139">
        <v>0</v>
      </c>
    </row>
    <row r="140" spans="1:26" x14ac:dyDescent="0.2">
      <c r="A140">
        <v>1769709</v>
      </c>
      <c r="B140" t="s">
        <v>688</v>
      </c>
      <c r="C140" t="s">
        <v>689</v>
      </c>
      <c r="D140" t="s">
        <v>690</v>
      </c>
      <c r="F140" t="str">
        <f>"1565843584"</f>
        <v>1565843584</v>
      </c>
      <c r="G140" t="str">
        <f>"9781565843585"</f>
        <v>9781565843585</v>
      </c>
      <c r="H140">
        <v>0</v>
      </c>
      <c r="I140">
        <v>3.84</v>
      </c>
      <c r="J140" t="s">
        <v>691</v>
      </c>
      <c r="K140" t="s">
        <v>36</v>
      </c>
      <c r="L140">
        <v>978</v>
      </c>
      <c r="M140">
        <v>1997</v>
      </c>
      <c r="N140">
        <v>1947</v>
      </c>
      <c r="P140" s="1">
        <v>43756</v>
      </c>
      <c r="Q140" t="s">
        <v>37</v>
      </c>
      <c r="R140" t="s">
        <v>692</v>
      </c>
      <c r="S140" t="s">
        <v>37</v>
      </c>
      <c r="W140">
        <v>0</v>
      </c>
      <c r="Z140">
        <v>0</v>
      </c>
    </row>
    <row r="141" spans="1:26" x14ac:dyDescent="0.2">
      <c r="A141">
        <v>849480</v>
      </c>
      <c r="B141" t="s">
        <v>693</v>
      </c>
      <c r="C141" t="s">
        <v>689</v>
      </c>
      <c r="D141" t="s">
        <v>690</v>
      </c>
      <c r="F141" t="str">
        <f>"0060116889"</f>
        <v>0060116889</v>
      </c>
      <c r="G141" t="str">
        <f>"9780060116880"</f>
        <v>9780060116880</v>
      </c>
      <c r="H141">
        <v>0</v>
      </c>
      <c r="I141">
        <v>3.87</v>
      </c>
      <c r="J141" t="s">
        <v>694</v>
      </c>
      <c r="K141" t="s">
        <v>49</v>
      </c>
      <c r="L141">
        <v>610</v>
      </c>
      <c r="M141">
        <v>1967</v>
      </c>
      <c r="N141">
        <v>1967</v>
      </c>
      <c r="P141" s="1">
        <v>43756</v>
      </c>
      <c r="Q141" t="s">
        <v>37</v>
      </c>
      <c r="R141" t="s">
        <v>695</v>
      </c>
      <c r="S141" t="s">
        <v>37</v>
      </c>
      <c r="W141">
        <v>0</v>
      </c>
      <c r="Z141">
        <v>0</v>
      </c>
    </row>
    <row r="142" spans="1:26" x14ac:dyDescent="0.2">
      <c r="A142">
        <v>2968922</v>
      </c>
      <c r="B142" t="s">
        <v>696</v>
      </c>
      <c r="C142" t="s">
        <v>689</v>
      </c>
      <c r="D142" t="s">
        <v>690</v>
      </c>
      <c r="F142" t="str">
        <f>"0836981979"</f>
        <v>0836981979</v>
      </c>
      <c r="G142" t="str">
        <f>"9780836981971"</f>
        <v>9780836981971</v>
      </c>
      <c r="H142">
        <v>0</v>
      </c>
      <c r="I142">
        <v>3.69</v>
      </c>
      <c r="J142" t="s">
        <v>697</v>
      </c>
      <c r="K142" t="s">
        <v>49</v>
      </c>
      <c r="L142">
        <v>952</v>
      </c>
      <c r="M142">
        <v>1987</v>
      </c>
      <c r="N142">
        <v>1955</v>
      </c>
      <c r="P142" s="1">
        <v>43756</v>
      </c>
      <c r="Q142" t="s">
        <v>37</v>
      </c>
      <c r="R142" t="s">
        <v>698</v>
      </c>
      <c r="S142" t="s">
        <v>37</v>
      </c>
      <c r="W142">
        <v>0</v>
      </c>
      <c r="Z142">
        <v>0</v>
      </c>
    </row>
    <row r="143" spans="1:26" x14ac:dyDescent="0.2">
      <c r="A143">
        <v>1868892</v>
      </c>
      <c r="B143" t="s">
        <v>699</v>
      </c>
      <c r="C143" t="s">
        <v>689</v>
      </c>
      <c r="D143" t="s">
        <v>690</v>
      </c>
      <c r="F143" t="str">
        <f>""</f>
        <v/>
      </c>
      <c r="G143" t="str">
        <f>""</f>
        <v/>
      </c>
      <c r="H143">
        <v>0</v>
      </c>
      <c r="I143">
        <v>4</v>
      </c>
      <c r="J143" t="s">
        <v>700</v>
      </c>
      <c r="K143" t="s">
        <v>49</v>
      </c>
      <c r="L143">
        <v>606</v>
      </c>
      <c r="M143">
        <v>1940</v>
      </c>
      <c r="N143">
        <v>1933</v>
      </c>
      <c r="P143" s="1">
        <v>43756</v>
      </c>
      <c r="Q143" t="s">
        <v>37</v>
      </c>
      <c r="R143" t="s">
        <v>701</v>
      </c>
      <c r="S143" t="s">
        <v>37</v>
      </c>
      <c r="W143">
        <v>0</v>
      </c>
      <c r="Z143">
        <v>0</v>
      </c>
    </row>
    <row r="144" spans="1:26" x14ac:dyDescent="0.2">
      <c r="A144">
        <v>2232250</v>
      </c>
      <c r="B144" t="s">
        <v>702</v>
      </c>
      <c r="C144" t="s">
        <v>689</v>
      </c>
      <c r="D144" t="s">
        <v>690</v>
      </c>
      <c r="F144" t="str">
        <f>"1931541094"</f>
        <v>1931541094</v>
      </c>
      <c r="G144" t="str">
        <f>"9781931541091"</f>
        <v>9781931541091</v>
      </c>
      <c r="H144">
        <v>0</v>
      </c>
      <c r="I144">
        <v>3.74</v>
      </c>
      <c r="J144" t="s">
        <v>703</v>
      </c>
      <c r="K144" t="s">
        <v>36</v>
      </c>
      <c r="L144">
        <v>659</v>
      </c>
      <c r="M144">
        <v>2001</v>
      </c>
      <c r="N144">
        <v>1939</v>
      </c>
      <c r="P144" s="1">
        <v>43756</v>
      </c>
      <c r="Q144" t="s">
        <v>37</v>
      </c>
      <c r="R144" t="s">
        <v>704</v>
      </c>
      <c r="S144" t="s">
        <v>37</v>
      </c>
      <c r="W144">
        <v>0</v>
      </c>
      <c r="Z144">
        <v>0</v>
      </c>
    </row>
    <row r="145" spans="1:26" x14ac:dyDescent="0.2">
      <c r="A145">
        <v>5635849</v>
      </c>
      <c r="B145" t="s">
        <v>705</v>
      </c>
      <c r="C145" t="s">
        <v>706</v>
      </c>
      <c r="D145" t="s">
        <v>707</v>
      </c>
      <c r="E145" t="s">
        <v>708</v>
      </c>
      <c r="F145" t="str">
        <f>"0702233102"</f>
        <v>0702233102</v>
      </c>
      <c r="G145" t="str">
        <f>"9780702233104"</f>
        <v>9780702233104</v>
      </c>
      <c r="H145">
        <v>0</v>
      </c>
      <c r="I145">
        <v>3.92</v>
      </c>
      <c r="J145" t="s">
        <v>709</v>
      </c>
      <c r="K145" t="s">
        <v>36</v>
      </c>
      <c r="L145">
        <v>186</v>
      </c>
      <c r="M145">
        <v>2002</v>
      </c>
      <c r="N145">
        <v>1958</v>
      </c>
      <c r="P145" s="1">
        <v>43751</v>
      </c>
      <c r="Q145" t="s">
        <v>37</v>
      </c>
      <c r="R145" t="s">
        <v>710</v>
      </c>
      <c r="S145" t="s">
        <v>37</v>
      </c>
      <c r="W145">
        <v>0</v>
      </c>
      <c r="Z145">
        <v>0</v>
      </c>
    </row>
    <row r="146" spans="1:26" x14ac:dyDescent="0.2">
      <c r="A146">
        <v>544053</v>
      </c>
      <c r="B146" t="s">
        <v>711</v>
      </c>
      <c r="C146" t="s">
        <v>712</v>
      </c>
      <c r="D146" t="s">
        <v>713</v>
      </c>
      <c r="F146" t="str">
        <f>"0156180359"</f>
        <v>0156180359</v>
      </c>
      <c r="G146" t="str">
        <f>"9780156180351"</f>
        <v>9780156180351</v>
      </c>
      <c r="H146">
        <v>0</v>
      </c>
      <c r="I146">
        <v>4.09</v>
      </c>
      <c r="J146" t="s">
        <v>714</v>
      </c>
      <c r="K146" t="s">
        <v>36</v>
      </c>
      <c r="L146">
        <v>784</v>
      </c>
      <c r="M146">
        <v>1968</v>
      </c>
      <c r="N146">
        <v>1961</v>
      </c>
      <c r="P146" s="1">
        <v>43748</v>
      </c>
      <c r="Q146" t="s">
        <v>37</v>
      </c>
      <c r="R146" t="s">
        <v>715</v>
      </c>
      <c r="S146" t="s">
        <v>37</v>
      </c>
      <c r="W146">
        <v>0</v>
      </c>
      <c r="Z146">
        <v>0</v>
      </c>
    </row>
    <row r="147" spans="1:26" x14ac:dyDescent="0.2">
      <c r="A147">
        <v>44142112</v>
      </c>
      <c r="B147" t="s">
        <v>716</v>
      </c>
      <c r="C147" t="s">
        <v>717</v>
      </c>
      <c r="D147" t="s">
        <v>718</v>
      </c>
      <c r="F147" t="str">
        <f>"1119564816"</f>
        <v>1119564816</v>
      </c>
      <c r="G147" t="str">
        <f>"9781119564812"</f>
        <v>9781119564812</v>
      </c>
      <c r="H147">
        <v>0</v>
      </c>
      <c r="I147">
        <v>4.3499999999999996</v>
      </c>
      <c r="J147" t="s">
        <v>719</v>
      </c>
      <c r="K147" t="s">
        <v>49</v>
      </c>
      <c r="L147">
        <v>256</v>
      </c>
      <c r="M147">
        <v>2019</v>
      </c>
      <c r="P147" s="1">
        <v>43748</v>
      </c>
      <c r="Q147" t="s">
        <v>37</v>
      </c>
      <c r="R147" t="s">
        <v>720</v>
      </c>
      <c r="S147" t="s">
        <v>37</v>
      </c>
      <c r="W147">
        <v>0</v>
      </c>
      <c r="Z147">
        <v>0</v>
      </c>
    </row>
    <row r="148" spans="1:26" x14ac:dyDescent="0.2">
      <c r="A148">
        <v>47281</v>
      </c>
      <c r="B148" t="s">
        <v>721</v>
      </c>
      <c r="C148" t="s">
        <v>660</v>
      </c>
      <c r="D148" t="s">
        <v>661</v>
      </c>
      <c r="F148" t="str">
        <f>"0440227534"</f>
        <v>0440227534</v>
      </c>
      <c r="G148" t="str">
        <f>"9780440227533"</f>
        <v>9780440227533</v>
      </c>
      <c r="H148">
        <v>0</v>
      </c>
      <c r="I148">
        <v>4.1500000000000004</v>
      </c>
      <c r="J148" t="s">
        <v>656</v>
      </c>
      <c r="K148" t="s">
        <v>520</v>
      </c>
      <c r="L148">
        <v>137</v>
      </c>
      <c r="M148">
        <v>1998</v>
      </c>
      <c r="N148">
        <v>1989</v>
      </c>
      <c r="P148" s="1">
        <v>43746</v>
      </c>
      <c r="S148" t="s">
        <v>57</v>
      </c>
      <c r="W148">
        <v>1</v>
      </c>
      <c r="Z148">
        <v>0</v>
      </c>
    </row>
    <row r="149" spans="1:26" x14ac:dyDescent="0.2">
      <c r="A149">
        <v>37190</v>
      </c>
      <c r="B149" t="s">
        <v>722</v>
      </c>
      <c r="C149" t="s">
        <v>723</v>
      </c>
      <c r="D149" t="s">
        <v>724</v>
      </c>
      <c r="E149" t="s">
        <v>725</v>
      </c>
      <c r="F149" t="str">
        <f>"0763625299"</f>
        <v>0763625299</v>
      </c>
      <c r="G149" t="str">
        <f>"9780763625290"</f>
        <v>9780763625290</v>
      </c>
      <c r="H149">
        <v>0</v>
      </c>
      <c r="I149">
        <v>4.04</v>
      </c>
      <c r="J149" t="s">
        <v>726</v>
      </c>
      <c r="K149" t="s">
        <v>36</v>
      </c>
      <c r="L149">
        <v>267</v>
      </c>
      <c r="M149">
        <v>2008</v>
      </c>
      <c r="N149">
        <v>2003</v>
      </c>
      <c r="P149" s="1">
        <v>43746</v>
      </c>
      <c r="S149" t="s">
        <v>57</v>
      </c>
      <c r="W149">
        <v>1</v>
      </c>
      <c r="Z149">
        <v>0</v>
      </c>
    </row>
    <row r="150" spans="1:26" x14ac:dyDescent="0.2">
      <c r="A150">
        <v>307791</v>
      </c>
      <c r="B150" t="s">
        <v>727</v>
      </c>
      <c r="C150" t="s">
        <v>728</v>
      </c>
      <c r="D150" t="s">
        <v>729</v>
      </c>
      <c r="F150" t="str">
        <f>"0375822747"</f>
        <v>0375822747</v>
      </c>
      <c r="G150" t="str">
        <f>"9780375822742"</f>
        <v>9780375822742</v>
      </c>
      <c r="H150">
        <v>0</v>
      </c>
      <c r="I150">
        <v>3.86</v>
      </c>
      <c r="J150" t="s">
        <v>730</v>
      </c>
      <c r="K150" t="s">
        <v>36</v>
      </c>
      <c r="L150">
        <v>270</v>
      </c>
      <c r="M150">
        <v>2003</v>
      </c>
      <c r="N150">
        <v>2003</v>
      </c>
      <c r="P150" s="1">
        <v>43746</v>
      </c>
      <c r="S150" t="s">
        <v>57</v>
      </c>
      <c r="W150">
        <v>1</v>
      </c>
      <c r="Z150">
        <v>0</v>
      </c>
    </row>
    <row r="151" spans="1:26" x14ac:dyDescent="0.2">
      <c r="A151">
        <v>10264047</v>
      </c>
      <c r="B151" t="s">
        <v>731</v>
      </c>
      <c r="C151" t="s">
        <v>732</v>
      </c>
      <c r="D151" t="s">
        <v>733</v>
      </c>
      <c r="F151" t="str">
        <f>""</f>
        <v/>
      </c>
      <c r="G151" t="str">
        <f>""</f>
        <v/>
      </c>
      <c r="H151">
        <v>0</v>
      </c>
      <c r="I151">
        <v>3.8</v>
      </c>
      <c r="J151" t="s">
        <v>734</v>
      </c>
      <c r="M151">
        <v>1979</v>
      </c>
      <c r="N151">
        <v>1979</v>
      </c>
      <c r="P151" s="1">
        <v>43743</v>
      </c>
      <c r="Q151" t="s">
        <v>37</v>
      </c>
      <c r="R151" t="s">
        <v>735</v>
      </c>
      <c r="S151" t="s">
        <v>37</v>
      </c>
      <c r="W151">
        <v>0</v>
      </c>
      <c r="Z151">
        <v>0</v>
      </c>
    </row>
    <row r="152" spans="1:26" x14ac:dyDescent="0.2">
      <c r="A152">
        <v>64280</v>
      </c>
      <c r="B152" t="s">
        <v>736</v>
      </c>
      <c r="C152" t="s">
        <v>737</v>
      </c>
      <c r="D152" t="s">
        <v>738</v>
      </c>
      <c r="E152" t="s">
        <v>739</v>
      </c>
      <c r="F152" t="str">
        <f>"0877854769"</f>
        <v>0877854769</v>
      </c>
      <c r="G152" t="str">
        <f>"9780877854760"</f>
        <v>9780877854760</v>
      </c>
      <c r="H152">
        <v>0</v>
      </c>
      <c r="I152">
        <v>3.98</v>
      </c>
      <c r="J152" t="s">
        <v>740</v>
      </c>
      <c r="K152" t="s">
        <v>36</v>
      </c>
      <c r="L152">
        <v>544</v>
      </c>
      <c r="M152">
        <v>2000</v>
      </c>
      <c r="N152">
        <v>1758</v>
      </c>
      <c r="P152" s="1">
        <v>43739</v>
      </c>
      <c r="Q152" t="s">
        <v>37</v>
      </c>
      <c r="R152" t="s">
        <v>741</v>
      </c>
      <c r="S152" t="s">
        <v>37</v>
      </c>
      <c r="W152">
        <v>0</v>
      </c>
      <c r="Z152">
        <v>0</v>
      </c>
    </row>
    <row r="153" spans="1:26" x14ac:dyDescent="0.2">
      <c r="A153">
        <v>11294070</v>
      </c>
      <c r="B153" t="s">
        <v>742</v>
      </c>
      <c r="C153" t="s">
        <v>743</v>
      </c>
      <c r="D153" t="s">
        <v>744</v>
      </c>
      <c r="F153" t="str">
        <f>"1442204796"</f>
        <v>1442204796</v>
      </c>
      <c r="G153" t="str">
        <f>"9781442204799"</f>
        <v>9781442204799</v>
      </c>
      <c r="H153">
        <v>0</v>
      </c>
      <c r="I153">
        <v>3.9</v>
      </c>
      <c r="J153" t="s">
        <v>745</v>
      </c>
      <c r="K153" t="s">
        <v>49</v>
      </c>
      <c r="L153">
        <v>211</v>
      </c>
      <c r="M153">
        <v>2011</v>
      </c>
      <c r="N153">
        <v>2011</v>
      </c>
      <c r="P153" s="1">
        <v>43739</v>
      </c>
      <c r="Q153" t="s">
        <v>37</v>
      </c>
      <c r="R153" t="s">
        <v>746</v>
      </c>
      <c r="S153" t="s">
        <v>37</v>
      </c>
      <c r="W153">
        <v>0</v>
      </c>
      <c r="Z153">
        <v>0</v>
      </c>
    </row>
    <row r="154" spans="1:26" x14ac:dyDescent="0.2">
      <c r="A154">
        <v>18693910</v>
      </c>
      <c r="B154" t="s">
        <v>747</v>
      </c>
      <c r="C154" t="s">
        <v>748</v>
      </c>
      <c r="D154" t="s">
        <v>749</v>
      </c>
      <c r="F154" t="str">
        <f>"1594203474"</f>
        <v>1594203474</v>
      </c>
      <c r="G154" t="str">
        <f>"9781594203473"</f>
        <v>9781594203473</v>
      </c>
      <c r="H154">
        <v>0</v>
      </c>
      <c r="I154">
        <v>4.22</v>
      </c>
      <c r="J154" t="s">
        <v>73</v>
      </c>
      <c r="K154" t="s">
        <v>49</v>
      </c>
      <c r="L154">
        <v>447</v>
      </c>
      <c r="M154">
        <v>2015</v>
      </c>
      <c r="N154">
        <v>2015</v>
      </c>
      <c r="P154" s="1">
        <v>43739</v>
      </c>
      <c r="Q154" t="s">
        <v>37</v>
      </c>
      <c r="R154" t="s">
        <v>750</v>
      </c>
      <c r="S154" t="s">
        <v>37</v>
      </c>
      <c r="W154">
        <v>0</v>
      </c>
      <c r="Z154">
        <v>0</v>
      </c>
    </row>
    <row r="155" spans="1:26" x14ac:dyDescent="0.2">
      <c r="A155">
        <v>91360</v>
      </c>
      <c r="B155" t="s">
        <v>751</v>
      </c>
      <c r="C155" t="s">
        <v>752</v>
      </c>
      <c r="D155" t="s">
        <v>753</v>
      </c>
      <c r="F155" t="str">
        <f>"0452281806"</f>
        <v>0452281806</v>
      </c>
      <c r="G155" t="str">
        <f>"9780452281806"</f>
        <v>9780452281806</v>
      </c>
      <c r="H155">
        <v>0</v>
      </c>
      <c r="I155">
        <v>3.95</v>
      </c>
      <c r="J155" t="s">
        <v>754</v>
      </c>
      <c r="K155" t="s">
        <v>36</v>
      </c>
      <c r="L155">
        <v>400</v>
      </c>
      <c r="M155">
        <v>2000</v>
      </c>
      <c r="N155">
        <v>1996</v>
      </c>
      <c r="P155" s="1">
        <v>43739</v>
      </c>
      <c r="Q155" t="s">
        <v>37</v>
      </c>
      <c r="R155" t="s">
        <v>755</v>
      </c>
      <c r="S155" t="s">
        <v>37</v>
      </c>
      <c r="W155">
        <v>0</v>
      </c>
      <c r="Z155">
        <v>0</v>
      </c>
    </row>
    <row r="156" spans="1:26" x14ac:dyDescent="0.2">
      <c r="A156">
        <v>17125</v>
      </c>
      <c r="B156" t="s">
        <v>756</v>
      </c>
      <c r="C156" t="s">
        <v>757</v>
      </c>
      <c r="D156" t="s">
        <v>758</v>
      </c>
      <c r="E156" t="s">
        <v>759</v>
      </c>
      <c r="F156" t="str">
        <f>"0374529523"</f>
        <v>0374529523</v>
      </c>
      <c r="G156" t="str">
        <f>"9780374529529"</f>
        <v>9780374529529</v>
      </c>
      <c r="H156">
        <v>5</v>
      </c>
      <c r="I156">
        <v>3.95</v>
      </c>
      <c r="J156" t="s">
        <v>500</v>
      </c>
      <c r="K156" t="s">
        <v>36</v>
      </c>
      <c r="L156">
        <v>182</v>
      </c>
      <c r="M156">
        <v>2005</v>
      </c>
      <c r="N156">
        <v>1962</v>
      </c>
      <c r="O156" s="1">
        <v>43731</v>
      </c>
      <c r="P156" s="1">
        <v>43702</v>
      </c>
      <c r="S156" t="s">
        <v>57</v>
      </c>
      <c r="T156" t="s">
        <v>760</v>
      </c>
      <c r="W156">
        <v>1</v>
      </c>
      <c r="Z156">
        <v>0</v>
      </c>
    </row>
    <row r="157" spans="1:26" x14ac:dyDescent="0.2">
      <c r="A157">
        <v>146274</v>
      </c>
      <c r="B157" t="s">
        <v>761</v>
      </c>
      <c r="C157" t="s">
        <v>762</v>
      </c>
      <c r="D157" t="s">
        <v>763</v>
      </c>
      <c r="F157" t="str">
        <f>"0060518502"</f>
        <v>0060518502</v>
      </c>
      <c r="G157" t="str">
        <f>"9780060518509"</f>
        <v>9780060518509</v>
      </c>
      <c r="H157">
        <v>0</v>
      </c>
      <c r="I157">
        <v>4.13</v>
      </c>
      <c r="J157" t="s">
        <v>375</v>
      </c>
      <c r="K157" t="s">
        <v>36</v>
      </c>
      <c r="L157">
        <v>434</v>
      </c>
      <c r="M157">
        <v>2007</v>
      </c>
      <c r="N157">
        <v>2006</v>
      </c>
      <c r="P157" s="1">
        <v>43729</v>
      </c>
      <c r="Q157" t="s">
        <v>37</v>
      </c>
      <c r="R157" t="s">
        <v>764</v>
      </c>
      <c r="S157" t="s">
        <v>37</v>
      </c>
      <c r="W157">
        <v>0</v>
      </c>
      <c r="Z157">
        <v>0</v>
      </c>
    </row>
    <row r="158" spans="1:26" x14ac:dyDescent="0.2">
      <c r="A158">
        <v>331344</v>
      </c>
      <c r="B158" t="s">
        <v>765</v>
      </c>
      <c r="C158" t="s">
        <v>766</v>
      </c>
      <c r="D158" t="s">
        <v>767</v>
      </c>
      <c r="E158" t="s">
        <v>768</v>
      </c>
      <c r="F158" t="str">
        <f>"0938077007"</f>
        <v>0938077007</v>
      </c>
      <c r="G158" t="str">
        <f>"9780938077008"</f>
        <v>9780938077008</v>
      </c>
      <c r="H158">
        <v>2</v>
      </c>
      <c r="I158">
        <v>4.3499999999999996</v>
      </c>
      <c r="J158" t="s">
        <v>769</v>
      </c>
      <c r="K158" t="s">
        <v>36</v>
      </c>
      <c r="L158">
        <v>115</v>
      </c>
      <c r="M158">
        <v>1988</v>
      </c>
      <c r="N158">
        <v>1987</v>
      </c>
      <c r="P158" s="1">
        <v>43700</v>
      </c>
      <c r="S158" t="s">
        <v>57</v>
      </c>
      <c r="W158">
        <v>1</v>
      </c>
      <c r="Z158">
        <v>0</v>
      </c>
    </row>
    <row r="159" spans="1:26" x14ac:dyDescent="0.2">
      <c r="A159">
        <v>10975</v>
      </c>
      <c r="B159" t="s">
        <v>770</v>
      </c>
      <c r="C159" t="s">
        <v>771</v>
      </c>
      <c r="D159" t="s">
        <v>772</v>
      </c>
      <c r="F159" t="str">
        <f>""</f>
        <v/>
      </c>
      <c r="G159" t="str">
        <f>""</f>
        <v/>
      </c>
      <c r="H159">
        <v>3</v>
      </c>
      <c r="I159">
        <v>3.86</v>
      </c>
      <c r="J159" t="s">
        <v>773</v>
      </c>
      <c r="K159" t="s">
        <v>36</v>
      </c>
      <c r="L159">
        <v>326</v>
      </c>
      <c r="M159">
        <v>1990</v>
      </c>
      <c r="N159">
        <v>1929</v>
      </c>
      <c r="P159" s="1">
        <v>43700</v>
      </c>
      <c r="S159" t="s">
        <v>57</v>
      </c>
      <c r="W159">
        <v>1</v>
      </c>
      <c r="Z159">
        <v>0</v>
      </c>
    </row>
    <row r="160" spans="1:26" x14ac:dyDescent="0.2">
      <c r="A160">
        <v>5129</v>
      </c>
      <c r="B160" t="s">
        <v>774</v>
      </c>
      <c r="C160" t="s">
        <v>775</v>
      </c>
      <c r="D160" t="s">
        <v>776</v>
      </c>
      <c r="F160" t="str">
        <f>"0060929871"</f>
        <v>0060929871</v>
      </c>
      <c r="G160" t="str">
        <f>"9780060929879"</f>
        <v>9780060929879</v>
      </c>
      <c r="H160">
        <v>4</v>
      </c>
      <c r="I160">
        <v>3.99</v>
      </c>
      <c r="J160" t="s">
        <v>777</v>
      </c>
      <c r="K160" t="s">
        <v>36</v>
      </c>
      <c r="L160">
        <v>288</v>
      </c>
      <c r="M160">
        <v>1998</v>
      </c>
      <c r="N160">
        <v>1932</v>
      </c>
      <c r="P160" s="1">
        <v>43711</v>
      </c>
      <c r="S160" t="s">
        <v>57</v>
      </c>
      <c r="W160">
        <v>1</v>
      </c>
      <c r="Z160">
        <v>0</v>
      </c>
    </row>
    <row r="161" spans="1:26" x14ac:dyDescent="0.2">
      <c r="A161">
        <v>711901</v>
      </c>
      <c r="B161" t="s">
        <v>778</v>
      </c>
      <c r="C161" t="s">
        <v>779</v>
      </c>
      <c r="D161" t="s">
        <v>780</v>
      </c>
      <c r="E161" t="s">
        <v>781</v>
      </c>
      <c r="F161" t="str">
        <f>"0316067598"</f>
        <v>0316067598</v>
      </c>
      <c r="G161" t="str">
        <f>"9780316067591"</f>
        <v>9780316067591</v>
      </c>
      <c r="H161">
        <v>3</v>
      </c>
      <c r="I161">
        <v>4.3499999999999996</v>
      </c>
      <c r="J161" t="s">
        <v>667</v>
      </c>
      <c r="K161" t="s">
        <v>49</v>
      </c>
      <c r="L161">
        <v>390</v>
      </c>
      <c r="M161">
        <v>2007</v>
      </c>
      <c r="N161">
        <v>2006</v>
      </c>
      <c r="P161" s="1">
        <v>43700</v>
      </c>
      <c r="S161" t="s">
        <v>57</v>
      </c>
      <c r="W161">
        <v>1</v>
      </c>
      <c r="Z161">
        <v>0</v>
      </c>
    </row>
    <row r="162" spans="1:26" x14ac:dyDescent="0.2">
      <c r="A162">
        <v>22034</v>
      </c>
      <c r="B162" t="s">
        <v>782</v>
      </c>
      <c r="C162" t="s">
        <v>783</v>
      </c>
      <c r="D162" t="s">
        <v>784</v>
      </c>
      <c r="E162" t="s">
        <v>785</v>
      </c>
      <c r="F162" t="str">
        <f>""</f>
        <v/>
      </c>
      <c r="G162" t="str">
        <f>""</f>
        <v/>
      </c>
      <c r="H162">
        <v>5</v>
      </c>
      <c r="I162">
        <v>4.37</v>
      </c>
      <c r="J162" t="s">
        <v>786</v>
      </c>
      <c r="K162" t="s">
        <v>36</v>
      </c>
      <c r="L162">
        <v>448</v>
      </c>
      <c r="M162">
        <v>2002</v>
      </c>
      <c r="N162">
        <v>1969</v>
      </c>
      <c r="P162" s="1">
        <v>43700</v>
      </c>
      <c r="S162" t="s">
        <v>57</v>
      </c>
      <c r="W162">
        <v>1</v>
      </c>
      <c r="Z162">
        <v>0</v>
      </c>
    </row>
    <row r="163" spans="1:26" x14ac:dyDescent="0.2">
      <c r="A163">
        <v>12067799</v>
      </c>
      <c r="B163" t="s">
        <v>787</v>
      </c>
      <c r="C163" t="s">
        <v>788</v>
      </c>
      <c r="D163" t="s">
        <v>789</v>
      </c>
      <c r="F163" t="str">
        <f>"019976641X"</f>
        <v>019976641X</v>
      </c>
      <c r="G163" t="str">
        <f>"9780199766413"</f>
        <v>9780199766413</v>
      </c>
      <c r="H163">
        <v>4</v>
      </c>
      <c r="I163">
        <v>3.57</v>
      </c>
      <c r="J163" t="s">
        <v>451</v>
      </c>
      <c r="K163" t="s">
        <v>49</v>
      </c>
      <c r="L163">
        <v>267</v>
      </c>
      <c r="M163">
        <v>2011</v>
      </c>
      <c r="N163">
        <v>2011</v>
      </c>
      <c r="P163" s="1">
        <v>43700</v>
      </c>
      <c r="S163" t="s">
        <v>57</v>
      </c>
      <c r="W163">
        <v>1</v>
      </c>
      <c r="Z163">
        <v>0</v>
      </c>
    </row>
    <row r="164" spans="1:26" x14ac:dyDescent="0.2">
      <c r="A164">
        <v>13030270</v>
      </c>
      <c r="B164" t="s">
        <v>790</v>
      </c>
      <c r="C164" t="s">
        <v>791</v>
      </c>
      <c r="D164" t="s">
        <v>792</v>
      </c>
      <c r="F164" t="str">
        <f>""</f>
        <v/>
      </c>
      <c r="G164" t="str">
        <f>""</f>
        <v/>
      </c>
      <c r="H164">
        <v>4</v>
      </c>
      <c r="I164">
        <v>4.01</v>
      </c>
      <c r="J164" t="s">
        <v>793</v>
      </c>
      <c r="K164" t="s">
        <v>36</v>
      </c>
      <c r="L164">
        <v>199</v>
      </c>
      <c r="M164">
        <v>2011</v>
      </c>
      <c r="N164">
        <v>2011</v>
      </c>
      <c r="P164" s="1">
        <v>43700</v>
      </c>
      <c r="S164" t="s">
        <v>57</v>
      </c>
      <c r="W164">
        <v>1</v>
      </c>
      <c r="Z164">
        <v>0</v>
      </c>
    </row>
    <row r="165" spans="1:26" x14ac:dyDescent="0.2">
      <c r="A165">
        <v>2956</v>
      </c>
      <c r="B165" t="s">
        <v>794</v>
      </c>
      <c r="C165" t="s">
        <v>280</v>
      </c>
      <c r="D165" t="s">
        <v>281</v>
      </c>
      <c r="E165" t="s">
        <v>795</v>
      </c>
      <c r="F165" t="str">
        <f>"0142437174"</f>
        <v>0142437174</v>
      </c>
      <c r="G165" t="str">
        <f>"9780142437179"</f>
        <v>9780142437179</v>
      </c>
      <c r="H165">
        <v>4</v>
      </c>
      <c r="I165">
        <v>3.82</v>
      </c>
      <c r="J165" t="s">
        <v>125</v>
      </c>
      <c r="K165" t="s">
        <v>36</v>
      </c>
      <c r="L165">
        <v>327</v>
      </c>
      <c r="M165">
        <v>2002</v>
      </c>
      <c r="N165">
        <v>1876</v>
      </c>
      <c r="P165" s="1">
        <v>43700</v>
      </c>
      <c r="S165" t="s">
        <v>57</v>
      </c>
      <c r="W165">
        <v>1</v>
      </c>
      <c r="Z165">
        <v>0</v>
      </c>
    </row>
    <row r="166" spans="1:26" x14ac:dyDescent="0.2">
      <c r="A166">
        <v>40604658</v>
      </c>
      <c r="B166" t="s">
        <v>796</v>
      </c>
      <c r="C166" t="s">
        <v>797</v>
      </c>
      <c r="D166" t="s">
        <v>798</v>
      </c>
      <c r="F166" t="str">
        <f>""</f>
        <v/>
      </c>
      <c r="G166" t="str">
        <f>""</f>
        <v/>
      </c>
      <c r="H166">
        <v>4</v>
      </c>
      <c r="I166">
        <v>4.0199999999999996</v>
      </c>
      <c r="J166" t="s">
        <v>85</v>
      </c>
      <c r="K166" t="s">
        <v>62</v>
      </c>
      <c r="L166">
        <v>466</v>
      </c>
      <c r="M166">
        <v>2012</v>
      </c>
      <c r="N166">
        <v>1990</v>
      </c>
      <c r="P166" s="1">
        <v>43700</v>
      </c>
      <c r="S166" t="s">
        <v>57</v>
      </c>
      <c r="W166">
        <v>1</v>
      </c>
      <c r="Z166">
        <v>0</v>
      </c>
    </row>
    <row r="167" spans="1:26" x14ac:dyDescent="0.2">
      <c r="A167">
        <v>8650</v>
      </c>
      <c r="B167" t="s">
        <v>799</v>
      </c>
      <c r="C167" t="s">
        <v>797</v>
      </c>
      <c r="D167" t="s">
        <v>798</v>
      </c>
      <c r="F167" t="str">
        <f>"0752224417"</f>
        <v>0752224417</v>
      </c>
      <c r="G167" t="str">
        <f>"9780752224411"</f>
        <v>9780752224411</v>
      </c>
      <c r="H167">
        <v>4</v>
      </c>
      <c r="I167">
        <v>3.78</v>
      </c>
      <c r="J167" t="s">
        <v>800</v>
      </c>
      <c r="K167" t="s">
        <v>520</v>
      </c>
      <c r="L167">
        <v>448</v>
      </c>
      <c r="M167">
        <v>1995</v>
      </c>
      <c r="N167">
        <v>1995</v>
      </c>
      <c r="P167" s="1">
        <v>43700</v>
      </c>
      <c r="S167" t="s">
        <v>57</v>
      </c>
      <c r="W167">
        <v>1</v>
      </c>
      <c r="Z167">
        <v>0</v>
      </c>
    </row>
    <row r="168" spans="1:26" x14ac:dyDescent="0.2">
      <c r="A168">
        <v>229281</v>
      </c>
      <c r="B168" t="s">
        <v>801</v>
      </c>
      <c r="C168" t="s">
        <v>802</v>
      </c>
      <c r="D168" t="s">
        <v>803</v>
      </c>
      <c r="F168" t="str">
        <f>"0486296725"</f>
        <v>0486296725</v>
      </c>
      <c r="G168" t="str">
        <f>"9780486296722"</f>
        <v>9780486296722</v>
      </c>
      <c r="H168">
        <v>2</v>
      </c>
      <c r="I168">
        <v>3.57</v>
      </c>
      <c r="J168" t="s">
        <v>804</v>
      </c>
      <c r="K168" t="s">
        <v>36</v>
      </c>
      <c r="L168">
        <v>288</v>
      </c>
      <c r="M168">
        <v>1997</v>
      </c>
      <c r="N168">
        <v>1970</v>
      </c>
      <c r="P168" s="1">
        <v>43700</v>
      </c>
      <c r="S168" t="s">
        <v>57</v>
      </c>
      <c r="W168">
        <v>1</v>
      </c>
      <c r="Z168">
        <v>0</v>
      </c>
    </row>
    <row r="169" spans="1:26" x14ac:dyDescent="0.2">
      <c r="A169">
        <v>36064445</v>
      </c>
      <c r="B169" t="s">
        <v>805</v>
      </c>
      <c r="C169" t="s">
        <v>806</v>
      </c>
      <c r="D169" t="s">
        <v>807</v>
      </c>
      <c r="F169" t="str">
        <f>"0241300657"</f>
        <v>0241300657</v>
      </c>
      <c r="G169" t="str">
        <f>"9780241300657"</f>
        <v>9780241300657</v>
      </c>
      <c r="H169">
        <v>5</v>
      </c>
      <c r="I169">
        <v>3.86</v>
      </c>
      <c r="J169" t="s">
        <v>808</v>
      </c>
      <c r="K169" t="s">
        <v>36</v>
      </c>
      <c r="L169">
        <v>272</v>
      </c>
      <c r="M169">
        <v>2018</v>
      </c>
      <c r="N169">
        <v>2018</v>
      </c>
      <c r="P169" s="1">
        <v>43700</v>
      </c>
      <c r="S169" t="s">
        <v>57</v>
      </c>
      <c r="W169">
        <v>1</v>
      </c>
      <c r="Z169">
        <v>0</v>
      </c>
    </row>
    <row r="170" spans="1:26" x14ac:dyDescent="0.2">
      <c r="A170">
        <v>4778436</v>
      </c>
      <c r="B170" t="s">
        <v>809</v>
      </c>
      <c r="C170" t="s">
        <v>810</v>
      </c>
      <c r="D170" t="s">
        <v>811</v>
      </c>
      <c r="F170" t="str">
        <f>"0618858679"</f>
        <v>0618858679</v>
      </c>
      <c r="G170" t="str">
        <f>"9780618858675"</f>
        <v>9780618858675</v>
      </c>
      <c r="H170">
        <v>4</v>
      </c>
      <c r="I170">
        <v>4.21</v>
      </c>
      <c r="J170" t="s">
        <v>812</v>
      </c>
      <c r="K170" t="s">
        <v>49</v>
      </c>
      <c r="L170">
        <v>390</v>
      </c>
      <c r="M170">
        <v>2009</v>
      </c>
      <c r="N170">
        <v>2009</v>
      </c>
      <c r="P170" s="1">
        <v>43700</v>
      </c>
      <c r="S170" t="s">
        <v>57</v>
      </c>
      <c r="W170">
        <v>1</v>
      </c>
      <c r="Z170">
        <v>0</v>
      </c>
    </row>
    <row r="171" spans="1:26" x14ac:dyDescent="0.2">
      <c r="A171">
        <v>28381</v>
      </c>
      <c r="B171" t="s">
        <v>813</v>
      </c>
      <c r="C171" t="s">
        <v>814</v>
      </c>
      <c r="D171" t="s">
        <v>815</v>
      </c>
      <c r="E171" t="s">
        <v>816</v>
      </c>
      <c r="F171" t="str">
        <f>"0140448071"</f>
        <v>0140448071</v>
      </c>
      <c r="G171" t="str">
        <f>"9780140448078"</f>
        <v>9780140448078</v>
      </c>
      <c r="H171">
        <v>3</v>
      </c>
      <c r="I171">
        <v>3.99</v>
      </c>
      <c r="J171" t="s">
        <v>125</v>
      </c>
      <c r="K171" t="s">
        <v>36</v>
      </c>
      <c r="L171">
        <v>464</v>
      </c>
      <c r="M171">
        <v>2004</v>
      </c>
      <c r="N171">
        <v>1842</v>
      </c>
      <c r="P171" s="1">
        <v>43700</v>
      </c>
      <c r="S171" t="s">
        <v>57</v>
      </c>
      <c r="W171">
        <v>1</v>
      </c>
      <c r="Z171">
        <v>0</v>
      </c>
    </row>
    <row r="172" spans="1:26" x14ac:dyDescent="0.2">
      <c r="A172">
        <v>253984</v>
      </c>
      <c r="B172" t="s">
        <v>817</v>
      </c>
      <c r="C172" t="s">
        <v>179</v>
      </c>
      <c r="D172" t="s">
        <v>180</v>
      </c>
      <c r="E172" t="s">
        <v>184</v>
      </c>
      <c r="F172" t="str">
        <f>"1590171659"</f>
        <v>1590171659</v>
      </c>
      <c r="G172" t="str">
        <f>"9781590171653"</f>
        <v>9781590171653</v>
      </c>
      <c r="H172">
        <v>3</v>
      </c>
      <c r="I172">
        <v>4.0599999999999996</v>
      </c>
      <c r="J172" t="s">
        <v>185</v>
      </c>
      <c r="K172" t="s">
        <v>36</v>
      </c>
      <c r="L172">
        <v>321</v>
      </c>
      <c r="M172">
        <v>2005</v>
      </c>
      <c r="N172">
        <v>1977</v>
      </c>
      <c r="P172" s="1">
        <v>43700</v>
      </c>
      <c r="S172" t="s">
        <v>57</v>
      </c>
      <c r="W172">
        <v>1</v>
      </c>
      <c r="Z172">
        <v>0</v>
      </c>
    </row>
    <row r="173" spans="1:26" x14ac:dyDescent="0.2">
      <c r="A173">
        <v>39644250</v>
      </c>
      <c r="B173" t="s">
        <v>818</v>
      </c>
      <c r="C173" t="s">
        <v>819</v>
      </c>
      <c r="D173" t="s">
        <v>820</v>
      </c>
      <c r="F173" t="str">
        <f>"0262535955"</f>
        <v>0262535955</v>
      </c>
      <c r="G173" t="str">
        <f>"9780262535953"</f>
        <v>9780262535953</v>
      </c>
      <c r="H173">
        <v>3</v>
      </c>
      <c r="I173">
        <v>3.75</v>
      </c>
      <c r="J173" t="s">
        <v>821</v>
      </c>
      <c r="K173" t="s">
        <v>36</v>
      </c>
      <c r="L173">
        <v>232</v>
      </c>
      <c r="M173">
        <v>2018</v>
      </c>
      <c r="P173" s="1">
        <v>43700</v>
      </c>
      <c r="S173" t="s">
        <v>57</v>
      </c>
      <c r="W173">
        <v>1</v>
      </c>
      <c r="Z173">
        <v>0</v>
      </c>
    </row>
    <row r="174" spans="1:26" x14ac:dyDescent="0.2">
      <c r="A174">
        <v>7713461</v>
      </c>
      <c r="B174" t="s">
        <v>822</v>
      </c>
      <c r="C174" t="s">
        <v>823</v>
      </c>
      <c r="D174" t="s">
        <v>824</v>
      </c>
      <c r="F174" t="str">
        <f>"143918903X"</f>
        <v>143918903X</v>
      </c>
      <c r="G174" t="str">
        <f>"9781439189030"</f>
        <v>9781439189030</v>
      </c>
      <c r="H174">
        <v>3</v>
      </c>
      <c r="I174">
        <v>4.1399999999999997</v>
      </c>
      <c r="J174" t="s">
        <v>825</v>
      </c>
      <c r="K174" t="s">
        <v>49</v>
      </c>
      <c r="L174">
        <v>352</v>
      </c>
      <c r="M174">
        <v>2010</v>
      </c>
      <c r="N174">
        <v>2010</v>
      </c>
      <c r="P174" s="1">
        <v>43700</v>
      </c>
      <c r="S174" t="s">
        <v>57</v>
      </c>
      <c r="W174">
        <v>1</v>
      </c>
      <c r="Z174">
        <v>0</v>
      </c>
    </row>
    <row r="175" spans="1:26" x14ac:dyDescent="0.2">
      <c r="A175">
        <v>21192565</v>
      </c>
      <c r="B175" t="s">
        <v>826</v>
      </c>
      <c r="C175" t="s">
        <v>827</v>
      </c>
      <c r="D175" t="s">
        <v>828</v>
      </c>
      <c r="F175" t="str">
        <f>""</f>
        <v/>
      </c>
      <c r="G175" t="str">
        <f>""</f>
        <v/>
      </c>
      <c r="H175">
        <v>3</v>
      </c>
      <c r="I175">
        <v>4.33</v>
      </c>
      <c r="J175" t="s">
        <v>829</v>
      </c>
      <c r="K175" t="s">
        <v>62</v>
      </c>
      <c r="L175">
        <v>208</v>
      </c>
      <c r="M175">
        <v>2014</v>
      </c>
      <c r="N175">
        <v>2014</v>
      </c>
      <c r="P175" s="1">
        <v>43700</v>
      </c>
      <c r="S175" t="s">
        <v>57</v>
      </c>
      <c r="W175">
        <v>1</v>
      </c>
      <c r="Z175">
        <v>0</v>
      </c>
    </row>
    <row r="176" spans="1:26" x14ac:dyDescent="0.2">
      <c r="A176">
        <v>295</v>
      </c>
      <c r="B176" t="s">
        <v>830</v>
      </c>
      <c r="C176" t="s">
        <v>831</v>
      </c>
      <c r="D176" t="s">
        <v>832</v>
      </c>
      <c r="F176" t="str">
        <f>"0753453800"</f>
        <v>0753453800</v>
      </c>
      <c r="G176" t="str">
        <f>"9780753453803"</f>
        <v>9780753453803</v>
      </c>
      <c r="H176">
        <v>5</v>
      </c>
      <c r="I176">
        <v>3.83</v>
      </c>
      <c r="J176" t="s">
        <v>833</v>
      </c>
      <c r="K176" t="s">
        <v>49</v>
      </c>
      <c r="L176">
        <v>311</v>
      </c>
      <c r="M176">
        <v>2001</v>
      </c>
      <c r="N176">
        <v>1883</v>
      </c>
      <c r="P176" s="1">
        <v>43700</v>
      </c>
      <c r="S176" t="s">
        <v>57</v>
      </c>
      <c r="W176">
        <v>1</v>
      </c>
      <c r="Z176">
        <v>0</v>
      </c>
    </row>
    <row r="177" spans="1:26" x14ac:dyDescent="0.2">
      <c r="A177">
        <v>9526993</v>
      </c>
      <c r="B177" t="s">
        <v>834</v>
      </c>
      <c r="C177" t="s">
        <v>835</v>
      </c>
      <c r="D177" t="s">
        <v>836</v>
      </c>
      <c r="F177" t="str">
        <f>""</f>
        <v/>
      </c>
      <c r="G177" t="str">
        <f>""</f>
        <v/>
      </c>
      <c r="H177">
        <v>4</v>
      </c>
      <c r="I177">
        <v>3.99</v>
      </c>
      <c r="K177" t="s">
        <v>62</v>
      </c>
      <c r="L177">
        <v>450</v>
      </c>
      <c r="N177">
        <v>1999</v>
      </c>
      <c r="P177" s="1">
        <v>43700</v>
      </c>
      <c r="S177" t="s">
        <v>57</v>
      </c>
      <c r="W177">
        <v>1</v>
      </c>
      <c r="Z177">
        <v>0</v>
      </c>
    </row>
    <row r="178" spans="1:26" x14ac:dyDescent="0.2">
      <c r="A178">
        <v>1530924</v>
      </c>
      <c r="B178" t="s">
        <v>837</v>
      </c>
      <c r="C178" t="s">
        <v>838</v>
      </c>
      <c r="D178" t="s">
        <v>839</v>
      </c>
      <c r="F178" t="str">
        <f>"0940149451"</f>
        <v>0940149451</v>
      </c>
      <c r="G178" t="str">
        <f>"9780940149458"</f>
        <v>9780940149458</v>
      </c>
      <c r="H178">
        <v>4</v>
      </c>
      <c r="I178">
        <v>3.87</v>
      </c>
      <c r="J178" t="s">
        <v>840</v>
      </c>
      <c r="K178" t="s">
        <v>841</v>
      </c>
      <c r="L178">
        <v>213</v>
      </c>
      <c r="M178">
        <v>2003</v>
      </c>
      <c r="N178">
        <v>1987</v>
      </c>
      <c r="P178" s="1">
        <v>43700</v>
      </c>
      <c r="S178" t="s">
        <v>57</v>
      </c>
      <c r="W178">
        <v>1</v>
      </c>
      <c r="Z178">
        <v>0</v>
      </c>
    </row>
    <row r="179" spans="1:26" x14ac:dyDescent="0.2">
      <c r="A179">
        <v>1724560</v>
      </c>
      <c r="B179" t="s">
        <v>842</v>
      </c>
      <c r="C179" t="s">
        <v>843</v>
      </c>
      <c r="D179" t="s">
        <v>844</v>
      </c>
      <c r="F179" t="str">
        <f>"0300126255"</f>
        <v>0300126255</v>
      </c>
      <c r="G179" t="str">
        <f>"9780300126259"</f>
        <v>9780300126259</v>
      </c>
      <c r="H179">
        <v>5</v>
      </c>
      <c r="I179">
        <v>4.0599999999999996</v>
      </c>
      <c r="J179" t="s">
        <v>845</v>
      </c>
      <c r="K179" t="s">
        <v>49</v>
      </c>
      <c r="L179">
        <v>608</v>
      </c>
      <c r="M179">
        <v>2007</v>
      </c>
      <c r="N179">
        <v>2007</v>
      </c>
      <c r="P179" s="1">
        <v>43700</v>
      </c>
      <c r="S179" t="s">
        <v>57</v>
      </c>
      <c r="W179">
        <v>1</v>
      </c>
      <c r="Z179">
        <v>0</v>
      </c>
    </row>
    <row r="180" spans="1:26" x14ac:dyDescent="0.2">
      <c r="A180">
        <v>32669</v>
      </c>
      <c r="B180" t="s">
        <v>846</v>
      </c>
      <c r="C180" t="s">
        <v>847</v>
      </c>
      <c r="D180" t="s">
        <v>848</v>
      </c>
      <c r="F180" t="str">
        <f>"0425144372"</f>
        <v>0425144372</v>
      </c>
      <c r="G180" t="str">
        <f>"9780425144374"</f>
        <v>9780425144374</v>
      </c>
      <c r="H180">
        <v>4</v>
      </c>
      <c r="I180">
        <v>4.1100000000000003</v>
      </c>
      <c r="J180" t="s">
        <v>849</v>
      </c>
      <c r="K180" t="s">
        <v>520</v>
      </c>
      <c r="L180">
        <v>688</v>
      </c>
      <c r="M180">
        <v>1994</v>
      </c>
      <c r="N180">
        <v>1989</v>
      </c>
      <c r="P180" s="1">
        <v>43700</v>
      </c>
      <c r="S180" t="s">
        <v>57</v>
      </c>
      <c r="W180">
        <v>1</v>
      </c>
      <c r="Z180">
        <v>0</v>
      </c>
    </row>
    <row r="181" spans="1:26" x14ac:dyDescent="0.2">
      <c r="A181">
        <v>19670</v>
      </c>
      <c r="B181" t="s">
        <v>850</v>
      </c>
      <c r="C181" t="s">
        <v>847</v>
      </c>
      <c r="D181" t="s">
        <v>848</v>
      </c>
      <c r="F181" t="str">
        <f>"0425147584"</f>
        <v>0425147584</v>
      </c>
      <c r="G181" t="str">
        <f>"9780425147580"</f>
        <v>9780425147580</v>
      </c>
      <c r="H181">
        <v>4</v>
      </c>
      <c r="I181">
        <v>4.05</v>
      </c>
      <c r="J181" t="s">
        <v>851</v>
      </c>
      <c r="K181" t="s">
        <v>36</v>
      </c>
      <c r="L181">
        <v>990</v>
      </c>
      <c r="M181">
        <v>1995</v>
      </c>
      <c r="N181">
        <v>1994</v>
      </c>
      <c r="P181" s="1">
        <v>43700</v>
      </c>
      <c r="S181" t="s">
        <v>57</v>
      </c>
      <c r="W181">
        <v>1</v>
      </c>
      <c r="Z181">
        <v>0</v>
      </c>
    </row>
    <row r="182" spans="1:26" x14ac:dyDescent="0.2">
      <c r="A182">
        <v>24280</v>
      </c>
      <c r="B182" t="s">
        <v>852</v>
      </c>
      <c r="C182" t="s">
        <v>853</v>
      </c>
      <c r="D182" t="s">
        <v>854</v>
      </c>
      <c r="E182" t="s">
        <v>855</v>
      </c>
      <c r="F182" t="str">
        <f>""</f>
        <v/>
      </c>
      <c r="G182" t="str">
        <f>""</f>
        <v/>
      </c>
      <c r="H182">
        <v>4</v>
      </c>
      <c r="I182">
        <v>4.17</v>
      </c>
      <c r="J182" t="s">
        <v>856</v>
      </c>
      <c r="K182" t="s">
        <v>520</v>
      </c>
      <c r="L182">
        <v>1463</v>
      </c>
      <c r="M182">
        <v>1987</v>
      </c>
      <c r="N182">
        <v>1862</v>
      </c>
      <c r="P182" s="1">
        <v>43700</v>
      </c>
      <c r="S182" t="s">
        <v>57</v>
      </c>
      <c r="W182">
        <v>1</v>
      </c>
      <c r="Z182">
        <v>0</v>
      </c>
    </row>
    <row r="183" spans="1:26" x14ac:dyDescent="0.2">
      <c r="A183">
        <v>34684622</v>
      </c>
      <c r="B183" t="s">
        <v>163</v>
      </c>
      <c r="C183" t="s">
        <v>857</v>
      </c>
      <c r="D183" t="s">
        <v>858</v>
      </c>
      <c r="F183" t="str">
        <f>"1501139150"</f>
        <v>1501139150</v>
      </c>
      <c r="G183" t="str">
        <f>"9781501139154"</f>
        <v>9781501139154</v>
      </c>
      <c r="H183">
        <v>3</v>
      </c>
      <c r="I183">
        <v>4.17</v>
      </c>
      <c r="J183" t="s">
        <v>446</v>
      </c>
      <c r="K183" t="s">
        <v>49</v>
      </c>
      <c r="L183">
        <v>600</v>
      </c>
      <c r="M183">
        <v>2017</v>
      </c>
      <c r="N183">
        <v>2017</v>
      </c>
      <c r="P183" s="1">
        <v>43700</v>
      </c>
      <c r="S183" t="s">
        <v>57</v>
      </c>
      <c r="W183">
        <v>1</v>
      </c>
      <c r="Z183">
        <v>0</v>
      </c>
    </row>
    <row r="184" spans="1:26" x14ac:dyDescent="0.2">
      <c r="A184">
        <v>670302</v>
      </c>
      <c r="B184" t="s">
        <v>859</v>
      </c>
      <c r="C184" t="s">
        <v>143</v>
      </c>
      <c r="D184" t="s">
        <v>144</v>
      </c>
      <c r="F184" t="str">
        <f>"0006551009"</f>
        <v>0006551009</v>
      </c>
      <c r="G184" t="str">
        <f>"9780006551003"</f>
        <v>9780006551003</v>
      </c>
      <c r="H184">
        <v>3</v>
      </c>
      <c r="I184">
        <v>3.79</v>
      </c>
      <c r="J184" t="s">
        <v>860</v>
      </c>
      <c r="K184" t="s">
        <v>36</v>
      </c>
      <c r="L184">
        <v>192</v>
      </c>
      <c r="M184">
        <v>2000</v>
      </c>
      <c r="N184">
        <v>1998</v>
      </c>
      <c r="P184" s="1">
        <v>43700</v>
      </c>
      <c r="S184" t="s">
        <v>57</v>
      </c>
      <c r="W184">
        <v>1</v>
      </c>
      <c r="Z184">
        <v>0</v>
      </c>
    </row>
    <row r="185" spans="1:26" x14ac:dyDescent="0.2">
      <c r="A185">
        <v>22237142</v>
      </c>
      <c r="B185" t="s">
        <v>861</v>
      </c>
      <c r="C185" t="s">
        <v>862</v>
      </c>
      <c r="D185" t="s">
        <v>863</v>
      </c>
      <c r="F185" t="str">
        <f>"0374117268"</f>
        <v>0374117268</v>
      </c>
      <c r="G185" t="str">
        <f>"9780374117269"</f>
        <v>9780374117269</v>
      </c>
      <c r="H185">
        <v>3</v>
      </c>
      <c r="I185">
        <v>3.33</v>
      </c>
      <c r="J185" t="s">
        <v>864</v>
      </c>
      <c r="K185" t="s">
        <v>36</v>
      </c>
      <c r="L185">
        <v>296</v>
      </c>
      <c r="M185">
        <v>2016</v>
      </c>
      <c r="N185">
        <v>2015</v>
      </c>
      <c r="O185" s="1">
        <v>43725</v>
      </c>
      <c r="P185" s="1">
        <v>43702</v>
      </c>
      <c r="S185" t="s">
        <v>57</v>
      </c>
      <c r="T185" t="s">
        <v>865</v>
      </c>
      <c r="W185">
        <v>1</v>
      </c>
      <c r="Z185">
        <v>0</v>
      </c>
    </row>
    <row r="186" spans="1:26" x14ac:dyDescent="0.2">
      <c r="A186">
        <v>815854</v>
      </c>
      <c r="B186" t="s">
        <v>866</v>
      </c>
      <c r="C186" t="s">
        <v>867</v>
      </c>
      <c r="D186" t="s">
        <v>868</v>
      </c>
      <c r="F186" t="str">
        <f>"1557504466"</f>
        <v>1557504466</v>
      </c>
      <c r="G186" t="str">
        <f>"9781557504463"</f>
        <v>9781557504463</v>
      </c>
      <c r="H186">
        <v>0</v>
      </c>
      <c r="I186">
        <v>4.2300000000000004</v>
      </c>
      <c r="J186" t="s">
        <v>869</v>
      </c>
      <c r="K186" t="s">
        <v>36</v>
      </c>
      <c r="L186">
        <v>602</v>
      </c>
      <c r="M186">
        <v>2001</v>
      </c>
      <c r="N186">
        <v>1962</v>
      </c>
      <c r="P186" s="1">
        <v>43721</v>
      </c>
      <c r="Q186" t="s">
        <v>37</v>
      </c>
      <c r="R186" t="s">
        <v>870</v>
      </c>
      <c r="S186" t="s">
        <v>37</v>
      </c>
      <c r="W186">
        <v>0</v>
      </c>
      <c r="Z186">
        <v>0</v>
      </c>
    </row>
    <row r="187" spans="1:26" x14ac:dyDescent="0.2">
      <c r="A187">
        <v>419510</v>
      </c>
      <c r="B187" t="s">
        <v>871</v>
      </c>
      <c r="C187" t="s">
        <v>872</v>
      </c>
      <c r="D187" t="s">
        <v>873</v>
      </c>
      <c r="E187" t="s">
        <v>874</v>
      </c>
      <c r="F187" t="str">
        <f>"0375760717"</f>
        <v>0375760717</v>
      </c>
      <c r="G187" t="str">
        <f>"9780375760716"</f>
        <v>9780375760716</v>
      </c>
      <c r="H187">
        <v>0</v>
      </c>
      <c r="I187">
        <v>3.83</v>
      </c>
      <c r="J187" t="s">
        <v>875</v>
      </c>
      <c r="K187" t="s">
        <v>36</v>
      </c>
      <c r="L187">
        <v>384</v>
      </c>
      <c r="M187">
        <v>2005</v>
      </c>
      <c r="N187">
        <v>2004</v>
      </c>
      <c r="P187" s="1">
        <v>43719</v>
      </c>
      <c r="Q187" t="s">
        <v>37</v>
      </c>
      <c r="R187" t="s">
        <v>876</v>
      </c>
      <c r="S187" t="s">
        <v>37</v>
      </c>
      <c r="W187">
        <v>0</v>
      </c>
      <c r="Z187">
        <v>0</v>
      </c>
    </row>
    <row r="188" spans="1:26" x14ac:dyDescent="0.2">
      <c r="A188">
        <v>921455</v>
      </c>
      <c r="B188" t="s">
        <v>877</v>
      </c>
      <c r="C188" t="s">
        <v>878</v>
      </c>
      <c r="D188" t="s">
        <v>879</v>
      </c>
      <c r="F188" t="str">
        <f>"0486226824"</f>
        <v>0486226824</v>
      </c>
      <c r="G188" t="str">
        <f>"9780486226828"</f>
        <v>9780486226828</v>
      </c>
      <c r="H188">
        <v>5</v>
      </c>
      <c r="I188">
        <v>4.13</v>
      </c>
      <c r="J188" t="s">
        <v>804</v>
      </c>
      <c r="K188" t="s">
        <v>36</v>
      </c>
      <c r="L188">
        <v>368</v>
      </c>
      <c r="M188">
        <v>1971</v>
      </c>
      <c r="N188">
        <v>1929</v>
      </c>
      <c r="O188" s="1">
        <v>43718</v>
      </c>
      <c r="P188" s="1">
        <v>43702</v>
      </c>
      <c r="S188" t="s">
        <v>57</v>
      </c>
      <c r="T188" t="s">
        <v>880</v>
      </c>
      <c r="W188">
        <v>1</v>
      </c>
      <c r="Z188">
        <v>0</v>
      </c>
    </row>
    <row r="189" spans="1:26" x14ac:dyDescent="0.2">
      <c r="A189">
        <v>2998</v>
      </c>
      <c r="B189" t="s">
        <v>881</v>
      </c>
      <c r="C189" t="s">
        <v>882</v>
      </c>
      <c r="D189" t="s">
        <v>883</v>
      </c>
      <c r="F189" t="str">
        <f>"0517189607"</f>
        <v>0517189607</v>
      </c>
      <c r="G189" t="str">
        <f>"9780517189603"</f>
        <v>9780517189603</v>
      </c>
      <c r="H189">
        <v>0</v>
      </c>
      <c r="I189">
        <v>4.13</v>
      </c>
      <c r="J189" t="s">
        <v>884</v>
      </c>
      <c r="K189" t="s">
        <v>49</v>
      </c>
      <c r="L189">
        <v>331</v>
      </c>
      <c r="M189">
        <v>1998</v>
      </c>
      <c r="N189">
        <v>1910</v>
      </c>
      <c r="P189" s="1">
        <v>43711</v>
      </c>
      <c r="Q189" t="s">
        <v>37</v>
      </c>
      <c r="R189" t="s">
        <v>885</v>
      </c>
      <c r="S189" t="s">
        <v>37</v>
      </c>
      <c r="W189">
        <v>0</v>
      </c>
      <c r="Z189">
        <v>0</v>
      </c>
    </row>
    <row r="190" spans="1:26" x14ac:dyDescent="0.2">
      <c r="A190">
        <v>33640229</v>
      </c>
      <c r="B190" t="s">
        <v>886</v>
      </c>
      <c r="C190" t="s">
        <v>887</v>
      </c>
      <c r="D190" t="s">
        <v>888</v>
      </c>
      <c r="F190" t="str">
        <f>"0062367870"</f>
        <v>0062367870</v>
      </c>
      <c r="G190" t="str">
        <f>"9780062367877"</f>
        <v>9780062367877</v>
      </c>
      <c r="H190">
        <v>0</v>
      </c>
      <c r="I190">
        <v>4.1500000000000004</v>
      </c>
      <c r="J190" t="s">
        <v>889</v>
      </c>
      <c r="K190" t="s">
        <v>42</v>
      </c>
      <c r="L190">
        <v>368</v>
      </c>
      <c r="M190">
        <v>2017</v>
      </c>
      <c r="N190">
        <v>2017</v>
      </c>
      <c r="P190" s="1">
        <v>43711</v>
      </c>
      <c r="Q190" t="s">
        <v>37</v>
      </c>
      <c r="R190" t="s">
        <v>890</v>
      </c>
      <c r="S190" t="s">
        <v>37</v>
      </c>
      <c r="W190">
        <v>0</v>
      </c>
      <c r="Z190">
        <v>0</v>
      </c>
    </row>
    <row r="191" spans="1:26" x14ac:dyDescent="0.2">
      <c r="A191">
        <v>10483171</v>
      </c>
      <c r="B191" t="s">
        <v>891</v>
      </c>
      <c r="C191" t="s">
        <v>892</v>
      </c>
      <c r="D191" t="s">
        <v>893</v>
      </c>
      <c r="F191" t="str">
        <f>"0670022756"</f>
        <v>0670022756</v>
      </c>
      <c r="G191" t="str">
        <f>"9780670022755"</f>
        <v>9780670022755</v>
      </c>
      <c r="H191">
        <v>0</v>
      </c>
      <c r="I191">
        <v>4.12</v>
      </c>
      <c r="J191" t="s">
        <v>894</v>
      </c>
      <c r="K191" t="s">
        <v>49</v>
      </c>
      <c r="L191">
        <v>487</v>
      </c>
      <c r="M191">
        <v>2011</v>
      </c>
      <c r="N191">
        <v>2011</v>
      </c>
      <c r="P191" s="1">
        <v>43710</v>
      </c>
      <c r="Q191" t="s">
        <v>37</v>
      </c>
      <c r="R191" t="s">
        <v>895</v>
      </c>
      <c r="S191" t="s">
        <v>37</v>
      </c>
      <c r="W191">
        <v>0</v>
      </c>
      <c r="Z191">
        <v>0</v>
      </c>
    </row>
    <row r="192" spans="1:26" x14ac:dyDescent="0.2">
      <c r="A192">
        <v>1146081</v>
      </c>
      <c r="B192" t="s">
        <v>896</v>
      </c>
      <c r="C192" t="s">
        <v>897</v>
      </c>
      <c r="D192" t="s">
        <v>898</v>
      </c>
      <c r="F192" t="str">
        <f>"0684855313"</f>
        <v>0684855313</v>
      </c>
      <c r="G192" t="str">
        <f>"9780684855318"</f>
        <v>9780684855318</v>
      </c>
      <c r="H192">
        <v>0</v>
      </c>
      <c r="I192">
        <v>3.7</v>
      </c>
      <c r="J192" t="s">
        <v>35</v>
      </c>
      <c r="K192" t="s">
        <v>36</v>
      </c>
      <c r="L192">
        <v>528</v>
      </c>
      <c r="M192">
        <v>1998</v>
      </c>
      <c r="N192">
        <v>1995</v>
      </c>
      <c r="P192" s="1">
        <v>43705</v>
      </c>
      <c r="Q192" t="s">
        <v>37</v>
      </c>
      <c r="R192" t="s">
        <v>899</v>
      </c>
      <c r="S192" t="s">
        <v>37</v>
      </c>
      <c r="W192">
        <v>0</v>
      </c>
      <c r="Z192">
        <v>0</v>
      </c>
    </row>
    <row r="193" spans="1:26" x14ac:dyDescent="0.2">
      <c r="A193">
        <v>39286438</v>
      </c>
      <c r="B193" t="s">
        <v>900</v>
      </c>
      <c r="C193" t="s">
        <v>901</v>
      </c>
      <c r="D193" t="s">
        <v>902</v>
      </c>
      <c r="F193" t="str">
        <f>""</f>
        <v/>
      </c>
      <c r="G193" t="str">
        <f>""</f>
        <v/>
      </c>
      <c r="H193">
        <v>0</v>
      </c>
      <c r="I193">
        <v>4.2699999999999996</v>
      </c>
      <c r="J193" t="s">
        <v>903</v>
      </c>
      <c r="K193" t="s">
        <v>62</v>
      </c>
      <c r="L193">
        <v>217</v>
      </c>
      <c r="M193">
        <v>2018</v>
      </c>
      <c r="P193" s="1">
        <v>43705</v>
      </c>
      <c r="Q193" t="s">
        <v>37</v>
      </c>
      <c r="R193" t="s">
        <v>904</v>
      </c>
      <c r="S193" t="s">
        <v>37</v>
      </c>
      <c r="W193">
        <v>0</v>
      </c>
      <c r="Z193">
        <v>0</v>
      </c>
    </row>
    <row r="194" spans="1:26" x14ac:dyDescent="0.2">
      <c r="A194">
        <v>22529381</v>
      </c>
      <c r="B194" t="s">
        <v>905</v>
      </c>
      <c r="C194" t="s">
        <v>906</v>
      </c>
      <c r="D194" t="s">
        <v>907</v>
      </c>
      <c r="F194" t="str">
        <f>"1620402505"</f>
        <v>1620402505</v>
      </c>
      <c r="G194" t="str">
        <f>"9781620402504"</f>
        <v>9781620402504</v>
      </c>
      <c r="H194">
        <v>0</v>
      </c>
      <c r="I194">
        <v>4.25</v>
      </c>
      <c r="J194" t="s">
        <v>908</v>
      </c>
      <c r="K194" t="s">
        <v>49</v>
      </c>
      <c r="L194">
        <v>384</v>
      </c>
      <c r="M194">
        <v>2015</v>
      </c>
      <c r="N194">
        <v>2015</v>
      </c>
      <c r="P194" s="1">
        <v>43705</v>
      </c>
      <c r="Q194" t="s">
        <v>37</v>
      </c>
      <c r="R194" t="s">
        <v>909</v>
      </c>
      <c r="S194" t="s">
        <v>37</v>
      </c>
      <c r="W194">
        <v>0</v>
      </c>
      <c r="Z194">
        <v>0</v>
      </c>
    </row>
    <row r="195" spans="1:26" x14ac:dyDescent="0.2">
      <c r="A195">
        <v>22891</v>
      </c>
      <c r="B195" t="s">
        <v>910</v>
      </c>
      <c r="C195" t="s">
        <v>911</v>
      </c>
      <c r="D195" t="s">
        <v>912</v>
      </c>
      <c r="F195" t="str">
        <f>"0231126999"</f>
        <v>0231126999</v>
      </c>
      <c r="G195" t="str">
        <f>"9780231126991"</f>
        <v>9780231126991</v>
      </c>
      <c r="H195">
        <v>0</v>
      </c>
      <c r="I195">
        <v>3.94</v>
      </c>
      <c r="J195" t="s">
        <v>913</v>
      </c>
      <c r="K195" t="s">
        <v>36</v>
      </c>
      <c r="L195">
        <v>432</v>
      </c>
      <c r="M195">
        <v>2006</v>
      </c>
      <c r="N195">
        <v>1998</v>
      </c>
      <c r="P195" s="1">
        <v>43705</v>
      </c>
      <c r="Q195" t="s">
        <v>37</v>
      </c>
      <c r="R195" t="s">
        <v>914</v>
      </c>
      <c r="S195" t="s">
        <v>37</v>
      </c>
      <c r="W195">
        <v>0</v>
      </c>
      <c r="Z195">
        <v>0</v>
      </c>
    </row>
    <row r="196" spans="1:26" x14ac:dyDescent="0.2">
      <c r="A196">
        <v>11797471</v>
      </c>
      <c r="B196" t="s">
        <v>915</v>
      </c>
      <c r="C196" t="s">
        <v>916</v>
      </c>
      <c r="D196" t="s">
        <v>917</v>
      </c>
      <c r="F196" t="str">
        <f>"1594203288"</f>
        <v>1594203288</v>
      </c>
      <c r="G196" t="str">
        <f>"9781594203282"</f>
        <v>9781594203282</v>
      </c>
      <c r="H196">
        <v>0</v>
      </c>
      <c r="I196">
        <v>4.16</v>
      </c>
      <c r="J196" t="s">
        <v>73</v>
      </c>
      <c r="K196" t="s">
        <v>49</v>
      </c>
      <c r="L196">
        <v>432</v>
      </c>
      <c r="M196">
        <v>2012</v>
      </c>
      <c r="N196">
        <v>2012</v>
      </c>
      <c r="P196" s="1">
        <v>43705</v>
      </c>
      <c r="Q196" t="s">
        <v>37</v>
      </c>
      <c r="R196" t="s">
        <v>918</v>
      </c>
      <c r="S196" t="s">
        <v>37</v>
      </c>
      <c r="W196">
        <v>0</v>
      </c>
      <c r="Z196">
        <v>0</v>
      </c>
    </row>
    <row r="197" spans="1:26" x14ac:dyDescent="0.2">
      <c r="A197">
        <v>60180</v>
      </c>
      <c r="B197" t="s">
        <v>919</v>
      </c>
      <c r="C197" t="s">
        <v>920</v>
      </c>
      <c r="D197" t="s">
        <v>921</v>
      </c>
      <c r="F197" t="str">
        <f>"0316084468"</f>
        <v>0316084468</v>
      </c>
      <c r="G197" t="str">
        <f>"9780316084468"</f>
        <v>9780316084468</v>
      </c>
      <c r="H197">
        <v>0</v>
      </c>
      <c r="I197">
        <v>4.3499999999999996</v>
      </c>
      <c r="J197" t="s">
        <v>922</v>
      </c>
      <c r="K197" t="s">
        <v>36</v>
      </c>
      <c r="L197">
        <v>340</v>
      </c>
      <c r="M197">
        <v>1997</v>
      </c>
      <c r="N197">
        <v>1996</v>
      </c>
      <c r="P197" s="1">
        <v>43705</v>
      </c>
      <c r="Q197" t="s">
        <v>37</v>
      </c>
      <c r="R197" t="s">
        <v>923</v>
      </c>
      <c r="S197" t="s">
        <v>37</v>
      </c>
      <c r="W197">
        <v>0</v>
      </c>
      <c r="Z197">
        <v>0</v>
      </c>
    </row>
    <row r="198" spans="1:26" x14ac:dyDescent="0.2">
      <c r="A198">
        <v>1282817</v>
      </c>
      <c r="B198" t="s">
        <v>924</v>
      </c>
      <c r="C198" t="s">
        <v>925</v>
      </c>
      <c r="D198" t="s">
        <v>926</v>
      </c>
      <c r="E198" t="s">
        <v>927</v>
      </c>
      <c r="F198" t="str">
        <f>"0906026245"</f>
        <v>0906026245</v>
      </c>
      <c r="G198" t="str">
        <f>"9780906026243"</f>
        <v>9780906026243</v>
      </c>
      <c r="H198">
        <v>0</v>
      </c>
      <c r="I198">
        <v>4.5</v>
      </c>
      <c r="J198" t="s">
        <v>928</v>
      </c>
      <c r="K198" t="s">
        <v>49</v>
      </c>
      <c r="L198">
        <v>232</v>
      </c>
      <c r="M198">
        <v>2003</v>
      </c>
      <c r="N198">
        <v>1990</v>
      </c>
      <c r="P198" s="1">
        <v>43705</v>
      </c>
      <c r="Q198" t="s">
        <v>37</v>
      </c>
      <c r="R198" t="s">
        <v>929</v>
      </c>
      <c r="S198" t="s">
        <v>37</v>
      </c>
      <c r="W198">
        <v>0</v>
      </c>
      <c r="Z198">
        <v>0</v>
      </c>
    </row>
    <row r="199" spans="1:26" x14ac:dyDescent="0.2">
      <c r="A199">
        <v>78895</v>
      </c>
      <c r="B199" t="s">
        <v>930</v>
      </c>
      <c r="C199" t="s">
        <v>931</v>
      </c>
      <c r="D199" t="s">
        <v>932</v>
      </c>
      <c r="F199" t="str">
        <f>"0679762876"</f>
        <v>0679762876</v>
      </c>
      <c r="G199" t="str">
        <f>"9780679762874"</f>
        <v>9780679762874</v>
      </c>
      <c r="H199">
        <v>0</v>
      </c>
      <c r="I199">
        <v>3.93</v>
      </c>
      <c r="J199" t="s">
        <v>314</v>
      </c>
      <c r="K199" t="s">
        <v>36</v>
      </c>
      <c r="L199">
        <v>288</v>
      </c>
      <c r="M199">
        <v>1995</v>
      </c>
      <c r="N199">
        <v>1980</v>
      </c>
      <c r="P199" s="1">
        <v>43705</v>
      </c>
      <c r="Q199" t="s">
        <v>37</v>
      </c>
      <c r="R199" t="s">
        <v>933</v>
      </c>
      <c r="S199" t="s">
        <v>37</v>
      </c>
      <c r="W199">
        <v>0</v>
      </c>
      <c r="Z199">
        <v>0</v>
      </c>
    </row>
    <row r="200" spans="1:26" x14ac:dyDescent="0.2">
      <c r="A200">
        <v>327742</v>
      </c>
      <c r="B200" t="s">
        <v>934</v>
      </c>
      <c r="C200" t="s">
        <v>935</v>
      </c>
      <c r="D200" t="s">
        <v>936</v>
      </c>
      <c r="F200" t="str">
        <f>"0140132716"</f>
        <v>0140132716</v>
      </c>
      <c r="G200" t="str">
        <f>"9780140132717"</f>
        <v>9780140132717</v>
      </c>
      <c r="H200">
        <v>0</v>
      </c>
      <c r="I200">
        <v>4.43</v>
      </c>
      <c r="J200" t="s">
        <v>937</v>
      </c>
      <c r="K200" t="s">
        <v>36</v>
      </c>
      <c r="L200">
        <v>576</v>
      </c>
      <c r="M200">
        <v>2004</v>
      </c>
      <c r="N200">
        <v>1949</v>
      </c>
      <c r="P200" s="1">
        <v>43705</v>
      </c>
      <c r="Q200" t="s">
        <v>37</v>
      </c>
      <c r="R200" t="s">
        <v>938</v>
      </c>
      <c r="S200" t="s">
        <v>37</v>
      </c>
      <c r="W200">
        <v>0</v>
      </c>
      <c r="Z200">
        <v>0</v>
      </c>
    </row>
    <row r="201" spans="1:26" x14ac:dyDescent="0.2">
      <c r="A201">
        <v>118139</v>
      </c>
      <c r="B201" t="s">
        <v>939</v>
      </c>
      <c r="C201" t="s">
        <v>940</v>
      </c>
      <c r="D201" t="s">
        <v>941</v>
      </c>
      <c r="F201" t="str">
        <f>"0864427654"</f>
        <v>0864427654</v>
      </c>
      <c r="G201" t="str">
        <f>"9780864427656"</f>
        <v>9780864427656</v>
      </c>
      <c r="H201">
        <v>0</v>
      </c>
      <c r="I201">
        <v>4.2</v>
      </c>
      <c r="J201" t="s">
        <v>942</v>
      </c>
      <c r="K201" t="s">
        <v>36</v>
      </c>
      <c r="L201">
        <v>276</v>
      </c>
      <c r="M201">
        <v>2005</v>
      </c>
      <c r="N201">
        <v>1971</v>
      </c>
      <c r="P201" s="1">
        <v>43705</v>
      </c>
      <c r="Q201" t="s">
        <v>37</v>
      </c>
      <c r="R201" t="s">
        <v>943</v>
      </c>
      <c r="S201" t="s">
        <v>37</v>
      </c>
      <c r="W201">
        <v>0</v>
      </c>
      <c r="Z201">
        <v>0</v>
      </c>
    </row>
    <row r="202" spans="1:26" x14ac:dyDescent="0.2">
      <c r="A202">
        <v>116729</v>
      </c>
      <c r="B202" t="s">
        <v>944</v>
      </c>
      <c r="C202" t="s">
        <v>945</v>
      </c>
      <c r="D202" t="s">
        <v>946</v>
      </c>
      <c r="E202" t="s">
        <v>947</v>
      </c>
      <c r="F202" t="str">
        <f>"0688089267"</f>
        <v>0688089267</v>
      </c>
      <c r="G202" t="str">
        <f>"9780688089269"</f>
        <v>9780688089269</v>
      </c>
      <c r="H202">
        <v>0</v>
      </c>
      <c r="I202">
        <v>4.12</v>
      </c>
      <c r="J202" t="s">
        <v>948</v>
      </c>
      <c r="K202" t="s">
        <v>49</v>
      </c>
      <c r="L202">
        <v>301</v>
      </c>
      <c r="M202">
        <v>1989</v>
      </c>
      <c r="N202">
        <v>1988</v>
      </c>
      <c r="P202" s="1">
        <v>43705</v>
      </c>
      <c r="Q202" t="s">
        <v>37</v>
      </c>
      <c r="R202" t="s">
        <v>949</v>
      </c>
      <c r="S202" t="s">
        <v>37</v>
      </c>
      <c r="W202">
        <v>0</v>
      </c>
      <c r="Z202">
        <v>0</v>
      </c>
    </row>
    <row r="203" spans="1:26" x14ac:dyDescent="0.2">
      <c r="A203">
        <v>13687366</v>
      </c>
      <c r="B203" t="s">
        <v>950</v>
      </c>
      <c r="C203" t="s">
        <v>951</v>
      </c>
      <c r="D203" t="s">
        <v>952</v>
      </c>
      <c r="F203" t="str">
        <f>"0195396219"</f>
        <v>0195396219</v>
      </c>
      <c r="G203" t="str">
        <f>"9780195396218"</f>
        <v>9780195396218</v>
      </c>
      <c r="H203">
        <v>0</v>
      </c>
      <c r="I203">
        <v>3.81</v>
      </c>
      <c r="J203" t="s">
        <v>451</v>
      </c>
      <c r="K203" t="s">
        <v>36</v>
      </c>
      <c r="L203">
        <v>528</v>
      </c>
      <c r="M203">
        <v>2012</v>
      </c>
      <c r="N203">
        <v>1997</v>
      </c>
      <c r="P203" s="1">
        <v>43705</v>
      </c>
      <c r="Q203" t="s">
        <v>37</v>
      </c>
      <c r="R203" t="s">
        <v>953</v>
      </c>
      <c r="S203" t="s">
        <v>37</v>
      </c>
      <c r="W203">
        <v>0</v>
      </c>
      <c r="Z203">
        <v>0</v>
      </c>
    </row>
    <row r="204" spans="1:26" x14ac:dyDescent="0.2">
      <c r="A204">
        <v>34225896</v>
      </c>
      <c r="B204" t="s">
        <v>954</v>
      </c>
      <c r="C204" t="s">
        <v>955</v>
      </c>
      <c r="D204" t="s">
        <v>956</v>
      </c>
      <c r="F204" t="str">
        <f>""</f>
        <v/>
      </c>
      <c r="G204" t="str">
        <f>""</f>
        <v/>
      </c>
      <c r="H204">
        <v>0</v>
      </c>
      <c r="I204">
        <v>3.62</v>
      </c>
      <c r="J204" t="s">
        <v>957</v>
      </c>
      <c r="K204" t="s">
        <v>62</v>
      </c>
      <c r="L204">
        <v>792</v>
      </c>
      <c r="M204">
        <v>2017</v>
      </c>
      <c r="P204" s="1">
        <v>43705</v>
      </c>
      <c r="Q204" t="s">
        <v>37</v>
      </c>
      <c r="R204" t="s">
        <v>958</v>
      </c>
      <c r="S204" t="s">
        <v>37</v>
      </c>
      <c r="W204">
        <v>0</v>
      </c>
      <c r="Z204">
        <v>0</v>
      </c>
    </row>
    <row r="205" spans="1:26" x14ac:dyDescent="0.2">
      <c r="A205">
        <v>118927</v>
      </c>
      <c r="B205" t="s">
        <v>959</v>
      </c>
      <c r="C205" t="s">
        <v>960</v>
      </c>
      <c r="D205" t="s">
        <v>961</v>
      </c>
      <c r="F205" t="str">
        <f>"0374529809"</f>
        <v>0374529809</v>
      </c>
      <c r="G205" t="str">
        <f>"9780374529802"</f>
        <v>9780374529802</v>
      </c>
      <c r="H205">
        <v>0</v>
      </c>
      <c r="I205">
        <v>3.89</v>
      </c>
      <c r="J205" t="s">
        <v>500</v>
      </c>
      <c r="K205" t="s">
        <v>36</v>
      </c>
      <c r="L205">
        <v>880</v>
      </c>
      <c r="M205">
        <v>2005</v>
      </c>
      <c r="N205">
        <v>2004</v>
      </c>
      <c r="P205" s="1">
        <v>43705</v>
      </c>
      <c r="Q205" t="s">
        <v>37</v>
      </c>
      <c r="R205" t="s">
        <v>962</v>
      </c>
      <c r="S205" t="s">
        <v>37</v>
      </c>
      <c r="W205">
        <v>0</v>
      </c>
      <c r="Z205">
        <v>0</v>
      </c>
    </row>
    <row r="206" spans="1:26" x14ac:dyDescent="0.2">
      <c r="A206">
        <v>13578224</v>
      </c>
      <c r="B206" t="s">
        <v>963</v>
      </c>
      <c r="C206" t="s">
        <v>964</v>
      </c>
      <c r="D206" t="s">
        <v>965</v>
      </c>
      <c r="E206" t="s">
        <v>966</v>
      </c>
      <c r="F206" t="str">
        <f>""</f>
        <v/>
      </c>
      <c r="G206" t="str">
        <f>"9788244200400"</f>
        <v>9788244200400</v>
      </c>
      <c r="H206">
        <v>0</v>
      </c>
      <c r="I206">
        <v>4.1399999999999997</v>
      </c>
      <c r="N206">
        <v>2008</v>
      </c>
      <c r="P206" s="1">
        <v>43702</v>
      </c>
      <c r="Q206" t="s">
        <v>74</v>
      </c>
      <c r="R206" t="s">
        <v>967</v>
      </c>
      <c r="S206" t="s">
        <v>74</v>
      </c>
      <c r="W206">
        <v>1</v>
      </c>
      <c r="Z206">
        <v>0</v>
      </c>
    </row>
    <row r="207" spans="1:26" x14ac:dyDescent="0.2">
      <c r="A207">
        <v>16158493</v>
      </c>
      <c r="B207" t="s">
        <v>968</v>
      </c>
      <c r="C207" t="s">
        <v>969</v>
      </c>
      <c r="D207" t="s">
        <v>970</v>
      </c>
      <c r="F207" t="str">
        <f>"1591845556"</f>
        <v>1591845556</v>
      </c>
      <c r="G207" t="str">
        <f>"9781591845553"</f>
        <v>9781591845553</v>
      </c>
      <c r="H207">
        <v>0</v>
      </c>
      <c r="I207">
        <v>3.47</v>
      </c>
      <c r="J207" t="s">
        <v>971</v>
      </c>
      <c r="K207" t="s">
        <v>49</v>
      </c>
      <c r="L207">
        <v>288</v>
      </c>
      <c r="M207">
        <v>2013</v>
      </c>
      <c r="N207">
        <v>2013</v>
      </c>
      <c r="P207" s="1">
        <v>43702</v>
      </c>
      <c r="Q207" t="s">
        <v>37</v>
      </c>
      <c r="R207" t="s">
        <v>972</v>
      </c>
      <c r="S207" t="s">
        <v>37</v>
      </c>
      <c r="W207">
        <v>0</v>
      </c>
      <c r="Z207">
        <v>0</v>
      </c>
    </row>
    <row r="208" spans="1:26" x14ac:dyDescent="0.2">
      <c r="A208">
        <v>221267</v>
      </c>
      <c r="B208" t="s">
        <v>973</v>
      </c>
      <c r="C208" t="s">
        <v>974</v>
      </c>
      <c r="D208" t="s">
        <v>975</v>
      </c>
      <c r="F208" t="str">
        <f>"0671024396"</f>
        <v>0671024396</v>
      </c>
      <c r="G208" t="str">
        <f>"9780671024390"</f>
        <v>9780671024390</v>
      </c>
      <c r="H208">
        <v>0</v>
      </c>
      <c r="I208">
        <v>3.92</v>
      </c>
      <c r="J208" t="s">
        <v>976</v>
      </c>
      <c r="K208" t="s">
        <v>36</v>
      </c>
      <c r="L208">
        <v>304</v>
      </c>
      <c r="M208">
        <v>1998</v>
      </c>
      <c r="N208">
        <v>1998</v>
      </c>
      <c r="P208" s="1">
        <v>43702</v>
      </c>
      <c r="Q208" t="s">
        <v>37</v>
      </c>
      <c r="R208" t="s">
        <v>977</v>
      </c>
      <c r="S208" t="s">
        <v>37</v>
      </c>
      <c r="W208">
        <v>0</v>
      </c>
      <c r="Z208">
        <v>0</v>
      </c>
    </row>
    <row r="209" spans="1:26" x14ac:dyDescent="0.2">
      <c r="A209">
        <v>90578</v>
      </c>
      <c r="B209" t="s">
        <v>978</v>
      </c>
      <c r="C209" t="s">
        <v>974</v>
      </c>
      <c r="D209" t="s">
        <v>975</v>
      </c>
      <c r="F209" t="str">
        <f>"0671024418"</f>
        <v>0671024418</v>
      </c>
      <c r="G209" t="str">
        <f>"9780671024413"</f>
        <v>9780671024413</v>
      </c>
      <c r="H209">
        <v>0</v>
      </c>
      <c r="I209">
        <v>4.04</v>
      </c>
      <c r="J209" t="s">
        <v>976</v>
      </c>
      <c r="K209" t="s">
        <v>36</v>
      </c>
      <c r="L209">
        <v>352</v>
      </c>
      <c r="M209">
        <v>1999</v>
      </c>
      <c r="N209">
        <v>1999</v>
      </c>
      <c r="P209" s="1">
        <v>43702</v>
      </c>
      <c r="Q209" t="s">
        <v>37</v>
      </c>
      <c r="R209" t="s">
        <v>979</v>
      </c>
      <c r="S209" t="s">
        <v>37</v>
      </c>
      <c r="W209">
        <v>0</v>
      </c>
      <c r="Z209">
        <v>0</v>
      </c>
    </row>
    <row r="210" spans="1:26" x14ac:dyDescent="0.2">
      <c r="A210">
        <v>870819</v>
      </c>
      <c r="B210" t="s">
        <v>980</v>
      </c>
      <c r="C210" t="s">
        <v>974</v>
      </c>
      <c r="D210" t="s">
        <v>975</v>
      </c>
      <c r="F210" t="str">
        <f>"067178496X"</f>
        <v>067178496X</v>
      </c>
      <c r="G210" t="str">
        <f>"9780671784966"</f>
        <v>9780671784966</v>
      </c>
      <c r="H210">
        <v>0</v>
      </c>
      <c r="I210">
        <v>3.99</v>
      </c>
      <c r="J210" t="s">
        <v>976</v>
      </c>
      <c r="K210" t="s">
        <v>36</v>
      </c>
      <c r="L210">
        <v>288</v>
      </c>
      <c r="M210">
        <v>2000</v>
      </c>
      <c r="N210">
        <v>2000</v>
      </c>
      <c r="P210" s="1">
        <v>43702</v>
      </c>
      <c r="Q210" t="s">
        <v>37</v>
      </c>
      <c r="R210" t="s">
        <v>981</v>
      </c>
      <c r="S210" t="s">
        <v>37</v>
      </c>
      <c r="W210">
        <v>0</v>
      </c>
      <c r="Z210">
        <v>0</v>
      </c>
    </row>
    <row r="211" spans="1:26" x14ac:dyDescent="0.2">
      <c r="A211">
        <v>221269</v>
      </c>
      <c r="B211" t="s">
        <v>982</v>
      </c>
      <c r="C211" t="s">
        <v>974</v>
      </c>
      <c r="D211" t="s">
        <v>975</v>
      </c>
      <c r="F211" t="str">
        <f>"067102440X"</f>
        <v>067102440X</v>
      </c>
      <c r="G211" t="str">
        <f>"9780671024406"</f>
        <v>9780671024406</v>
      </c>
      <c r="H211">
        <v>0</v>
      </c>
      <c r="I211">
        <v>3.64</v>
      </c>
      <c r="J211" t="s">
        <v>976</v>
      </c>
      <c r="K211" t="s">
        <v>36</v>
      </c>
      <c r="L211">
        <v>256</v>
      </c>
      <c r="M211">
        <v>1998</v>
      </c>
      <c r="N211">
        <v>1998</v>
      </c>
      <c r="P211" s="1">
        <v>43702</v>
      </c>
      <c r="Q211" t="s">
        <v>37</v>
      </c>
      <c r="R211" t="s">
        <v>983</v>
      </c>
      <c r="S211" t="s">
        <v>37</v>
      </c>
      <c r="W211">
        <v>0</v>
      </c>
      <c r="Z211">
        <v>0</v>
      </c>
    </row>
    <row r="212" spans="1:26" x14ac:dyDescent="0.2">
      <c r="A212">
        <v>221268</v>
      </c>
      <c r="B212" t="s">
        <v>984</v>
      </c>
      <c r="C212" t="s">
        <v>974</v>
      </c>
      <c r="D212" t="s">
        <v>975</v>
      </c>
      <c r="F212" t="str">
        <f>"0671024426"</f>
        <v>0671024426</v>
      </c>
      <c r="G212" t="str">
        <f>"9780671024420"</f>
        <v>9780671024420</v>
      </c>
      <c r="H212">
        <v>0</v>
      </c>
      <c r="I212">
        <v>3.76</v>
      </c>
      <c r="J212" t="s">
        <v>976</v>
      </c>
      <c r="K212" t="s">
        <v>36</v>
      </c>
      <c r="L212">
        <v>256</v>
      </c>
      <c r="M212">
        <v>1999</v>
      </c>
      <c r="N212">
        <v>1999</v>
      </c>
      <c r="P212" s="1">
        <v>43702</v>
      </c>
      <c r="Q212" t="s">
        <v>37</v>
      </c>
      <c r="R212" t="s">
        <v>985</v>
      </c>
      <c r="S212" t="s">
        <v>37</v>
      </c>
      <c r="W212">
        <v>0</v>
      </c>
      <c r="Z212">
        <v>0</v>
      </c>
    </row>
    <row r="213" spans="1:26" x14ac:dyDescent="0.2">
      <c r="A213">
        <v>221271</v>
      </c>
      <c r="B213" t="s">
        <v>986</v>
      </c>
      <c r="C213" t="s">
        <v>974</v>
      </c>
      <c r="D213" t="s">
        <v>975</v>
      </c>
      <c r="F213" t="str">
        <f>"0671784986"</f>
        <v>0671784986</v>
      </c>
      <c r="G213" t="str">
        <f>"9780671784980"</f>
        <v>9780671784980</v>
      </c>
      <c r="H213">
        <v>0</v>
      </c>
      <c r="I213">
        <v>3.92</v>
      </c>
      <c r="J213" t="s">
        <v>987</v>
      </c>
      <c r="K213" t="s">
        <v>36</v>
      </c>
      <c r="L213">
        <v>256</v>
      </c>
      <c r="M213">
        <v>2001</v>
      </c>
      <c r="N213">
        <v>2001</v>
      </c>
      <c r="P213" s="1">
        <v>43702</v>
      </c>
      <c r="Q213" t="s">
        <v>37</v>
      </c>
      <c r="R213" t="s">
        <v>988</v>
      </c>
      <c r="S213" t="s">
        <v>37</v>
      </c>
      <c r="W213">
        <v>0</v>
      </c>
      <c r="Z213">
        <v>0</v>
      </c>
    </row>
    <row r="214" spans="1:26" x14ac:dyDescent="0.2">
      <c r="A214">
        <v>140479</v>
      </c>
      <c r="B214" t="s">
        <v>989</v>
      </c>
      <c r="C214" t="s">
        <v>974</v>
      </c>
      <c r="D214" t="s">
        <v>975</v>
      </c>
      <c r="F214" t="str">
        <f>"0671785117"</f>
        <v>0671785117</v>
      </c>
      <c r="G214" t="str">
        <f>"9780671785116"</f>
        <v>9780671785116</v>
      </c>
      <c r="H214">
        <v>0</v>
      </c>
      <c r="I214">
        <v>3.88</v>
      </c>
      <c r="J214" t="s">
        <v>990</v>
      </c>
      <c r="K214" t="s">
        <v>36</v>
      </c>
      <c r="L214">
        <v>288</v>
      </c>
      <c r="M214">
        <v>2004</v>
      </c>
      <c r="N214">
        <v>2004</v>
      </c>
      <c r="P214" s="1">
        <v>43702</v>
      </c>
      <c r="Q214" t="s">
        <v>37</v>
      </c>
      <c r="R214" t="s">
        <v>991</v>
      </c>
      <c r="S214" t="s">
        <v>37</v>
      </c>
      <c r="W214">
        <v>0</v>
      </c>
      <c r="Z214">
        <v>0</v>
      </c>
    </row>
    <row r="215" spans="1:26" x14ac:dyDescent="0.2">
      <c r="A215">
        <v>2714607</v>
      </c>
      <c r="B215" t="s">
        <v>992</v>
      </c>
      <c r="C215" t="s">
        <v>71</v>
      </c>
      <c r="D215" t="s">
        <v>72</v>
      </c>
      <c r="F215" t="str">
        <f>"1594201927"</f>
        <v>1594201927</v>
      </c>
      <c r="G215" t="str">
        <f>"9781594201929"</f>
        <v>9781594201929</v>
      </c>
      <c r="H215">
        <v>0</v>
      </c>
      <c r="I215">
        <v>3.9</v>
      </c>
      <c r="J215" t="s">
        <v>73</v>
      </c>
      <c r="K215" t="s">
        <v>49</v>
      </c>
      <c r="L215">
        <v>442</v>
      </c>
      <c r="M215">
        <v>2008</v>
      </c>
      <c r="N215">
        <v>2007</v>
      </c>
      <c r="P215" s="1">
        <v>43702</v>
      </c>
      <c r="Q215" t="s">
        <v>37</v>
      </c>
      <c r="R215" t="s">
        <v>993</v>
      </c>
      <c r="S215" t="s">
        <v>37</v>
      </c>
      <c r="W215">
        <v>0</v>
      </c>
      <c r="Z215">
        <v>0</v>
      </c>
    </row>
    <row r="216" spans="1:26" x14ac:dyDescent="0.2">
      <c r="A216">
        <v>25329850</v>
      </c>
      <c r="B216" t="s">
        <v>994</v>
      </c>
      <c r="C216" t="s">
        <v>428</v>
      </c>
      <c r="D216" t="s">
        <v>429</v>
      </c>
      <c r="F216" t="str">
        <f>"0544668251"</f>
        <v>0544668251</v>
      </c>
      <c r="G216" t="str">
        <f>"9780544668256"</f>
        <v>9780544668256</v>
      </c>
      <c r="H216">
        <v>0</v>
      </c>
      <c r="I216">
        <v>4.1500000000000004</v>
      </c>
      <c r="J216" t="s">
        <v>430</v>
      </c>
      <c r="K216" t="s">
        <v>49</v>
      </c>
      <c r="L216">
        <v>64</v>
      </c>
      <c r="M216">
        <v>2015</v>
      </c>
      <c r="N216">
        <v>2015</v>
      </c>
      <c r="P216" s="1">
        <v>43702</v>
      </c>
      <c r="Q216" t="s">
        <v>37</v>
      </c>
      <c r="R216" t="s">
        <v>995</v>
      </c>
      <c r="S216" t="s">
        <v>37</v>
      </c>
      <c r="W216">
        <v>0</v>
      </c>
      <c r="Z216">
        <v>0</v>
      </c>
    </row>
    <row r="217" spans="1:26" x14ac:dyDescent="0.2">
      <c r="A217">
        <v>463297</v>
      </c>
      <c r="B217" t="s">
        <v>996</v>
      </c>
      <c r="C217" t="s">
        <v>878</v>
      </c>
      <c r="D217" t="s">
        <v>879</v>
      </c>
      <c r="F217" t="str">
        <f>"0060596554"</f>
        <v>0060596554</v>
      </c>
      <c r="G217" t="str">
        <f>"9780060596552"</f>
        <v>9780060596552</v>
      </c>
      <c r="H217">
        <v>0</v>
      </c>
      <c r="I217">
        <v>3.98</v>
      </c>
      <c r="J217" t="s">
        <v>189</v>
      </c>
      <c r="K217" t="s">
        <v>36</v>
      </c>
      <c r="L217">
        <v>376</v>
      </c>
      <c r="M217">
        <v>2005</v>
      </c>
      <c r="N217">
        <v>1927</v>
      </c>
      <c r="P217" s="1">
        <v>43702</v>
      </c>
      <c r="Q217" t="s">
        <v>37</v>
      </c>
      <c r="R217" t="s">
        <v>997</v>
      </c>
      <c r="S217" t="s">
        <v>37</v>
      </c>
      <c r="W217">
        <v>0</v>
      </c>
      <c r="Z217">
        <v>0</v>
      </c>
    </row>
    <row r="218" spans="1:26" x14ac:dyDescent="0.2">
      <c r="A218">
        <v>385</v>
      </c>
      <c r="B218" t="s">
        <v>998</v>
      </c>
      <c r="C218" t="s">
        <v>999</v>
      </c>
      <c r="D218" t="s">
        <v>1000</v>
      </c>
      <c r="F218" t="str">
        <f>"0691122946"</f>
        <v>0691122946</v>
      </c>
      <c r="G218" t="str">
        <f>"9780691122946"</f>
        <v>9780691122946</v>
      </c>
      <c r="H218">
        <v>0</v>
      </c>
      <c r="I218">
        <v>3.57</v>
      </c>
      <c r="J218" t="s">
        <v>565</v>
      </c>
      <c r="K218" t="s">
        <v>49</v>
      </c>
      <c r="L218">
        <v>67</v>
      </c>
      <c r="M218">
        <v>2005</v>
      </c>
      <c r="N218">
        <v>1986</v>
      </c>
      <c r="P218" s="1">
        <v>43702</v>
      </c>
      <c r="Q218" t="s">
        <v>37</v>
      </c>
      <c r="R218" t="s">
        <v>1001</v>
      </c>
      <c r="S218" t="s">
        <v>37</v>
      </c>
      <c r="W218">
        <v>0</v>
      </c>
      <c r="Z218">
        <v>0</v>
      </c>
    </row>
    <row r="219" spans="1:26" x14ac:dyDescent="0.2">
      <c r="A219">
        <v>6084575</v>
      </c>
      <c r="B219" t="s">
        <v>1002</v>
      </c>
      <c r="C219" t="s">
        <v>1003</v>
      </c>
      <c r="D219" t="s">
        <v>1004</v>
      </c>
      <c r="F219" t="str">
        <f>"0465041957"</f>
        <v>0465041957</v>
      </c>
      <c r="G219" t="str">
        <f>"9780465041954"</f>
        <v>9780465041954</v>
      </c>
      <c r="H219">
        <v>0</v>
      </c>
      <c r="I219">
        <v>3.56</v>
      </c>
      <c r="J219" t="s">
        <v>176</v>
      </c>
      <c r="K219" t="s">
        <v>49</v>
      </c>
      <c r="L219">
        <v>448</v>
      </c>
      <c r="M219">
        <v>2000</v>
      </c>
      <c r="N219">
        <v>2000</v>
      </c>
      <c r="P219" s="1">
        <v>43702</v>
      </c>
      <c r="Q219" t="s">
        <v>37</v>
      </c>
      <c r="R219" t="s">
        <v>1005</v>
      </c>
      <c r="S219" t="s">
        <v>37</v>
      </c>
      <c r="W219">
        <v>0</v>
      </c>
      <c r="Z219">
        <v>0</v>
      </c>
    </row>
    <row r="220" spans="1:26" x14ac:dyDescent="0.2">
      <c r="A220">
        <v>19244102</v>
      </c>
      <c r="B220" t="s">
        <v>1006</v>
      </c>
      <c r="C220" t="s">
        <v>1007</v>
      </c>
      <c r="D220" t="s">
        <v>1008</v>
      </c>
      <c r="F220" t="str">
        <f>""</f>
        <v/>
      </c>
      <c r="G220" t="str">
        <f>""</f>
        <v/>
      </c>
      <c r="H220">
        <v>0</v>
      </c>
      <c r="I220">
        <v>4.25</v>
      </c>
      <c r="J220" t="s">
        <v>514</v>
      </c>
      <c r="K220" t="s">
        <v>62</v>
      </c>
      <c r="L220">
        <v>205</v>
      </c>
      <c r="M220">
        <v>2012</v>
      </c>
      <c r="N220">
        <v>1979</v>
      </c>
      <c r="P220" s="1">
        <v>43702</v>
      </c>
      <c r="Q220" t="s">
        <v>37</v>
      </c>
      <c r="R220" t="s">
        <v>1009</v>
      </c>
      <c r="S220" t="s">
        <v>37</v>
      </c>
      <c r="W220">
        <v>0</v>
      </c>
      <c r="Z220">
        <v>0</v>
      </c>
    </row>
    <row r="221" spans="1:26" x14ac:dyDescent="0.2">
      <c r="A221">
        <v>25852784</v>
      </c>
      <c r="B221" t="s">
        <v>1010</v>
      </c>
      <c r="C221" t="s">
        <v>1011</v>
      </c>
      <c r="D221" t="s">
        <v>1012</v>
      </c>
      <c r="F221" t="str">
        <f>"0553447432"</f>
        <v>0553447432</v>
      </c>
      <c r="G221" t="str">
        <f>"9780553447439"</f>
        <v>9780553447439</v>
      </c>
      <c r="H221">
        <v>0</v>
      </c>
      <c r="I221">
        <v>4.47</v>
      </c>
      <c r="J221" t="s">
        <v>1013</v>
      </c>
      <c r="K221" t="s">
        <v>49</v>
      </c>
      <c r="L221">
        <v>418</v>
      </c>
      <c r="M221">
        <v>2016</v>
      </c>
      <c r="N221">
        <v>2016</v>
      </c>
      <c r="P221" s="1">
        <v>43702</v>
      </c>
      <c r="Q221" t="s">
        <v>37</v>
      </c>
      <c r="R221" t="s">
        <v>1014</v>
      </c>
      <c r="S221" t="s">
        <v>37</v>
      </c>
      <c r="W221">
        <v>0</v>
      </c>
      <c r="Z221">
        <v>0</v>
      </c>
    </row>
    <row r="222" spans="1:26" x14ac:dyDescent="0.2">
      <c r="A222">
        <v>13369533</v>
      </c>
      <c r="B222" t="s">
        <v>1015</v>
      </c>
      <c r="C222" t="s">
        <v>1016</v>
      </c>
      <c r="D222" t="s">
        <v>1017</v>
      </c>
      <c r="F222" t="str">
        <f>"0241143810"</f>
        <v>0241143810</v>
      </c>
      <c r="G222" t="str">
        <f>"9780241143810"</f>
        <v>9780241143810</v>
      </c>
      <c r="H222">
        <v>0</v>
      </c>
      <c r="I222">
        <v>4.16</v>
      </c>
      <c r="J222" t="s">
        <v>1018</v>
      </c>
      <c r="K222" t="s">
        <v>49</v>
      </c>
      <c r="L222">
        <v>433</v>
      </c>
      <c r="M222">
        <v>2012</v>
      </c>
      <c r="N222">
        <v>2012</v>
      </c>
      <c r="P222" s="1">
        <v>43702</v>
      </c>
      <c r="Q222" t="s">
        <v>37</v>
      </c>
      <c r="R222" t="s">
        <v>1019</v>
      </c>
      <c r="S222" t="s">
        <v>37</v>
      </c>
      <c r="W222">
        <v>0</v>
      </c>
      <c r="Z222">
        <v>0</v>
      </c>
    </row>
    <row r="223" spans="1:26" x14ac:dyDescent="0.2">
      <c r="A223">
        <v>117031</v>
      </c>
      <c r="B223" t="s">
        <v>1020</v>
      </c>
      <c r="C223" t="s">
        <v>1021</v>
      </c>
      <c r="D223" t="s">
        <v>1022</v>
      </c>
      <c r="E223" t="s">
        <v>1023</v>
      </c>
      <c r="F223" t="str">
        <f>"0691018545"</f>
        <v>0691018545</v>
      </c>
      <c r="G223" t="str">
        <f>"9780691018546"</f>
        <v>9780691018546</v>
      </c>
      <c r="H223">
        <v>0</v>
      </c>
      <c r="I223">
        <v>3.98</v>
      </c>
      <c r="J223" t="s">
        <v>565</v>
      </c>
      <c r="K223" t="s">
        <v>36</v>
      </c>
      <c r="L223">
        <v>752</v>
      </c>
      <c r="M223">
        <v>1989</v>
      </c>
      <c r="N223">
        <v>1832</v>
      </c>
      <c r="P223" s="1">
        <v>43702</v>
      </c>
      <c r="Q223" t="s">
        <v>37</v>
      </c>
      <c r="R223" t="s">
        <v>1024</v>
      </c>
      <c r="S223" t="s">
        <v>37</v>
      </c>
      <c r="W223">
        <v>0</v>
      </c>
      <c r="Z223">
        <v>0</v>
      </c>
    </row>
    <row r="224" spans="1:26" x14ac:dyDescent="0.2">
      <c r="A224">
        <v>108854</v>
      </c>
      <c r="B224" t="s">
        <v>1025</v>
      </c>
      <c r="C224" t="s">
        <v>1026</v>
      </c>
      <c r="D224" t="s">
        <v>1027</v>
      </c>
      <c r="E224" t="s">
        <v>1028</v>
      </c>
      <c r="F224" t="str">
        <f>"0907871046"</f>
        <v>0907871046</v>
      </c>
      <c r="G224" t="str">
        <f>"9780907871040"</f>
        <v>9780907871040</v>
      </c>
      <c r="H224">
        <v>0</v>
      </c>
      <c r="I224">
        <v>3.87</v>
      </c>
      <c r="J224" t="s">
        <v>1029</v>
      </c>
      <c r="K224" t="s">
        <v>36</v>
      </c>
      <c r="L224">
        <v>384</v>
      </c>
      <c r="M224">
        <v>2004</v>
      </c>
      <c r="N224">
        <v>1799</v>
      </c>
      <c r="P224" s="1">
        <v>43702</v>
      </c>
      <c r="Q224" t="s">
        <v>37</v>
      </c>
      <c r="R224" t="s">
        <v>1030</v>
      </c>
      <c r="S224" t="s">
        <v>37</v>
      </c>
      <c r="W224">
        <v>0</v>
      </c>
      <c r="Z224">
        <v>0</v>
      </c>
    </row>
    <row r="225" spans="1:26" x14ac:dyDescent="0.2">
      <c r="A225">
        <v>57936</v>
      </c>
      <c r="B225" t="s">
        <v>1031</v>
      </c>
      <c r="C225" t="s">
        <v>1032</v>
      </c>
      <c r="D225" t="s">
        <v>1033</v>
      </c>
      <c r="F225" t="str">
        <f>"0385418957"</f>
        <v>0385418957</v>
      </c>
      <c r="G225" t="str">
        <f>"9780385418959"</f>
        <v>9780385418959</v>
      </c>
      <c r="H225">
        <v>0</v>
      </c>
      <c r="I225">
        <v>4.01</v>
      </c>
      <c r="J225" t="s">
        <v>107</v>
      </c>
      <c r="K225" t="s">
        <v>36</v>
      </c>
      <c r="L225">
        <v>784</v>
      </c>
      <c r="M225">
        <v>1991</v>
      </c>
      <c r="N225">
        <v>1922</v>
      </c>
      <c r="P225" s="1">
        <v>43702</v>
      </c>
      <c r="Q225" t="s">
        <v>37</v>
      </c>
      <c r="R225" t="s">
        <v>1034</v>
      </c>
      <c r="S225" t="s">
        <v>37</v>
      </c>
      <c r="W225">
        <v>0</v>
      </c>
      <c r="Z225">
        <v>0</v>
      </c>
    </row>
    <row r="226" spans="1:26" x14ac:dyDescent="0.2">
      <c r="A226">
        <v>45700960</v>
      </c>
      <c r="B226" t="s">
        <v>1035</v>
      </c>
      <c r="C226" t="s">
        <v>1036</v>
      </c>
      <c r="D226" t="s">
        <v>1037</v>
      </c>
      <c r="E226" t="s">
        <v>1038</v>
      </c>
      <c r="F226" t="str">
        <f>"1947864157"</f>
        <v>1947864157</v>
      </c>
      <c r="G226" t="str">
        <f>"9781947864153"</f>
        <v>9781947864153</v>
      </c>
      <c r="H226">
        <v>0</v>
      </c>
      <c r="I226">
        <v>3.68</v>
      </c>
      <c r="J226" t="s">
        <v>1039</v>
      </c>
      <c r="K226" t="s">
        <v>36</v>
      </c>
      <c r="L226">
        <v>396</v>
      </c>
      <c r="M226">
        <v>2019</v>
      </c>
      <c r="P226" s="1">
        <v>43702</v>
      </c>
      <c r="Q226" t="s">
        <v>37</v>
      </c>
      <c r="R226" t="s">
        <v>1040</v>
      </c>
      <c r="S226" t="s">
        <v>37</v>
      </c>
      <c r="W226">
        <v>0</v>
      </c>
      <c r="Z226">
        <v>0</v>
      </c>
    </row>
    <row r="227" spans="1:26" x14ac:dyDescent="0.2">
      <c r="A227">
        <v>11387954</v>
      </c>
      <c r="B227" t="s">
        <v>1041</v>
      </c>
      <c r="C227" t="s">
        <v>1042</v>
      </c>
      <c r="D227" t="s">
        <v>1043</v>
      </c>
      <c r="E227" t="s">
        <v>1044</v>
      </c>
      <c r="F227" t="str">
        <f>""</f>
        <v/>
      </c>
      <c r="G227" t="str">
        <f>""</f>
        <v/>
      </c>
      <c r="H227">
        <v>0</v>
      </c>
      <c r="I227">
        <v>3.4</v>
      </c>
      <c r="K227" t="s">
        <v>62</v>
      </c>
      <c r="N227">
        <v>2014</v>
      </c>
      <c r="P227" s="1">
        <v>43702</v>
      </c>
      <c r="Q227" t="s">
        <v>37</v>
      </c>
      <c r="R227" t="s">
        <v>1045</v>
      </c>
      <c r="S227" t="s">
        <v>37</v>
      </c>
      <c r="W227">
        <v>0</v>
      </c>
      <c r="Z227">
        <v>0</v>
      </c>
    </row>
    <row r="228" spans="1:26" x14ac:dyDescent="0.2">
      <c r="A228">
        <v>6304874</v>
      </c>
      <c r="B228" t="s">
        <v>1046</v>
      </c>
      <c r="C228" t="s">
        <v>1042</v>
      </c>
      <c r="D228" t="s">
        <v>1043</v>
      </c>
      <c r="E228" t="s">
        <v>1047</v>
      </c>
      <c r="F228" t="str">
        <f>""</f>
        <v/>
      </c>
      <c r="G228" t="str">
        <f>""</f>
        <v/>
      </c>
      <c r="H228">
        <v>0</v>
      </c>
      <c r="I228">
        <v>3.61</v>
      </c>
      <c r="J228" t="s">
        <v>1048</v>
      </c>
      <c r="K228" t="s">
        <v>62</v>
      </c>
      <c r="L228">
        <v>874</v>
      </c>
      <c r="N228">
        <v>1285</v>
      </c>
      <c r="P228" s="1">
        <v>43702</v>
      </c>
      <c r="Q228" t="s">
        <v>37</v>
      </c>
      <c r="R228" t="s">
        <v>1049</v>
      </c>
      <c r="S228" t="s">
        <v>37</v>
      </c>
      <c r="W228">
        <v>0</v>
      </c>
      <c r="Z228">
        <v>0</v>
      </c>
    </row>
    <row r="229" spans="1:26" x14ac:dyDescent="0.2">
      <c r="A229">
        <v>270032</v>
      </c>
      <c r="B229" t="s">
        <v>1050</v>
      </c>
      <c r="C229" t="s">
        <v>1051</v>
      </c>
      <c r="D229" t="s">
        <v>1052</v>
      </c>
      <c r="F229" t="str">
        <f>"0874778883"</f>
        <v>0874778883</v>
      </c>
      <c r="G229" t="str">
        <f>"9780874778885"</f>
        <v>9780874778885</v>
      </c>
      <c r="H229">
        <v>0</v>
      </c>
      <c r="I229">
        <v>4.08</v>
      </c>
      <c r="J229" t="s">
        <v>1053</v>
      </c>
      <c r="K229" t="s">
        <v>36</v>
      </c>
      <c r="L229">
        <v>330</v>
      </c>
      <c r="M229">
        <v>1997</v>
      </c>
      <c r="N229">
        <v>1953</v>
      </c>
      <c r="P229" s="1">
        <v>43702</v>
      </c>
      <c r="Q229" t="s">
        <v>37</v>
      </c>
      <c r="R229" t="s">
        <v>1054</v>
      </c>
      <c r="S229" t="s">
        <v>37</v>
      </c>
      <c r="W229">
        <v>0</v>
      </c>
      <c r="Z229">
        <v>0</v>
      </c>
    </row>
    <row r="230" spans="1:26" x14ac:dyDescent="0.2">
      <c r="A230">
        <v>13542772</v>
      </c>
      <c r="B230" t="s">
        <v>1055</v>
      </c>
      <c r="C230" t="s">
        <v>1056</v>
      </c>
      <c r="D230" t="s">
        <v>1057</v>
      </c>
      <c r="F230" t="str">
        <f>"1591844924"</f>
        <v>1591844924</v>
      </c>
      <c r="G230" t="str">
        <f>"9781591844921"</f>
        <v>9781591844921</v>
      </c>
      <c r="H230">
        <v>0</v>
      </c>
      <c r="I230">
        <v>3.83</v>
      </c>
      <c r="J230" t="s">
        <v>971</v>
      </c>
      <c r="K230" t="s">
        <v>49</v>
      </c>
      <c r="L230">
        <v>256</v>
      </c>
      <c r="M230">
        <v>2012</v>
      </c>
      <c r="N230">
        <v>2012</v>
      </c>
      <c r="P230" s="1">
        <v>43702</v>
      </c>
      <c r="Q230" t="s">
        <v>37</v>
      </c>
      <c r="R230" t="s">
        <v>1058</v>
      </c>
      <c r="S230" t="s">
        <v>37</v>
      </c>
      <c r="W230">
        <v>0</v>
      </c>
      <c r="Z230">
        <v>0</v>
      </c>
    </row>
    <row r="231" spans="1:26" x14ac:dyDescent="0.2">
      <c r="A231">
        <v>20186</v>
      </c>
      <c r="B231" t="s">
        <v>1059</v>
      </c>
      <c r="C231" t="s">
        <v>1060</v>
      </c>
      <c r="D231" t="s">
        <v>1061</v>
      </c>
      <c r="F231" t="str">
        <f>"0300078153"</f>
        <v>0300078153</v>
      </c>
      <c r="G231" t="str">
        <f>"9780300078152"</f>
        <v>9780300078152</v>
      </c>
      <c r="H231">
        <v>0</v>
      </c>
      <c r="I231">
        <v>4.2</v>
      </c>
      <c r="J231" t="s">
        <v>845</v>
      </c>
      <c r="K231" t="s">
        <v>36</v>
      </c>
      <c r="L231">
        <v>445</v>
      </c>
      <c r="M231">
        <v>1998</v>
      </c>
      <c r="N231">
        <v>1998</v>
      </c>
      <c r="P231" s="1">
        <v>43702</v>
      </c>
      <c r="Q231" t="s">
        <v>37</v>
      </c>
      <c r="R231" t="s">
        <v>1062</v>
      </c>
      <c r="S231" t="s">
        <v>37</v>
      </c>
      <c r="W231">
        <v>0</v>
      </c>
      <c r="Z231">
        <v>0</v>
      </c>
    </row>
    <row r="232" spans="1:26" x14ac:dyDescent="0.2">
      <c r="A232">
        <v>44643351</v>
      </c>
      <c r="B232" t="s">
        <v>1063</v>
      </c>
      <c r="C232" t="s">
        <v>1064</v>
      </c>
      <c r="D232" t="s">
        <v>1065</v>
      </c>
      <c r="F232" t="str">
        <f>"0802127436"</f>
        <v>0802127436</v>
      </c>
      <c r="G232" t="str">
        <f>"9780802127433"</f>
        <v>9780802127433</v>
      </c>
      <c r="H232">
        <v>0</v>
      </c>
      <c r="I232">
        <v>4.05</v>
      </c>
      <c r="J232" t="s">
        <v>1066</v>
      </c>
      <c r="K232" t="s">
        <v>49</v>
      </c>
      <c r="L232">
        <v>356</v>
      </c>
      <c r="M232">
        <v>2019</v>
      </c>
      <c r="N232">
        <v>2019</v>
      </c>
      <c r="P232" s="1">
        <v>43702</v>
      </c>
      <c r="Q232" t="s">
        <v>37</v>
      </c>
      <c r="R232" t="s">
        <v>1067</v>
      </c>
      <c r="S232" t="s">
        <v>37</v>
      </c>
      <c r="W232">
        <v>0</v>
      </c>
      <c r="Z232">
        <v>0</v>
      </c>
    </row>
    <row r="233" spans="1:26" x14ac:dyDescent="0.2">
      <c r="A233">
        <v>1102716</v>
      </c>
      <c r="B233" t="s">
        <v>1068</v>
      </c>
      <c r="C233" t="s">
        <v>1069</v>
      </c>
      <c r="D233" t="s">
        <v>1070</v>
      </c>
      <c r="F233" t="str">
        <f>"047148735X"</f>
        <v>047148735X</v>
      </c>
      <c r="G233" t="str">
        <f>"9780471487357"</f>
        <v>9780471487357</v>
      </c>
      <c r="H233">
        <v>0</v>
      </c>
      <c r="I233">
        <v>4.04</v>
      </c>
      <c r="J233" t="s">
        <v>719</v>
      </c>
      <c r="K233" t="s">
        <v>49</v>
      </c>
      <c r="M233">
        <v>2004</v>
      </c>
      <c r="N233">
        <v>1976</v>
      </c>
      <c r="P233" s="1">
        <v>43702</v>
      </c>
      <c r="Q233" t="s">
        <v>37</v>
      </c>
      <c r="R233" t="s">
        <v>1071</v>
      </c>
      <c r="S233" t="s">
        <v>37</v>
      </c>
      <c r="W233">
        <v>0</v>
      </c>
      <c r="Z233">
        <v>0</v>
      </c>
    </row>
    <row r="234" spans="1:26" x14ac:dyDescent="0.2">
      <c r="A234">
        <v>241434</v>
      </c>
      <c r="B234" t="s">
        <v>1072</v>
      </c>
      <c r="C234" t="s">
        <v>1073</v>
      </c>
      <c r="D234" t="s">
        <v>1074</v>
      </c>
      <c r="F234" t="str">
        <f>"0684831481"</f>
        <v>0684831481</v>
      </c>
      <c r="G234" t="str">
        <f>"9780684831480"</f>
        <v>9780684831480</v>
      </c>
      <c r="H234">
        <v>0</v>
      </c>
      <c r="I234">
        <v>3.74</v>
      </c>
      <c r="J234" t="s">
        <v>344</v>
      </c>
      <c r="K234" t="s">
        <v>36</v>
      </c>
      <c r="L234">
        <v>368</v>
      </c>
      <c r="M234">
        <v>1997</v>
      </c>
      <c r="N234">
        <v>1996</v>
      </c>
      <c r="P234" s="1">
        <v>43702</v>
      </c>
      <c r="Q234" t="s">
        <v>37</v>
      </c>
      <c r="R234" t="s">
        <v>1075</v>
      </c>
      <c r="S234" t="s">
        <v>37</v>
      </c>
      <c r="W234">
        <v>0</v>
      </c>
      <c r="Z234">
        <v>0</v>
      </c>
    </row>
    <row r="235" spans="1:26" x14ac:dyDescent="0.2">
      <c r="A235">
        <v>558059</v>
      </c>
      <c r="B235" t="s">
        <v>1076</v>
      </c>
      <c r="C235" t="s">
        <v>1077</v>
      </c>
      <c r="D235" t="s">
        <v>1078</v>
      </c>
      <c r="F235" t="str">
        <f>"0716711869"</f>
        <v>0716711869</v>
      </c>
      <c r="G235" t="str">
        <f>"9780716711865"</f>
        <v>9780716711865</v>
      </c>
      <c r="H235">
        <v>0</v>
      </c>
      <c r="I235">
        <v>4.21</v>
      </c>
      <c r="J235" t="s">
        <v>1079</v>
      </c>
      <c r="K235" t="s">
        <v>49</v>
      </c>
      <c r="L235">
        <v>480</v>
      </c>
      <c r="M235">
        <v>1982</v>
      </c>
      <c r="N235">
        <v>1977</v>
      </c>
      <c r="P235" s="1">
        <v>43702</v>
      </c>
      <c r="Q235" t="s">
        <v>37</v>
      </c>
      <c r="R235" t="s">
        <v>1080</v>
      </c>
      <c r="S235" t="s">
        <v>37</v>
      </c>
      <c r="W235">
        <v>0</v>
      </c>
      <c r="Z235">
        <v>0</v>
      </c>
    </row>
    <row r="236" spans="1:26" x14ac:dyDescent="0.2">
      <c r="A236">
        <v>389603</v>
      </c>
      <c r="B236" t="s">
        <v>1081</v>
      </c>
      <c r="C236" t="s">
        <v>1077</v>
      </c>
      <c r="D236" t="s">
        <v>1078</v>
      </c>
      <c r="E236" t="s">
        <v>1082</v>
      </c>
      <c r="F236" t="str">
        <f>"0465043577"</f>
        <v>0465043577</v>
      </c>
      <c r="G236" t="str">
        <f>"9780465043576"</f>
        <v>9780465043576</v>
      </c>
      <c r="H236">
        <v>0</v>
      </c>
      <c r="I236">
        <v>4.05</v>
      </c>
      <c r="J236" t="s">
        <v>176</v>
      </c>
      <c r="K236" t="s">
        <v>36</v>
      </c>
      <c r="L236">
        <v>368</v>
      </c>
      <c r="M236">
        <v>2006</v>
      </c>
      <c r="N236">
        <v>1997</v>
      </c>
      <c r="P236" s="1">
        <v>43702</v>
      </c>
      <c r="Q236" t="s">
        <v>37</v>
      </c>
      <c r="R236" t="s">
        <v>1083</v>
      </c>
      <c r="S236" t="s">
        <v>37</v>
      </c>
      <c r="W236">
        <v>0</v>
      </c>
      <c r="Z236">
        <v>0</v>
      </c>
    </row>
    <row r="237" spans="1:26" x14ac:dyDescent="0.2">
      <c r="A237">
        <v>18471784</v>
      </c>
      <c r="B237" t="s">
        <v>1084</v>
      </c>
      <c r="C237" t="s">
        <v>1085</v>
      </c>
      <c r="D237" t="s">
        <v>1086</v>
      </c>
      <c r="F237" t="str">
        <f>"1780924488"</f>
        <v>1780924488</v>
      </c>
      <c r="G237" t="str">
        <f>"9781780924489"</f>
        <v>9781780924489</v>
      </c>
      <c r="H237">
        <v>0</v>
      </c>
      <c r="I237">
        <v>3.75</v>
      </c>
      <c r="J237" t="s">
        <v>1087</v>
      </c>
      <c r="K237" t="s">
        <v>36</v>
      </c>
      <c r="L237">
        <v>88</v>
      </c>
      <c r="M237">
        <v>2013</v>
      </c>
      <c r="N237">
        <v>2013</v>
      </c>
      <c r="P237" s="1">
        <v>43702</v>
      </c>
      <c r="Q237" t="s">
        <v>37</v>
      </c>
      <c r="R237" t="s">
        <v>1088</v>
      </c>
      <c r="S237" t="s">
        <v>37</v>
      </c>
      <c r="W237">
        <v>0</v>
      </c>
      <c r="Z237">
        <v>0</v>
      </c>
    </row>
    <row r="238" spans="1:26" x14ac:dyDescent="0.2">
      <c r="A238">
        <v>31448865</v>
      </c>
      <c r="B238" t="s">
        <v>1089</v>
      </c>
      <c r="C238" t="s">
        <v>1090</v>
      </c>
      <c r="D238" t="s">
        <v>1091</v>
      </c>
      <c r="F238" t="str">
        <f>"9351777596"</f>
        <v>9351777596</v>
      </c>
      <c r="G238" t="str">
        <f>"9789351777595"</f>
        <v>9789351777595</v>
      </c>
      <c r="H238">
        <v>0</v>
      </c>
      <c r="I238">
        <v>3.98</v>
      </c>
      <c r="J238" t="s">
        <v>150</v>
      </c>
      <c r="K238" t="s">
        <v>49</v>
      </c>
      <c r="L238">
        <v>280</v>
      </c>
      <c r="M238">
        <v>2016</v>
      </c>
      <c r="P238" s="1">
        <v>43702</v>
      </c>
      <c r="Q238" t="s">
        <v>37</v>
      </c>
      <c r="R238" t="s">
        <v>1092</v>
      </c>
      <c r="S238" t="s">
        <v>37</v>
      </c>
      <c r="W238">
        <v>0</v>
      </c>
      <c r="Z238">
        <v>0</v>
      </c>
    </row>
    <row r="239" spans="1:26" x14ac:dyDescent="0.2">
      <c r="A239">
        <v>695429</v>
      </c>
      <c r="B239" t="s">
        <v>1093</v>
      </c>
      <c r="C239" t="s">
        <v>1094</v>
      </c>
      <c r="D239" t="s">
        <v>1095</v>
      </c>
      <c r="E239" t="s">
        <v>1096</v>
      </c>
      <c r="F239" t="str">
        <f>"0814758169"</f>
        <v>0814758169</v>
      </c>
      <c r="G239" t="str">
        <f>"9780814758168"</f>
        <v>9780814758168</v>
      </c>
      <c r="H239">
        <v>0</v>
      </c>
      <c r="I239">
        <v>4.16</v>
      </c>
      <c r="J239" t="s">
        <v>1097</v>
      </c>
      <c r="K239" t="s">
        <v>49</v>
      </c>
      <c r="L239">
        <v>129</v>
      </c>
      <c r="M239">
        <v>2001</v>
      </c>
      <c r="N239">
        <v>1958</v>
      </c>
      <c r="P239" s="1">
        <v>43702</v>
      </c>
      <c r="Q239" t="s">
        <v>37</v>
      </c>
      <c r="R239" t="s">
        <v>1098</v>
      </c>
      <c r="S239" t="s">
        <v>37</v>
      </c>
      <c r="W239">
        <v>0</v>
      </c>
      <c r="Z239">
        <v>0</v>
      </c>
    </row>
    <row r="240" spans="1:26" x14ac:dyDescent="0.2">
      <c r="A240">
        <v>123471</v>
      </c>
      <c r="B240" t="s">
        <v>1099</v>
      </c>
      <c r="C240" t="s">
        <v>1100</v>
      </c>
      <c r="D240" t="s">
        <v>1101</v>
      </c>
      <c r="F240" t="str">
        <f>"0465030785"</f>
        <v>0465030785</v>
      </c>
      <c r="G240" t="str">
        <f>"9780465030781"</f>
        <v>9780465030781</v>
      </c>
      <c r="H240">
        <v>0</v>
      </c>
      <c r="I240">
        <v>3.95</v>
      </c>
      <c r="J240" t="s">
        <v>160</v>
      </c>
      <c r="K240" t="s">
        <v>49</v>
      </c>
      <c r="L240">
        <v>412</v>
      </c>
      <c r="M240">
        <v>2007</v>
      </c>
      <c r="N240">
        <v>2007</v>
      </c>
      <c r="P240" s="1">
        <v>43702</v>
      </c>
      <c r="Q240" t="s">
        <v>37</v>
      </c>
      <c r="R240" t="s">
        <v>1102</v>
      </c>
      <c r="S240" t="s">
        <v>37</v>
      </c>
      <c r="W240">
        <v>0</v>
      </c>
      <c r="Z240">
        <v>0</v>
      </c>
    </row>
    <row r="241" spans="1:26" x14ac:dyDescent="0.2">
      <c r="A241">
        <v>213337</v>
      </c>
      <c r="B241" t="s">
        <v>1103</v>
      </c>
      <c r="C241" t="s">
        <v>1104</v>
      </c>
      <c r="D241" t="s">
        <v>1105</v>
      </c>
      <c r="F241" t="str">
        <f>"079226987X"</f>
        <v>079226987X</v>
      </c>
      <c r="G241" t="str">
        <f>"9780792269878"</f>
        <v>9780792269878</v>
      </c>
      <c r="H241">
        <v>0</v>
      </c>
      <c r="I241">
        <v>4.05</v>
      </c>
      <c r="J241" t="s">
        <v>283</v>
      </c>
      <c r="K241" t="s">
        <v>36</v>
      </c>
      <c r="L241">
        <v>500</v>
      </c>
      <c r="M241">
        <v>2003</v>
      </c>
      <c r="N241">
        <v>1925</v>
      </c>
      <c r="P241" s="1">
        <v>43702</v>
      </c>
      <c r="Q241" t="s">
        <v>37</v>
      </c>
      <c r="R241" t="s">
        <v>1106</v>
      </c>
      <c r="S241" t="s">
        <v>37</v>
      </c>
      <c r="W241">
        <v>0</v>
      </c>
      <c r="Z241">
        <v>0</v>
      </c>
    </row>
    <row r="242" spans="1:26" x14ac:dyDescent="0.2">
      <c r="A242">
        <v>556661</v>
      </c>
      <c r="B242" t="s">
        <v>1107</v>
      </c>
      <c r="C242" t="s">
        <v>1108</v>
      </c>
      <c r="D242" t="s">
        <v>1109</v>
      </c>
      <c r="F242" t="str">
        <f>"1843410036"</f>
        <v>1843410036</v>
      </c>
      <c r="G242" t="str">
        <f>"9781843410034"</f>
        <v>9781843410034</v>
      </c>
      <c r="H242">
        <v>0</v>
      </c>
      <c r="I242">
        <v>4.09</v>
      </c>
      <c r="J242" t="s">
        <v>1110</v>
      </c>
      <c r="K242" t="s">
        <v>36</v>
      </c>
      <c r="L242">
        <v>394</v>
      </c>
      <c r="M242">
        <v>2001</v>
      </c>
      <c r="N242">
        <v>1936</v>
      </c>
      <c r="P242" s="1">
        <v>43702</v>
      </c>
      <c r="Q242" t="s">
        <v>37</v>
      </c>
      <c r="R242" t="s">
        <v>1111</v>
      </c>
      <c r="S242" t="s">
        <v>37</v>
      </c>
      <c r="W242">
        <v>0</v>
      </c>
      <c r="Z242">
        <v>0</v>
      </c>
    </row>
    <row r="243" spans="1:26" x14ac:dyDescent="0.2">
      <c r="A243">
        <v>118141</v>
      </c>
      <c r="B243" t="s">
        <v>1112</v>
      </c>
      <c r="C243" t="s">
        <v>940</v>
      </c>
      <c r="D243" t="s">
        <v>941</v>
      </c>
      <c r="E243" t="s">
        <v>1113</v>
      </c>
      <c r="F243" t="str">
        <f>"1885283172"</f>
        <v>1885283172</v>
      </c>
      <c r="G243" t="str">
        <f>"9781885283177"</f>
        <v>9781885283177</v>
      </c>
      <c r="H243">
        <v>0</v>
      </c>
      <c r="I243">
        <v>3.98</v>
      </c>
      <c r="J243" t="s">
        <v>1114</v>
      </c>
      <c r="K243" t="s">
        <v>49</v>
      </c>
      <c r="L243">
        <v>256</v>
      </c>
      <c r="M243">
        <v>1999</v>
      </c>
      <c r="N243">
        <v>1958</v>
      </c>
      <c r="P243" s="1">
        <v>43702</v>
      </c>
      <c r="Q243" t="s">
        <v>37</v>
      </c>
      <c r="R243" t="s">
        <v>1115</v>
      </c>
      <c r="S243" t="s">
        <v>37</v>
      </c>
      <c r="W243">
        <v>0</v>
      </c>
      <c r="Z243">
        <v>0</v>
      </c>
    </row>
    <row r="244" spans="1:26" x14ac:dyDescent="0.2">
      <c r="A244">
        <v>42481212</v>
      </c>
      <c r="B244" t="s">
        <v>1116</v>
      </c>
      <c r="C244" t="s">
        <v>1117</v>
      </c>
      <c r="D244" t="s">
        <v>1118</v>
      </c>
      <c r="F244" t="str">
        <f>"1789140641"</f>
        <v>1789140641</v>
      </c>
      <c r="G244" t="str">
        <f>"9781789140644"</f>
        <v>9781789140644</v>
      </c>
      <c r="H244">
        <v>0</v>
      </c>
      <c r="I244">
        <v>3.5</v>
      </c>
      <c r="J244" t="s">
        <v>1119</v>
      </c>
      <c r="K244" t="s">
        <v>49</v>
      </c>
      <c r="L244">
        <v>272</v>
      </c>
      <c r="M244">
        <v>2019</v>
      </c>
      <c r="P244" s="1">
        <v>43702</v>
      </c>
      <c r="Q244" t="s">
        <v>37</v>
      </c>
      <c r="R244" t="s">
        <v>1120</v>
      </c>
      <c r="S244" t="s">
        <v>37</v>
      </c>
      <c r="W244">
        <v>0</v>
      </c>
      <c r="Z244">
        <v>0</v>
      </c>
    </row>
    <row r="245" spans="1:26" x14ac:dyDescent="0.2">
      <c r="A245">
        <v>11179667</v>
      </c>
      <c r="B245" t="s">
        <v>1121</v>
      </c>
      <c r="C245" t="s">
        <v>1122</v>
      </c>
      <c r="D245" t="s">
        <v>1123</v>
      </c>
      <c r="E245" t="s">
        <v>1124</v>
      </c>
      <c r="F245" t="str">
        <f>"1607614960"</f>
        <v>1607614960</v>
      </c>
      <c r="G245" t="str">
        <f>"9781607614968"</f>
        <v>9781607614968</v>
      </c>
      <c r="H245">
        <v>0</v>
      </c>
      <c r="I245">
        <v>3.67</v>
      </c>
      <c r="J245" t="s">
        <v>1125</v>
      </c>
      <c r="K245" t="s">
        <v>36</v>
      </c>
      <c r="L245">
        <v>228</v>
      </c>
      <c r="M245">
        <v>2010</v>
      </c>
      <c r="N245">
        <v>2009</v>
      </c>
      <c r="P245" s="1">
        <v>43702</v>
      </c>
      <c r="Q245" t="s">
        <v>37</v>
      </c>
      <c r="R245" t="s">
        <v>1126</v>
      </c>
      <c r="S245" t="s">
        <v>37</v>
      </c>
      <c r="W245">
        <v>0</v>
      </c>
      <c r="Z245">
        <v>0</v>
      </c>
    </row>
    <row r="246" spans="1:26" x14ac:dyDescent="0.2">
      <c r="A246">
        <v>62111</v>
      </c>
      <c r="B246" t="s">
        <v>1127</v>
      </c>
      <c r="C246" t="s">
        <v>1128</v>
      </c>
      <c r="D246" t="s">
        <v>1129</v>
      </c>
      <c r="E246" t="s">
        <v>1130</v>
      </c>
      <c r="F246" t="str">
        <f>"1402726023"</f>
        <v>1402726023</v>
      </c>
      <c r="G246" t="str">
        <f>"9781402726026"</f>
        <v>9781402726026</v>
      </c>
      <c r="H246">
        <v>0</v>
      </c>
      <c r="I246">
        <v>3.92</v>
      </c>
      <c r="J246" t="s">
        <v>1131</v>
      </c>
      <c r="K246" t="s">
        <v>49</v>
      </c>
      <c r="L246">
        <v>352</v>
      </c>
      <c r="M246">
        <v>2006</v>
      </c>
      <c r="N246">
        <v>1812</v>
      </c>
      <c r="P246" s="1">
        <v>43702</v>
      </c>
      <c r="Q246" t="s">
        <v>37</v>
      </c>
      <c r="R246" t="s">
        <v>1132</v>
      </c>
      <c r="S246" t="s">
        <v>37</v>
      </c>
      <c r="W246">
        <v>0</v>
      </c>
      <c r="Z246">
        <v>0</v>
      </c>
    </row>
    <row r="247" spans="1:26" x14ac:dyDescent="0.2">
      <c r="A247">
        <v>37542581</v>
      </c>
      <c r="B247" t="s">
        <v>1133</v>
      </c>
      <c r="C247" t="s">
        <v>1134</v>
      </c>
      <c r="D247" t="s">
        <v>1135</v>
      </c>
      <c r="F247" t="str">
        <f>"0771060335"</f>
        <v>0771060335</v>
      </c>
      <c r="G247" t="str">
        <f>"9780771060335"</f>
        <v>9780771060335</v>
      </c>
      <c r="H247">
        <v>0</v>
      </c>
      <c r="I247">
        <v>4.49</v>
      </c>
      <c r="J247" t="s">
        <v>1136</v>
      </c>
      <c r="K247" t="s">
        <v>49</v>
      </c>
      <c r="L247">
        <v>384</v>
      </c>
      <c r="M247">
        <v>2018</v>
      </c>
      <c r="N247">
        <v>2018</v>
      </c>
      <c r="P247" s="1">
        <v>43702</v>
      </c>
      <c r="Q247" t="s">
        <v>37</v>
      </c>
      <c r="R247" t="s">
        <v>1137</v>
      </c>
      <c r="S247" t="s">
        <v>37</v>
      </c>
      <c r="W247">
        <v>0</v>
      </c>
      <c r="Z247">
        <v>0</v>
      </c>
    </row>
    <row r="248" spans="1:26" x14ac:dyDescent="0.2">
      <c r="A248">
        <v>230955</v>
      </c>
      <c r="B248" t="s">
        <v>1138</v>
      </c>
      <c r="C248" t="s">
        <v>1139</v>
      </c>
      <c r="D248" t="s">
        <v>1140</v>
      </c>
      <c r="F248" t="str">
        <f>"0521808677"</f>
        <v>0521808677</v>
      </c>
      <c r="G248" t="str">
        <f>"9780521808675"</f>
        <v>9780521808675</v>
      </c>
      <c r="H248">
        <v>0</v>
      </c>
      <c r="I248">
        <v>4.25</v>
      </c>
      <c r="J248" t="s">
        <v>246</v>
      </c>
      <c r="K248" t="s">
        <v>49</v>
      </c>
      <c r="L248">
        <v>304</v>
      </c>
      <c r="M248">
        <v>2002</v>
      </c>
      <c r="N248">
        <v>2002</v>
      </c>
      <c r="P248" s="1">
        <v>43702</v>
      </c>
      <c r="Q248" t="s">
        <v>37</v>
      </c>
      <c r="R248" t="s">
        <v>1141</v>
      </c>
      <c r="S248" t="s">
        <v>37</v>
      </c>
      <c r="W248">
        <v>0</v>
      </c>
      <c r="Z248">
        <v>0</v>
      </c>
    </row>
    <row r="249" spans="1:26" x14ac:dyDescent="0.2">
      <c r="A249">
        <v>17557470</v>
      </c>
      <c r="B249" t="s">
        <v>1142</v>
      </c>
      <c r="C249" t="s">
        <v>1143</v>
      </c>
      <c r="D249" t="s">
        <v>1144</v>
      </c>
      <c r="F249" t="str">
        <f>"1452112746"</f>
        <v>1452112746</v>
      </c>
      <c r="G249" t="str">
        <f>"9781452112749"</f>
        <v>9781452112749</v>
      </c>
      <c r="H249">
        <v>0</v>
      </c>
      <c r="I249">
        <v>3.98</v>
      </c>
      <c r="J249" t="s">
        <v>1145</v>
      </c>
      <c r="K249" t="s">
        <v>49</v>
      </c>
      <c r="L249">
        <v>288</v>
      </c>
      <c r="M249">
        <v>2013</v>
      </c>
      <c r="N249">
        <v>2013</v>
      </c>
      <c r="P249" s="1">
        <v>43702</v>
      </c>
      <c r="Q249" t="s">
        <v>37</v>
      </c>
      <c r="R249" t="s">
        <v>1146</v>
      </c>
      <c r="S249" t="s">
        <v>37</v>
      </c>
      <c r="W249">
        <v>0</v>
      </c>
      <c r="Z249">
        <v>0</v>
      </c>
    </row>
    <row r="250" spans="1:26" x14ac:dyDescent="0.2">
      <c r="A250">
        <v>36701550</v>
      </c>
      <c r="B250" t="s">
        <v>1147</v>
      </c>
      <c r="C250" t="s">
        <v>1148</v>
      </c>
      <c r="D250" t="s">
        <v>1149</v>
      </c>
      <c r="F250" t="str">
        <f>""</f>
        <v/>
      </c>
      <c r="G250" t="str">
        <f>""</f>
        <v/>
      </c>
      <c r="H250">
        <v>0</v>
      </c>
      <c r="I250">
        <v>3.82</v>
      </c>
      <c r="J250" t="s">
        <v>606</v>
      </c>
      <c r="K250" t="s">
        <v>49</v>
      </c>
      <c r="L250">
        <v>288</v>
      </c>
      <c r="M250">
        <v>2019</v>
      </c>
      <c r="N250">
        <v>2019</v>
      </c>
      <c r="P250" s="1">
        <v>43702</v>
      </c>
      <c r="Q250" t="s">
        <v>37</v>
      </c>
      <c r="R250" t="s">
        <v>1150</v>
      </c>
      <c r="S250" t="s">
        <v>37</v>
      </c>
      <c r="W250">
        <v>0</v>
      </c>
      <c r="Z250">
        <v>0</v>
      </c>
    </row>
    <row r="251" spans="1:26" x14ac:dyDescent="0.2">
      <c r="A251">
        <v>508371</v>
      </c>
      <c r="B251" t="s">
        <v>1151</v>
      </c>
      <c r="C251" t="s">
        <v>1152</v>
      </c>
      <c r="D251" t="s">
        <v>1153</v>
      </c>
      <c r="E251" t="s">
        <v>1154</v>
      </c>
      <c r="F251" t="str">
        <f>"0700611592"</f>
        <v>0700611592</v>
      </c>
      <c r="G251" t="str">
        <f>"9780700611591"</f>
        <v>9780700611591</v>
      </c>
      <c r="H251">
        <v>0</v>
      </c>
      <c r="I251">
        <v>4.1100000000000003</v>
      </c>
      <c r="J251" t="s">
        <v>1155</v>
      </c>
      <c r="K251" t="s">
        <v>49</v>
      </c>
      <c r="L251">
        <v>301</v>
      </c>
      <c r="M251">
        <v>2002</v>
      </c>
      <c r="N251">
        <v>2002</v>
      </c>
      <c r="P251" s="1">
        <v>43702</v>
      </c>
      <c r="Q251" t="s">
        <v>37</v>
      </c>
      <c r="R251" t="s">
        <v>1156</v>
      </c>
      <c r="S251" t="s">
        <v>37</v>
      </c>
      <c r="W251">
        <v>0</v>
      </c>
      <c r="Z251">
        <v>0</v>
      </c>
    </row>
    <row r="252" spans="1:26" x14ac:dyDescent="0.2">
      <c r="A252">
        <v>53326</v>
      </c>
      <c r="B252" t="s">
        <v>1157</v>
      </c>
      <c r="C252" t="s">
        <v>1158</v>
      </c>
      <c r="D252" t="s">
        <v>1159</v>
      </c>
      <c r="F252" t="str">
        <f>"0671865412"</f>
        <v>0671865412</v>
      </c>
      <c r="G252" t="str">
        <f>"9780671865412"</f>
        <v>9780671865412</v>
      </c>
      <c r="H252">
        <v>0</v>
      </c>
      <c r="I252">
        <v>3.93</v>
      </c>
      <c r="J252" t="s">
        <v>344</v>
      </c>
      <c r="K252" t="s">
        <v>36</v>
      </c>
      <c r="L252">
        <v>608</v>
      </c>
      <c r="M252">
        <v>1993</v>
      </c>
      <c r="N252">
        <v>1992</v>
      </c>
      <c r="P252" s="1">
        <v>43702</v>
      </c>
      <c r="Q252" t="s">
        <v>37</v>
      </c>
      <c r="R252" t="s">
        <v>1160</v>
      </c>
      <c r="S252" t="s">
        <v>37</v>
      </c>
      <c r="W252">
        <v>0</v>
      </c>
      <c r="Z252">
        <v>0</v>
      </c>
    </row>
    <row r="253" spans="1:26" x14ac:dyDescent="0.2">
      <c r="A253">
        <v>70561</v>
      </c>
      <c r="B253" t="s">
        <v>1161</v>
      </c>
      <c r="C253" t="s">
        <v>757</v>
      </c>
      <c r="D253" t="s">
        <v>758</v>
      </c>
      <c r="E253" t="s">
        <v>1162</v>
      </c>
      <c r="F253" t="str">
        <f>"0060007761"</f>
        <v>0060007761</v>
      </c>
      <c r="G253" t="str">
        <f>"9780060007768"</f>
        <v>9780060007768</v>
      </c>
      <c r="H253">
        <v>0</v>
      </c>
      <c r="I253">
        <v>4.25</v>
      </c>
      <c r="J253" t="s">
        <v>150</v>
      </c>
      <c r="K253" t="s">
        <v>36</v>
      </c>
      <c r="L253">
        <v>472</v>
      </c>
      <c r="M253">
        <v>2002</v>
      </c>
      <c r="N253">
        <v>1973</v>
      </c>
      <c r="P253" s="1">
        <v>43702</v>
      </c>
      <c r="Q253" t="s">
        <v>37</v>
      </c>
      <c r="R253" t="s">
        <v>1163</v>
      </c>
      <c r="S253" t="s">
        <v>37</v>
      </c>
      <c r="W253">
        <v>0</v>
      </c>
      <c r="Z253">
        <v>0</v>
      </c>
    </row>
    <row r="254" spans="1:26" x14ac:dyDescent="0.2">
      <c r="A254">
        <v>10882</v>
      </c>
      <c r="B254" t="s">
        <v>1164</v>
      </c>
      <c r="C254" t="s">
        <v>1165</v>
      </c>
      <c r="D254" t="s">
        <v>1166</v>
      </c>
      <c r="F254" t="str">
        <f>"222109073X"</f>
        <v>222109073X</v>
      </c>
      <c r="G254" t="str">
        <f>"9782221090732"</f>
        <v>9782221090732</v>
      </c>
      <c r="H254">
        <v>0</v>
      </c>
      <c r="I254">
        <v>3.97</v>
      </c>
      <c r="J254" t="s">
        <v>1167</v>
      </c>
      <c r="L254">
        <v>295</v>
      </c>
      <c r="M254">
        <v>2000</v>
      </c>
      <c r="N254">
        <v>1966</v>
      </c>
      <c r="P254" s="1">
        <v>43702</v>
      </c>
      <c r="Q254" t="s">
        <v>37</v>
      </c>
      <c r="R254" t="s">
        <v>1168</v>
      </c>
      <c r="S254" t="s">
        <v>37</v>
      </c>
      <c r="W254">
        <v>0</v>
      </c>
      <c r="Z254">
        <v>0</v>
      </c>
    </row>
    <row r="255" spans="1:26" x14ac:dyDescent="0.2">
      <c r="A255">
        <v>7745</v>
      </c>
      <c r="B255" t="s">
        <v>1169</v>
      </c>
      <c r="C255" t="s">
        <v>1165</v>
      </c>
      <c r="D255" t="s">
        <v>1166</v>
      </c>
      <c r="E255" t="s">
        <v>1170</v>
      </c>
      <c r="F255" t="str">
        <f>"0679785892"</f>
        <v>0679785892</v>
      </c>
      <c r="G255" t="str">
        <f>"9780679785897"</f>
        <v>9780679785897</v>
      </c>
      <c r="H255">
        <v>0</v>
      </c>
      <c r="I255">
        <v>4.08</v>
      </c>
      <c r="J255" t="s">
        <v>1171</v>
      </c>
      <c r="K255" t="s">
        <v>36</v>
      </c>
      <c r="L255">
        <v>204</v>
      </c>
      <c r="M255">
        <v>1998</v>
      </c>
      <c r="N255">
        <v>1971</v>
      </c>
      <c r="P255" s="1">
        <v>43702</v>
      </c>
      <c r="Q255" t="s">
        <v>37</v>
      </c>
      <c r="R255" t="s">
        <v>1172</v>
      </c>
      <c r="S255" t="s">
        <v>37</v>
      </c>
      <c r="W255">
        <v>0</v>
      </c>
      <c r="Z255">
        <v>0</v>
      </c>
    </row>
    <row r="256" spans="1:26" x14ac:dyDescent="0.2">
      <c r="A256">
        <v>30687200</v>
      </c>
      <c r="B256" t="s">
        <v>1173</v>
      </c>
      <c r="C256" t="s">
        <v>1174</v>
      </c>
      <c r="D256" t="s">
        <v>1175</v>
      </c>
      <c r="E256" t="s">
        <v>1176</v>
      </c>
      <c r="F256" t="str">
        <f>"1101924926"</f>
        <v>1101924926</v>
      </c>
      <c r="G256" t="str">
        <f>"9781101924921"</f>
        <v>9781101924921</v>
      </c>
      <c r="H256">
        <v>0</v>
      </c>
      <c r="I256">
        <v>3.88</v>
      </c>
      <c r="J256" t="s">
        <v>1177</v>
      </c>
      <c r="K256" t="s">
        <v>1178</v>
      </c>
      <c r="L256">
        <v>224</v>
      </c>
      <c r="M256">
        <v>2017</v>
      </c>
      <c r="N256">
        <v>2017</v>
      </c>
      <c r="P256" s="1">
        <v>43702</v>
      </c>
      <c r="Q256" t="s">
        <v>37</v>
      </c>
      <c r="R256" t="s">
        <v>1179</v>
      </c>
      <c r="S256" t="s">
        <v>37</v>
      </c>
      <c r="W256">
        <v>0</v>
      </c>
      <c r="Z256">
        <v>0</v>
      </c>
    </row>
    <row r="257" spans="1:26" x14ac:dyDescent="0.2">
      <c r="A257">
        <v>36950898</v>
      </c>
      <c r="B257" t="s">
        <v>1180</v>
      </c>
      <c r="C257" t="s">
        <v>1181</v>
      </c>
      <c r="D257" t="s">
        <v>1182</v>
      </c>
      <c r="F257" t="str">
        <f>"0735221316"</f>
        <v>0735221316</v>
      </c>
      <c r="G257" t="str">
        <f>"9780735221314"</f>
        <v>9780735221314</v>
      </c>
      <c r="H257">
        <v>0</v>
      </c>
      <c r="I257">
        <v>3.87</v>
      </c>
      <c r="J257" t="s">
        <v>894</v>
      </c>
      <c r="K257" t="s">
        <v>49</v>
      </c>
      <c r="L257">
        <v>338</v>
      </c>
      <c r="M257">
        <v>2018</v>
      </c>
      <c r="N257">
        <v>2018</v>
      </c>
      <c r="P257" s="1">
        <v>43702</v>
      </c>
      <c r="Q257" t="s">
        <v>37</v>
      </c>
      <c r="R257" t="s">
        <v>1183</v>
      </c>
      <c r="S257" t="s">
        <v>37</v>
      </c>
      <c r="W257">
        <v>0</v>
      </c>
      <c r="Z257">
        <v>0</v>
      </c>
    </row>
    <row r="258" spans="1:26" x14ac:dyDescent="0.2">
      <c r="A258">
        <v>646563</v>
      </c>
      <c r="B258" t="s">
        <v>1184</v>
      </c>
      <c r="C258" t="s">
        <v>1185</v>
      </c>
      <c r="D258" t="s">
        <v>1186</v>
      </c>
      <c r="F258" t="str">
        <f>"1400065836"</f>
        <v>1400065836</v>
      </c>
      <c r="G258" t="str">
        <f>"9781400065837"</f>
        <v>9781400065837</v>
      </c>
      <c r="H258">
        <v>0</v>
      </c>
      <c r="I258">
        <v>3.88</v>
      </c>
      <c r="J258" t="s">
        <v>96</v>
      </c>
      <c r="K258" t="s">
        <v>49</v>
      </c>
      <c r="L258">
        <v>343</v>
      </c>
      <c r="M258">
        <v>2007</v>
      </c>
      <c r="N258">
        <v>2007</v>
      </c>
      <c r="P258" s="1">
        <v>43702</v>
      </c>
      <c r="Q258" t="s">
        <v>37</v>
      </c>
      <c r="R258" t="s">
        <v>1187</v>
      </c>
      <c r="S258" t="s">
        <v>37</v>
      </c>
      <c r="W258">
        <v>0</v>
      </c>
      <c r="Z258">
        <v>0</v>
      </c>
    </row>
    <row r="259" spans="1:26" x14ac:dyDescent="0.2">
      <c r="A259">
        <v>555926</v>
      </c>
      <c r="B259" t="s">
        <v>1188</v>
      </c>
      <c r="C259" t="s">
        <v>1189</v>
      </c>
      <c r="D259" t="s">
        <v>1190</v>
      </c>
      <c r="F259" t="str">
        <f>"0141007230"</f>
        <v>0141007230</v>
      </c>
      <c r="G259" t="str">
        <f>"9780141007236"</f>
        <v>9780141007236</v>
      </c>
      <c r="H259">
        <v>0</v>
      </c>
      <c r="I259">
        <v>4.01</v>
      </c>
      <c r="J259" t="s">
        <v>217</v>
      </c>
      <c r="K259" t="s">
        <v>36</v>
      </c>
      <c r="L259">
        <v>1232</v>
      </c>
      <c r="M259">
        <v>2004</v>
      </c>
      <c r="N259">
        <v>1976</v>
      </c>
      <c r="P259" s="1">
        <v>43702</v>
      </c>
      <c r="Q259" t="s">
        <v>37</v>
      </c>
      <c r="R259" t="s">
        <v>1191</v>
      </c>
      <c r="S259" t="s">
        <v>37</v>
      </c>
      <c r="W259">
        <v>0</v>
      </c>
      <c r="Z259">
        <v>0</v>
      </c>
    </row>
    <row r="260" spans="1:26" x14ac:dyDescent="0.2">
      <c r="A260">
        <v>442239</v>
      </c>
      <c r="B260" t="s">
        <v>1192</v>
      </c>
      <c r="C260" t="s">
        <v>1193</v>
      </c>
      <c r="D260" t="s">
        <v>1194</v>
      </c>
      <c r="F260" t="str">
        <f>"0151013020"</f>
        <v>0151013020</v>
      </c>
      <c r="G260" t="str">
        <f>"9780151013029"</f>
        <v>9780151013029</v>
      </c>
      <c r="H260">
        <v>0</v>
      </c>
      <c r="I260">
        <v>3.85</v>
      </c>
      <c r="J260" t="s">
        <v>430</v>
      </c>
      <c r="K260" t="s">
        <v>49</v>
      </c>
      <c r="L260">
        <v>400</v>
      </c>
      <c r="M260">
        <v>2007</v>
      </c>
      <c r="N260">
        <v>2007</v>
      </c>
      <c r="P260" s="1">
        <v>43702</v>
      </c>
      <c r="Q260" t="s">
        <v>37</v>
      </c>
      <c r="R260" t="s">
        <v>1195</v>
      </c>
      <c r="S260" t="s">
        <v>37</v>
      </c>
      <c r="W260">
        <v>0</v>
      </c>
      <c r="Z260">
        <v>0</v>
      </c>
    </row>
    <row r="261" spans="1:26" x14ac:dyDescent="0.2">
      <c r="A261">
        <v>37792559</v>
      </c>
      <c r="B261" t="s">
        <v>1196</v>
      </c>
      <c r="C261" t="s">
        <v>1197</v>
      </c>
      <c r="D261" t="s">
        <v>1198</v>
      </c>
      <c r="E261" t="s">
        <v>1199</v>
      </c>
      <c r="F261" t="str">
        <f>"1784382701"</f>
        <v>1784382701</v>
      </c>
      <c r="G261" t="str">
        <f>"9781784382704"</f>
        <v>9781784382704</v>
      </c>
      <c r="H261">
        <v>0</v>
      </c>
      <c r="I261">
        <v>4.18</v>
      </c>
      <c r="J261" t="s">
        <v>1200</v>
      </c>
      <c r="K261" t="s">
        <v>49</v>
      </c>
      <c r="L261">
        <v>252</v>
      </c>
      <c r="M261">
        <v>2018</v>
      </c>
      <c r="N261">
        <v>2018</v>
      </c>
      <c r="P261" s="1">
        <v>43702</v>
      </c>
      <c r="Q261" t="s">
        <v>37</v>
      </c>
      <c r="R261" t="s">
        <v>1201</v>
      </c>
      <c r="S261" t="s">
        <v>37</v>
      </c>
      <c r="W261">
        <v>0</v>
      </c>
      <c r="Z261">
        <v>0</v>
      </c>
    </row>
    <row r="262" spans="1:26" x14ac:dyDescent="0.2">
      <c r="A262">
        <v>7305882</v>
      </c>
      <c r="B262" t="s">
        <v>1202</v>
      </c>
      <c r="C262" t="s">
        <v>1203</v>
      </c>
      <c r="D262" t="s">
        <v>1204</v>
      </c>
      <c r="F262" t="str">
        <f>"0521197341"</f>
        <v>0521197341</v>
      </c>
      <c r="G262" t="str">
        <f>"9780521197342"</f>
        <v>9780521197342</v>
      </c>
      <c r="H262">
        <v>0</v>
      </c>
      <c r="I262">
        <v>3.21</v>
      </c>
      <c r="J262" t="s">
        <v>246</v>
      </c>
      <c r="K262" t="s">
        <v>49</v>
      </c>
      <c r="L262">
        <v>320</v>
      </c>
      <c r="M262">
        <v>2010</v>
      </c>
      <c r="N262">
        <v>2010</v>
      </c>
      <c r="P262" s="1">
        <v>43702</v>
      </c>
      <c r="Q262" t="s">
        <v>37</v>
      </c>
      <c r="R262" t="s">
        <v>1205</v>
      </c>
      <c r="S262" t="s">
        <v>37</v>
      </c>
      <c r="W262">
        <v>0</v>
      </c>
      <c r="Z262">
        <v>0</v>
      </c>
    </row>
    <row r="263" spans="1:26" x14ac:dyDescent="0.2">
      <c r="A263">
        <v>682681</v>
      </c>
      <c r="B263" t="s">
        <v>1206</v>
      </c>
      <c r="C263" t="s">
        <v>276</v>
      </c>
      <c r="D263" t="s">
        <v>277</v>
      </c>
      <c r="F263" t="str">
        <f>"0192835505"</f>
        <v>0192835505</v>
      </c>
      <c r="G263" t="str">
        <f>"9780192835505"</f>
        <v>9780192835505</v>
      </c>
      <c r="H263">
        <v>0</v>
      </c>
      <c r="I263">
        <v>3.58</v>
      </c>
      <c r="J263" t="s">
        <v>91</v>
      </c>
      <c r="K263" t="s">
        <v>36</v>
      </c>
      <c r="L263">
        <v>317</v>
      </c>
      <c r="M263">
        <v>1998</v>
      </c>
      <c r="N263">
        <v>1886</v>
      </c>
      <c r="P263" s="1">
        <v>43702</v>
      </c>
      <c r="Q263" t="s">
        <v>37</v>
      </c>
      <c r="R263" t="s">
        <v>1207</v>
      </c>
      <c r="S263" t="s">
        <v>37</v>
      </c>
      <c r="W263">
        <v>0</v>
      </c>
      <c r="Z263">
        <v>0</v>
      </c>
    </row>
    <row r="264" spans="1:26" x14ac:dyDescent="0.2">
      <c r="A264">
        <v>1307748</v>
      </c>
      <c r="B264" t="s">
        <v>1208</v>
      </c>
      <c r="C264" t="s">
        <v>1209</v>
      </c>
      <c r="D264" t="s">
        <v>1210</v>
      </c>
      <c r="F264" t="str">
        <f>"0964332817"</f>
        <v>0964332817</v>
      </c>
      <c r="G264" t="str">
        <f>"9780964332812"</f>
        <v>9780964332812</v>
      </c>
      <c r="H264">
        <v>0</v>
      </c>
      <c r="I264">
        <v>4.12</v>
      </c>
      <c r="J264" t="s">
        <v>1211</v>
      </c>
      <c r="K264" t="s">
        <v>49</v>
      </c>
      <c r="L264">
        <v>166</v>
      </c>
      <c r="M264">
        <v>1995</v>
      </c>
      <c r="N264">
        <v>1995</v>
      </c>
      <c r="P264" s="1">
        <v>43701</v>
      </c>
      <c r="Q264" t="s">
        <v>37</v>
      </c>
      <c r="R264" t="s">
        <v>1212</v>
      </c>
      <c r="S264" t="s">
        <v>37</v>
      </c>
      <c r="W264">
        <v>0</v>
      </c>
      <c r="Z264">
        <v>0</v>
      </c>
    </row>
    <row r="265" spans="1:26" x14ac:dyDescent="0.2">
      <c r="A265">
        <v>43117392</v>
      </c>
      <c r="B265" t="s">
        <v>1213</v>
      </c>
      <c r="C265" t="s">
        <v>1214</v>
      </c>
      <c r="D265" t="s">
        <v>1215</v>
      </c>
      <c r="F265" t="str">
        <f>""</f>
        <v/>
      </c>
      <c r="G265" t="str">
        <f>""</f>
        <v/>
      </c>
      <c r="H265">
        <v>0</v>
      </c>
      <c r="I265">
        <v>0</v>
      </c>
      <c r="J265" t="s">
        <v>971</v>
      </c>
      <c r="K265" t="s">
        <v>62</v>
      </c>
      <c r="L265">
        <v>288</v>
      </c>
      <c r="M265">
        <v>2019</v>
      </c>
      <c r="P265" s="1">
        <v>43701</v>
      </c>
      <c r="Q265" t="s">
        <v>37</v>
      </c>
      <c r="R265" t="s">
        <v>1216</v>
      </c>
      <c r="S265" t="s">
        <v>37</v>
      </c>
      <c r="W265">
        <v>0</v>
      </c>
      <c r="Z265">
        <v>0</v>
      </c>
    </row>
    <row r="266" spans="1:26" x14ac:dyDescent="0.2">
      <c r="A266">
        <v>251213</v>
      </c>
      <c r="B266" t="s">
        <v>1217</v>
      </c>
      <c r="C266" t="s">
        <v>1218</v>
      </c>
      <c r="D266" t="s">
        <v>1219</v>
      </c>
      <c r="F266" t="str">
        <f>"0691070512"</f>
        <v>0691070512</v>
      </c>
      <c r="G266" t="str">
        <f>"9780691070513"</f>
        <v>9780691070513</v>
      </c>
      <c r="H266">
        <v>0</v>
      </c>
      <c r="I266">
        <v>3.98</v>
      </c>
      <c r="J266" t="s">
        <v>565</v>
      </c>
      <c r="K266" t="s">
        <v>36</v>
      </c>
      <c r="L266">
        <v>392</v>
      </c>
      <c r="M266">
        <v>2000</v>
      </c>
      <c r="N266">
        <v>1999</v>
      </c>
      <c r="P266" s="1">
        <v>43701</v>
      </c>
      <c r="Q266" t="s">
        <v>37</v>
      </c>
      <c r="R266" t="s">
        <v>1220</v>
      </c>
      <c r="S266" t="s">
        <v>37</v>
      </c>
      <c r="W266">
        <v>0</v>
      </c>
      <c r="Z266">
        <v>0</v>
      </c>
    </row>
    <row r="267" spans="1:26" x14ac:dyDescent="0.2">
      <c r="A267">
        <v>230553</v>
      </c>
      <c r="B267" t="s">
        <v>1221</v>
      </c>
      <c r="C267" t="s">
        <v>1222</v>
      </c>
      <c r="D267" t="s">
        <v>1223</v>
      </c>
      <c r="F267" t="str">
        <f>"184212451X"</f>
        <v>184212451X</v>
      </c>
      <c r="G267" t="str">
        <f>"9781842124512"</f>
        <v>9781842124512</v>
      </c>
      <c r="H267">
        <v>0</v>
      </c>
      <c r="I267">
        <v>3.73</v>
      </c>
      <c r="J267" t="s">
        <v>1224</v>
      </c>
      <c r="K267" t="s">
        <v>49</v>
      </c>
      <c r="M267">
        <v>2003</v>
      </c>
      <c r="N267">
        <v>1967</v>
      </c>
      <c r="P267" s="1">
        <v>43701</v>
      </c>
      <c r="Q267" t="s">
        <v>37</v>
      </c>
      <c r="R267" t="s">
        <v>1225</v>
      </c>
      <c r="S267" t="s">
        <v>37</v>
      </c>
      <c r="W267">
        <v>0</v>
      </c>
      <c r="Z267">
        <v>0</v>
      </c>
    </row>
    <row r="268" spans="1:26" x14ac:dyDescent="0.2">
      <c r="A268">
        <v>33598223</v>
      </c>
      <c r="B268" t="s">
        <v>1226</v>
      </c>
      <c r="C268" t="s">
        <v>1227</v>
      </c>
      <c r="D268" t="s">
        <v>1228</v>
      </c>
      <c r="F268" t="str">
        <f>"1400069718"</f>
        <v>1400069718</v>
      </c>
      <c r="G268" t="str">
        <f>"9781400069712"</f>
        <v>9781400069712</v>
      </c>
      <c r="H268">
        <v>0</v>
      </c>
      <c r="I268">
        <v>4.4000000000000004</v>
      </c>
      <c r="J268" t="s">
        <v>96</v>
      </c>
      <c r="K268" t="s">
        <v>49</v>
      </c>
      <c r="L268">
        <v>784</v>
      </c>
      <c r="M268">
        <v>2018</v>
      </c>
      <c r="N268">
        <v>2018</v>
      </c>
      <c r="P268" s="1">
        <v>43701</v>
      </c>
      <c r="Q268" t="s">
        <v>37</v>
      </c>
      <c r="R268" t="s">
        <v>1229</v>
      </c>
      <c r="S268" t="s">
        <v>37</v>
      </c>
      <c r="W268">
        <v>0</v>
      </c>
      <c r="Z268">
        <v>0</v>
      </c>
    </row>
    <row r="269" spans="1:26" x14ac:dyDescent="0.2">
      <c r="A269">
        <v>4591</v>
      </c>
      <c r="B269" t="s">
        <v>1230</v>
      </c>
      <c r="C269" t="s">
        <v>1231</v>
      </c>
      <c r="D269" t="s">
        <v>1232</v>
      </c>
      <c r="F269" t="str">
        <f>"0060894083"</f>
        <v>0060894083</v>
      </c>
      <c r="G269" t="str">
        <f>"9780060894085"</f>
        <v>9780060894085</v>
      </c>
      <c r="H269">
        <v>0</v>
      </c>
      <c r="I269">
        <v>4.04</v>
      </c>
      <c r="J269" t="s">
        <v>189</v>
      </c>
      <c r="K269" t="s">
        <v>36</v>
      </c>
      <c r="L269">
        <v>344</v>
      </c>
      <c r="M269">
        <v>2006</v>
      </c>
      <c r="N269">
        <v>1999</v>
      </c>
      <c r="P269" s="1">
        <v>43701</v>
      </c>
      <c r="Q269" t="s">
        <v>37</v>
      </c>
      <c r="R269" t="s">
        <v>1233</v>
      </c>
      <c r="S269" t="s">
        <v>37</v>
      </c>
      <c r="W269">
        <v>0</v>
      </c>
      <c r="Z269">
        <v>0</v>
      </c>
    </row>
    <row r="270" spans="1:26" x14ac:dyDescent="0.2">
      <c r="A270">
        <v>3162916</v>
      </c>
      <c r="B270" t="s">
        <v>1234</v>
      </c>
      <c r="C270" t="s">
        <v>1235</v>
      </c>
      <c r="D270" t="s">
        <v>1236</v>
      </c>
      <c r="F270" t="str">
        <f>"3764334622"</f>
        <v>3764334622</v>
      </c>
      <c r="G270" t="str">
        <f>"9783764334628"</f>
        <v>9783764334628</v>
      </c>
      <c r="H270">
        <v>0</v>
      </c>
      <c r="I270">
        <v>3.08</v>
      </c>
      <c r="N270">
        <v>1990</v>
      </c>
      <c r="P270" s="1">
        <v>43701</v>
      </c>
      <c r="Q270" t="s">
        <v>37</v>
      </c>
      <c r="R270" t="s">
        <v>1237</v>
      </c>
      <c r="S270" t="s">
        <v>37</v>
      </c>
      <c r="W270">
        <v>0</v>
      </c>
      <c r="Z270">
        <v>0</v>
      </c>
    </row>
    <row r="271" spans="1:26" x14ac:dyDescent="0.2">
      <c r="A271">
        <v>334749</v>
      </c>
      <c r="B271" t="s">
        <v>1238</v>
      </c>
      <c r="C271" t="s">
        <v>1239</v>
      </c>
      <c r="D271" t="s">
        <v>1240</v>
      </c>
      <c r="F271" t="str">
        <f>"0393704637"</f>
        <v>0393704637</v>
      </c>
      <c r="G271" t="str">
        <f>"9780393704631"</f>
        <v>9780393704631</v>
      </c>
      <c r="H271">
        <v>0</v>
      </c>
      <c r="I271">
        <v>4.03</v>
      </c>
      <c r="J271" t="s">
        <v>642</v>
      </c>
      <c r="K271" t="s">
        <v>49</v>
      </c>
      <c r="L271">
        <v>312</v>
      </c>
      <c r="M271">
        <v>2007</v>
      </c>
      <c r="N271">
        <v>2006</v>
      </c>
      <c r="P271" s="1">
        <v>43701</v>
      </c>
      <c r="Q271" t="s">
        <v>37</v>
      </c>
      <c r="R271" t="s">
        <v>1241</v>
      </c>
      <c r="S271" t="s">
        <v>37</v>
      </c>
      <c r="W271">
        <v>0</v>
      </c>
      <c r="Z271">
        <v>0</v>
      </c>
    </row>
    <row r="272" spans="1:26" x14ac:dyDescent="0.2">
      <c r="A272">
        <v>7733</v>
      </c>
      <c r="B272" t="s">
        <v>1242</v>
      </c>
      <c r="C272" t="s">
        <v>1243</v>
      </c>
      <c r="D272" t="s">
        <v>1244</v>
      </c>
      <c r="E272" t="s">
        <v>1245</v>
      </c>
      <c r="F272" t="str">
        <f>"0141439491"</f>
        <v>0141439491</v>
      </c>
      <c r="G272" t="str">
        <f>"9780141439495"</f>
        <v>9780141439495</v>
      </c>
      <c r="H272">
        <v>0</v>
      </c>
      <c r="I272">
        <v>3.57</v>
      </c>
      <c r="J272" t="s">
        <v>145</v>
      </c>
      <c r="K272" t="s">
        <v>36</v>
      </c>
      <c r="L272">
        <v>306</v>
      </c>
      <c r="M272">
        <v>2003</v>
      </c>
      <c r="N272">
        <v>1726</v>
      </c>
      <c r="P272" s="1">
        <v>43701</v>
      </c>
      <c r="Q272" t="s">
        <v>37</v>
      </c>
      <c r="R272" t="s">
        <v>1246</v>
      </c>
      <c r="S272" t="s">
        <v>37</v>
      </c>
      <c r="W272">
        <v>0</v>
      </c>
      <c r="Z272">
        <v>0</v>
      </c>
    </row>
    <row r="273" spans="1:26" x14ac:dyDescent="0.2">
      <c r="A273">
        <v>606346</v>
      </c>
      <c r="B273" t="s">
        <v>1247</v>
      </c>
      <c r="C273" t="s">
        <v>1248</v>
      </c>
      <c r="D273" t="s">
        <v>1249</v>
      </c>
      <c r="F273" t="str">
        <f>"0520207173"</f>
        <v>0520207173</v>
      </c>
      <c r="G273" t="str">
        <f>"9780520207172"</f>
        <v>9780520207172</v>
      </c>
      <c r="H273">
        <v>0</v>
      </c>
      <c r="I273">
        <v>3.22</v>
      </c>
      <c r="J273" t="s">
        <v>241</v>
      </c>
      <c r="K273" t="s">
        <v>36</v>
      </c>
      <c r="L273">
        <v>214</v>
      </c>
      <c r="M273">
        <v>1997</v>
      </c>
      <c r="N273">
        <v>1997</v>
      </c>
      <c r="P273" s="1">
        <v>43701</v>
      </c>
      <c r="Q273" t="s">
        <v>37</v>
      </c>
      <c r="R273" t="s">
        <v>1250</v>
      </c>
      <c r="S273" t="s">
        <v>37</v>
      </c>
      <c r="W273">
        <v>0</v>
      </c>
      <c r="Z273">
        <v>0</v>
      </c>
    </row>
    <row r="274" spans="1:26" x14ac:dyDescent="0.2">
      <c r="A274">
        <v>1044795</v>
      </c>
      <c r="B274" t="s">
        <v>1251</v>
      </c>
      <c r="C274" t="s">
        <v>1252</v>
      </c>
      <c r="D274" t="s">
        <v>1253</v>
      </c>
      <c r="F274" t="str">
        <f>"0815701535"</f>
        <v>0815701535</v>
      </c>
      <c r="G274" t="str">
        <f>"9780815701538"</f>
        <v>9780815701538</v>
      </c>
      <c r="H274">
        <v>0</v>
      </c>
      <c r="I274">
        <v>4</v>
      </c>
      <c r="J274" t="s">
        <v>1254</v>
      </c>
      <c r="K274" t="s">
        <v>36</v>
      </c>
      <c r="M274">
        <v>1998</v>
      </c>
      <c r="N274">
        <v>1998</v>
      </c>
      <c r="P274" s="1">
        <v>43701</v>
      </c>
      <c r="Q274" t="s">
        <v>37</v>
      </c>
      <c r="R274" t="s">
        <v>1255</v>
      </c>
      <c r="S274" t="s">
        <v>37</v>
      </c>
      <c r="W274">
        <v>0</v>
      </c>
      <c r="Z274">
        <v>0</v>
      </c>
    </row>
    <row r="275" spans="1:26" x14ac:dyDescent="0.2">
      <c r="A275">
        <v>4822090</v>
      </c>
      <c r="B275" t="s">
        <v>1256</v>
      </c>
      <c r="C275" t="s">
        <v>1257</v>
      </c>
      <c r="D275" t="s">
        <v>1258</v>
      </c>
      <c r="F275" t="str">
        <f>"0850651646"</f>
        <v>0850651646</v>
      </c>
      <c r="G275" t="str">
        <f>"9780850651645"</f>
        <v>9780850651645</v>
      </c>
      <c r="H275">
        <v>0</v>
      </c>
      <c r="I275">
        <v>4.3899999999999997</v>
      </c>
      <c r="N275">
        <v>1949</v>
      </c>
      <c r="P275" s="1">
        <v>43701</v>
      </c>
      <c r="Q275" t="s">
        <v>37</v>
      </c>
      <c r="R275" t="s">
        <v>1259</v>
      </c>
      <c r="S275" t="s">
        <v>37</v>
      </c>
      <c r="W275">
        <v>0</v>
      </c>
      <c r="Z275">
        <v>0</v>
      </c>
    </row>
    <row r="276" spans="1:26" x14ac:dyDescent="0.2">
      <c r="A276">
        <v>257845</v>
      </c>
      <c r="B276" t="s">
        <v>1260</v>
      </c>
      <c r="C276" t="s">
        <v>1261</v>
      </c>
      <c r="D276" t="s">
        <v>1262</v>
      </c>
      <c r="F276" t="str">
        <f>"1585673692"</f>
        <v>1585673692</v>
      </c>
      <c r="G276" t="str">
        <f>"9781585673698"</f>
        <v>9781585673698</v>
      </c>
      <c r="H276">
        <v>0</v>
      </c>
      <c r="I276">
        <v>4.1500000000000004</v>
      </c>
      <c r="J276" t="s">
        <v>140</v>
      </c>
      <c r="K276" t="s">
        <v>36</v>
      </c>
      <c r="L276">
        <v>224</v>
      </c>
      <c r="M276">
        <v>2002</v>
      </c>
      <c r="N276">
        <v>1968</v>
      </c>
      <c r="P276" s="1">
        <v>43701</v>
      </c>
      <c r="Q276" t="s">
        <v>37</v>
      </c>
      <c r="R276" t="s">
        <v>1263</v>
      </c>
      <c r="S276" t="s">
        <v>37</v>
      </c>
      <c r="W276">
        <v>0</v>
      </c>
      <c r="Z276">
        <v>0</v>
      </c>
    </row>
    <row r="277" spans="1:26" x14ac:dyDescent="0.2">
      <c r="A277">
        <v>22174460</v>
      </c>
      <c r="B277" t="s">
        <v>1264</v>
      </c>
      <c r="C277" t="s">
        <v>1265</v>
      </c>
      <c r="D277" t="s">
        <v>1266</v>
      </c>
      <c r="E277" t="s">
        <v>1267</v>
      </c>
      <c r="F277" t="str">
        <f>"1250065631"</f>
        <v>1250065631</v>
      </c>
      <c r="G277" t="str">
        <f>"9781250065636"</f>
        <v>9781250065636</v>
      </c>
      <c r="H277">
        <v>0</v>
      </c>
      <c r="I277">
        <v>3.87</v>
      </c>
      <c r="J277" t="s">
        <v>1268</v>
      </c>
      <c r="K277" t="s">
        <v>49</v>
      </c>
      <c r="L277">
        <v>368</v>
      </c>
      <c r="M277">
        <v>2015</v>
      </c>
      <c r="N277">
        <v>2015</v>
      </c>
      <c r="P277" s="1">
        <v>43701</v>
      </c>
      <c r="Q277" t="s">
        <v>37</v>
      </c>
      <c r="R277" t="s">
        <v>1269</v>
      </c>
      <c r="S277" t="s">
        <v>37</v>
      </c>
      <c r="W277">
        <v>0</v>
      </c>
      <c r="Z277">
        <v>0</v>
      </c>
    </row>
    <row r="278" spans="1:26" x14ac:dyDescent="0.2">
      <c r="A278">
        <v>18757597</v>
      </c>
      <c r="B278" t="s">
        <v>1270</v>
      </c>
      <c r="C278" t="s">
        <v>1271</v>
      </c>
      <c r="D278" t="s">
        <v>1272</v>
      </c>
      <c r="F278" t="str">
        <f>""</f>
        <v/>
      </c>
      <c r="G278" t="str">
        <f>""</f>
        <v/>
      </c>
      <c r="H278">
        <v>0</v>
      </c>
      <c r="I278">
        <v>3.96</v>
      </c>
      <c r="J278" t="s">
        <v>1273</v>
      </c>
      <c r="K278" t="s">
        <v>49</v>
      </c>
      <c r="L278">
        <v>416</v>
      </c>
      <c r="M278">
        <v>2013</v>
      </c>
      <c r="N278">
        <v>2013</v>
      </c>
      <c r="P278" s="1">
        <v>43701</v>
      </c>
      <c r="Q278" t="s">
        <v>37</v>
      </c>
      <c r="R278" t="s">
        <v>1274</v>
      </c>
      <c r="S278" t="s">
        <v>37</v>
      </c>
      <c r="W278">
        <v>0</v>
      </c>
      <c r="Z278">
        <v>0</v>
      </c>
    </row>
    <row r="279" spans="1:26" x14ac:dyDescent="0.2">
      <c r="A279">
        <v>507952</v>
      </c>
      <c r="B279" t="s">
        <v>1275</v>
      </c>
      <c r="C279" t="s">
        <v>1276</v>
      </c>
      <c r="D279" t="s">
        <v>1277</v>
      </c>
      <c r="F279" t="str">
        <f>"0375758844"</f>
        <v>0375758844</v>
      </c>
      <c r="G279" t="str">
        <f>"9780375758843"</f>
        <v>9780375758843</v>
      </c>
      <c r="H279">
        <v>0</v>
      </c>
      <c r="I279">
        <v>4.04</v>
      </c>
      <c r="J279" t="s">
        <v>1278</v>
      </c>
      <c r="K279" t="s">
        <v>36</v>
      </c>
      <c r="L279">
        <v>464</v>
      </c>
      <c r="M279">
        <v>2004</v>
      </c>
      <c r="N279">
        <v>2003</v>
      </c>
      <c r="P279" s="1">
        <v>43701</v>
      </c>
      <c r="Q279" t="s">
        <v>37</v>
      </c>
      <c r="R279" t="s">
        <v>1279</v>
      </c>
      <c r="S279" t="s">
        <v>37</v>
      </c>
      <c r="W279">
        <v>0</v>
      </c>
      <c r="Z279">
        <v>0</v>
      </c>
    </row>
    <row r="280" spans="1:26" x14ac:dyDescent="0.2">
      <c r="A280">
        <v>224379</v>
      </c>
      <c r="B280" t="s">
        <v>1280</v>
      </c>
      <c r="C280" t="s">
        <v>1281</v>
      </c>
      <c r="D280" t="s">
        <v>1282</v>
      </c>
      <c r="F280" t="str">
        <f>"0767900561"</f>
        <v>0767900561</v>
      </c>
      <c r="G280" t="str">
        <f>"9780767900560"</f>
        <v>9780767900560</v>
      </c>
      <c r="H280">
        <v>0</v>
      </c>
      <c r="I280">
        <v>4.22</v>
      </c>
      <c r="J280" t="s">
        <v>79</v>
      </c>
      <c r="K280" t="s">
        <v>49</v>
      </c>
      <c r="L280">
        <v>610</v>
      </c>
      <c r="M280">
        <v>2003</v>
      </c>
      <c r="N280">
        <v>2003</v>
      </c>
      <c r="P280" s="1">
        <v>43701</v>
      </c>
      <c r="Q280" t="s">
        <v>37</v>
      </c>
      <c r="R280" t="s">
        <v>1283</v>
      </c>
      <c r="S280" t="s">
        <v>37</v>
      </c>
      <c r="W280">
        <v>0</v>
      </c>
      <c r="Z280">
        <v>0</v>
      </c>
    </row>
    <row r="281" spans="1:26" x14ac:dyDescent="0.2">
      <c r="A281">
        <v>355697</v>
      </c>
      <c r="B281" t="s">
        <v>1284</v>
      </c>
      <c r="C281" t="s">
        <v>1285</v>
      </c>
      <c r="D281" t="s">
        <v>1286</v>
      </c>
      <c r="E281" t="s">
        <v>1287</v>
      </c>
      <c r="F281" t="str">
        <f>"0449213943"</f>
        <v>0449213943</v>
      </c>
      <c r="G281" t="str">
        <f>"9780449213940"</f>
        <v>9780449213940</v>
      </c>
      <c r="H281">
        <v>0</v>
      </c>
      <c r="I281">
        <v>3.97</v>
      </c>
      <c r="J281" t="s">
        <v>1288</v>
      </c>
      <c r="K281" t="s">
        <v>520</v>
      </c>
      <c r="L281">
        <v>296</v>
      </c>
      <c r="M281">
        <v>1987</v>
      </c>
      <c r="N281">
        <v>1929</v>
      </c>
      <c r="P281" s="1">
        <v>43701</v>
      </c>
      <c r="Q281" t="s">
        <v>37</v>
      </c>
      <c r="R281" t="s">
        <v>1289</v>
      </c>
      <c r="S281" t="s">
        <v>37</v>
      </c>
      <c r="W281">
        <v>0</v>
      </c>
      <c r="Z281">
        <v>0</v>
      </c>
    </row>
    <row r="282" spans="1:26" x14ac:dyDescent="0.2">
      <c r="A282">
        <v>64895</v>
      </c>
      <c r="B282" t="s">
        <v>1290</v>
      </c>
      <c r="C282" t="s">
        <v>1291</v>
      </c>
      <c r="D282" t="s">
        <v>1292</v>
      </c>
      <c r="F282" t="str">
        <f>"0099268701"</f>
        <v>0099268701</v>
      </c>
      <c r="G282" t="str">
        <f>"9780099268703"</f>
        <v>9780099268703</v>
      </c>
      <c r="H282">
        <v>0</v>
      </c>
      <c r="I282">
        <v>3.91</v>
      </c>
      <c r="J282" t="s">
        <v>1293</v>
      </c>
      <c r="K282" t="s">
        <v>36</v>
      </c>
      <c r="L282">
        <v>294</v>
      </c>
      <c r="M282">
        <v>1999</v>
      </c>
      <c r="N282">
        <v>1997</v>
      </c>
      <c r="P282" s="1">
        <v>43701</v>
      </c>
      <c r="Q282" t="s">
        <v>37</v>
      </c>
      <c r="R282" t="s">
        <v>1294</v>
      </c>
      <c r="S282" t="s">
        <v>37</v>
      </c>
      <c r="W282">
        <v>0</v>
      </c>
      <c r="Z282">
        <v>0</v>
      </c>
    </row>
    <row r="283" spans="1:26" x14ac:dyDescent="0.2">
      <c r="A283">
        <v>2715</v>
      </c>
      <c r="B283" t="s">
        <v>1295</v>
      </c>
      <c r="C283" t="s">
        <v>1291</v>
      </c>
      <c r="D283" t="s">
        <v>1292</v>
      </c>
      <c r="F283" t="str">
        <f>"0142001619"</f>
        <v>0142001619</v>
      </c>
      <c r="G283" t="str">
        <f>"9780142001615"</f>
        <v>9780142001615</v>
      </c>
      <c r="H283">
        <v>0</v>
      </c>
      <c r="I283">
        <v>3.74</v>
      </c>
      <c r="J283" t="s">
        <v>217</v>
      </c>
      <c r="K283" t="s">
        <v>36</v>
      </c>
      <c r="L283">
        <v>484</v>
      </c>
      <c r="M283">
        <v>2003</v>
      </c>
      <c r="N283">
        <v>2002</v>
      </c>
      <c r="P283" s="1">
        <v>43701</v>
      </c>
      <c r="Q283" t="s">
        <v>37</v>
      </c>
      <c r="R283" t="s">
        <v>1296</v>
      </c>
      <c r="S283" t="s">
        <v>37</v>
      </c>
      <c r="W283">
        <v>0</v>
      </c>
      <c r="Z283">
        <v>0</v>
      </c>
    </row>
    <row r="284" spans="1:26" x14ac:dyDescent="0.2">
      <c r="A284">
        <v>152038</v>
      </c>
      <c r="B284" t="s">
        <v>1297</v>
      </c>
      <c r="C284" t="s">
        <v>1298</v>
      </c>
      <c r="D284" t="s">
        <v>1299</v>
      </c>
      <c r="F284" t="str">
        <f>"1556524838"</f>
        <v>1556524838</v>
      </c>
      <c r="G284" t="str">
        <f>"9781556524837"</f>
        <v>9781556524837</v>
      </c>
      <c r="H284">
        <v>0</v>
      </c>
      <c r="I284">
        <v>4.34</v>
      </c>
      <c r="J284" t="s">
        <v>1300</v>
      </c>
      <c r="K284" t="s">
        <v>36</v>
      </c>
      <c r="L284">
        <v>709</v>
      </c>
      <c r="M284">
        <v>2003</v>
      </c>
      <c r="N284">
        <v>1972</v>
      </c>
      <c r="P284" s="1">
        <v>43701</v>
      </c>
      <c r="Q284" t="s">
        <v>37</v>
      </c>
      <c r="R284" t="s">
        <v>1301</v>
      </c>
      <c r="S284" t="s">
        <v>37</v>
      </c>
      <c r="W284">
        <v>0</v>
      </c>
      <c r="Z284">
        <v>0</v>
      </c>
    </row>
    <row r="285" spans="1:26" x14ac:dyDescent="0.2">
      <c r="A285">
        <v>5983996</v>
      </c>
      <c r="B285" t="s">
        <v>1302</v>
      </c>
      <c r="C285" t="s">
        <v>1303</v>
      </c>
      <c r="D285" t="s">
        <v>1304</v>
      </c>
      <c r="E285" t="s">
        <v>1305</v>
      </c>
      <c r="F285" t="str">
        <f>"0385527241"</f>
        <v>0385527241</v>
      </c>
      <c r="G285" t="str">
        <f>"9780385527248"</f>
        <v>9780385527248</v>
      </c>
      <c r="H285">
        <v>0</v>
      </c>
      <c r="I285">
        <v>4.1100000000000003</v>
      </c>
      <c r="J285" t="s">
        <v>1306</v>
      </c>
      <c r="K285" t="s">
        <v>49</v>
      </c>
      <c r="L285">
        <v>336</v>
      </c>
      <c r="M285">
        <v>2009</v>
      </c>
      <c r="N285">
        <v>2007</v>
      </c>
      <c r="P285" s="1">
        <v>43701</v>
      </c>
      <c r="Q285" t="s">
        <v>37</v>
      </c>
      <c r="R285" t="s">
        <v>1307</v>
      </c>
      <c r="S285" t="s">
        <v>37</v>
      </c>
      <c r="W285">
        <v>0</v>
      </c>
      <c r="Z285">
        <v>0</v>
      </c>
    </row>
    <row r="286" spans="1:26" x14ac:dyDescent="0.2">
      <c r="A286">
        <v>41817501</v>
      </c>
      <c r="B286" t="s">
        <v>1308</v>
      </c>
      <c r="C286" t="s">
        <v>1309</v>
      </c>
      <c r="D286" t="s">
        <v>1310</v>
      </c>
      <c r="F286" t="str">
        <f>"0393357090"</f>
        <v>0393357090</v>
      </c>
      <c r="G286" t="str">
        <f>"9780393357097"</f>
        <v>9780393357097</v>
      </c>
      <c r="H286">
        <v>0</v>
      </c>
      <c r="I286">
        <v>3.63</v>
      </c>
      <c r="J286" t="s">
        <v>642</v>
      </c>
      <c r="K286" t="s">
        <v>36</v>
      </c>
      <c r="L286">
        <v>272</v>
      </c>
      <c r="M286">
        <v>2019</v>
      </c>
      <c r="N286">
        <v>2018</v>
      </c>
      <c r="P286" s="1">
        <v>43701</v>
      </c>
      <c r="Q286" t="s">
        <v>37</v>
      </c>
      <c r="R286" t="s">
        <v>1311</v>
      </c>
      <c r="S286" t="s">
        <v>37</v>
      </c>
      <c r="W286">
        <v>0</v>
      </c>
      <c r="Z286">
        <v>0</v>
      </c>
    </row>
    <row r="287" spans="1:26" x14ac:dyDescent="0.2">
      <c r="A287">
        <v>2033025</v>
      </c>
      <c r="B287" t="s">
        <v>1312</v>
      </c>
      <c r="C287" t="s">
        <v>1313</v>
      </c>
      <c r="D287" t="s">
        <v>1314</v>
      </c>
      <c r="F287" t="str">
        <f>"0002712245"</f>
        <v>0002712245</v>
      </c>
      <c r="G287" t="str">
        <f>"9780002712248"</f>
        <v>9780002712248</v>
      </c>
      <c r="H287">
        <v>0</v>
      </c>
      <c r="I287">
        <v>4.0599999999999996</v>
      </c>
      <c r="J287" t="s">
        <v>1315</v>
      </c>
      <c r="K287" t="s">
        <v>36</v>
      </c>
      <c r="L287">
        <v>304</v>
      </c>
      <c r="M287">
        <v>1998</v>
      </c>
      <c r="N287">
        <v>1951</v>
      </c>
      <c r="P287" s="1">
        <v>43701</v>
      </c>
      <c r="Q287" t="s">
        <v>37</v>
      </c>
      <c r="R287" t="s">
        <v>1316</v>
      </c>
      <c r="S287" t="s">
        <v>37</v>
      </c>
      <c r="W287">
        <v>0</v>
      </c>
      <c r="Z287">
        <v>0</v>
      </c>
    </row>
    <row r="288" spans="1:26" x14ac:dyDescent="0.2">
      <c r="A288">
        <v>40180025</v>
      </c>
      <c r="B288" t="s">
        <v>1317</v>
      </c>
      <c r="C288" t="s">
        <v>1318</v>
      </c>
      <c r="D288" t="s">
        <v>1319</v>
      </c>
      <c r="F288" t="str">
        <f>"0393356582"</f>
        <v>0393356582</v>
      </c>
      <c r="G288" t="str">
        <f>"9780393356588"</f>
        <v>9780393356588</v>
      </c>
      <c r="H288">
        <v>0</v>
      </c>
      <c r="I288">
        <v>3.81</v>
      </c>
      <c r="J288" t="s">
        <v>642</v>
      </c>
      <c r="K288" t="s">
        <v>36</v>
      </c>
      <c r="L288">
        <v>448</v>
      </c>
      <c r="M288">
        <v>2019</v>
      </c>
      <c r="N288">
        <v>2018</v>
      </c>
      <c r="P288" s="1">
        <v>43701</v>
      </c>
      <c r="Q288" t="s">
        <v>37</v>
      </c>
      <c r="R288" t="s">
        <v>1320</v>
      </c>
      <c r="S288" t="s">
        <v>37</v>
      </c>
      <c r="W288">
        <v>0</v>
      </c>
      <c r="Z288">
        <v>0</v>
      </c>
    </row>
    <row r="289" spans="1:26" x14ac:dyDescent="0.2">
      <c r="A289">
        <v>16884</v>
      </c>
      <c r="B289" t="s">
        <v>1321</v>
      </c>
      <c r="C289" t="s">
        <v>1322</v>
      </c>
      <c r="D289" t="s">
        <v>1323</v>
      </c>
      <c r="F289" t="str">
        <f>"0684813785"</f>
        <v>0684813785</v>
      </c>
      <c r="G289" t="str">
        <f>"9780684813783"</f>
        <v>9780684813783</v>
      </c>
      <c r="H289">
        <v>0</v>
      </c>
      <c r="I289">
        <v>4.3600000000000003</v>
      </c>
      <c r="J289" t="s">
        <v>446</v>
      </c>
      <c r="K289" t="s">
        <v>36</v>
      </c>
      <c r="L289">
        <v>886</v>
      </c>
      <c r="M289">
        <v>1995</v>
      </c>
      <c r="N289">
        <v>1986</v>
      </c>
      <c r="P289" s="1">
        <v>43701</v>
      </c>
      <c r="Q289" t="s">
        <v>37</v>
      </c>
      <c r="R289" t="s">
        <v>1324</v>
      </c>
      <c r="S289" t="s">
        <v>37</v>
      </c>
      <c r="W289">
        <v>0</v>
      </c>
      <c r="Z289">
        <v>0</v>
      </c>
    </row>
    <row r="290" spans="1:26" x14ac:dyDescent="0.2">
      <c r="A290">
        <v>8155672</v>
      </c>
      <c r="B290" t="s">
        <v>1325</v>
      </c>
      <c r="C290" t="s">
        <v>1326</v>
      </c>
      <c r="D290" t="s">
        <v>1327</v>
      </c>
      <c r="F290" t="str">
        <f>"0060760222"</f>
        <v>0060760222</v>
      </c>
      <c r="G290" t="str">
        <f>"9780060760229"</f>
        <v>9780060760229</v>
      </c>
      <c r="H290">
        <v>0</v>
      </c>
      <c r="I290">
        <v>4.24</v>
      </c>
      <c r="J290" t="s">
        <v>889</v>
      </c>
      <c r="K290" t="s">
        <v>49</v>
      </c>
      <c r="L290">
        <v>992</v>
      </c>
      <c r="M290">
        <v>2010</v>
      </c>
      <c r="N290">
        <v>2010</v>
      </c>
      <c r="P290" s="1">
        <v>43701</v>
      </c>
      <c r="Q290" t="s">
        <v>37</v>
      </c>
      <c r="R290" t="s">
        <v>1328</v>
      </c>
      <c r="S290" t="s">
        <v>37</v>
      </c>
      <c r="W290">
        <v>0</v>
      </c>
      <c r="Z290">
        <v>0</v>
      </c>
    </row>
    <row r="291" spans="1:26" x14ac:dyDescent="0.2">
      <c r="A291">
        <v>42960</v>
      </c>
      <c r="B291" t="s">
        <v>1329</v>
      </c>
      <c r="C291" t="s">
        <v>1330</v>
      </c>
      <c r="D291" t="s">
        <v>1331</v>
      </c>
      <c r="F291" t="str">
        <f>"0812974921"</f>
        <v>0812974921</v>
      </c>
      <c r="G291" t="str">
        <f>"9780812974928"</f>
        <v>9780812974928</v>
      </c>
      <c r="H291">
        <v>0</v>
      </c>
      <c r="I291">
        <v>3.93</v>
      </c>
      <c r="J291" t="s">
        <v>1332</v>
      </c>
      <c r="K291" t="s">
        <v>36</v>
      </c>
      <c r="L291">
        <v>672</v>
      </c>
      <c r="M291">
        <v>2005</v>
      </c>
      <c r="N291">
        <v>1989</v>
      </c>
      <c r="P291" s="1">
        <v>43701</v>
      </c>
      <c r="Q291" t="s">
        <v>37</v>
      </c>
      <c r="R291" t="s">
        <v>1333</v>
      </c>
      <c r="S291" t="s">
        <v>37</v>
      </c>
      <c r="W291">
        <v>0</v>
      </c>
      <c r="Z291">
        <v>0</v>
      </c>
    </row>
    <row r="292" spans="1:26" x14ac:dyDescent="0.2">
      <c r="A292">
        <v>10266902</v>
      </c>
      <c r="B292" t="s">
        <v>1334</v>
      </c>
      <c r="C292" t="s">
        <v>1335</v>
      </c>
      <c r="D292" t="s">
        <v>1336</v>
      </c>
      <c r="F292" t="str">
        <f>"046501867X"</f>
        <v>046501867X</v>
      </c>
      <c r="G292" t="str">
        <f>"9780465018673"</f>
        <v>9780465018673</v>
      </c>
      <c r="H292">
        <v>0</v>
      </c>
      <c r="I292">
        <v>3.5</v>
      </c>
      <c r="J292" t="s">
        <v>176</v>
      </c>
      <c r="K292" t="s">
        <v>49</v>
      </c>
      <c r="L292">
        <v>240</v>
      </c>
      <c r="M292">
        <v>2011</v>
      </c>
      <c r="N292">
        <v>2011</v>
      </c>
      <c r="P292" s="1">
        <v>43701</v>
      </c>
      <c r="Q292" t="s">
        <v>37</v>
      </c>
      <c r="R292" t="s">
        <v>1337</v>
      </c>
      <c r="S292" t="s">
        <v>37</v>
      </c>
      <c r="W292">
        <v>0</v>
      </c>
      <c r="Z292">
        <v>0</v>
      </c>
    </row>
    <row r="293" spans="1:26" x14ac:dyDescent="0.2">
      <c r="A293">
        <v>698866</v>
      </c>
      <c r="B293" t="s">
        <v>1338</v>
      </c>
      <c r="C293" t="s">
        <v>1335</v>
      </c>
      <c r="D293" t="s">
        <v>1336</v>
      </c>
      <c r="F293" t="str">
        <f>"0691129428"</f>
        <v>0691129428</v>
      </c>
      <c r="G293" t="str">
        <f>"9780691129426"</f>
        <v>9780691129426</v>
      </c>
      <c r="H293">
        <v>0</v>
      </c>
      <c r="I293">
        <v>3.94</v>
      </c>
      <c r="J293" t="s">
        <v>565</v>
      </c>
      <c r="K293" t="s">
        <v>49</v>
      </c>
      <c r="L293">
        <v>276</v>
      </c>
      <c r="M293">
        <v>2007</v>
      </c>
      <c r="N293">
        <v>2007</v>
      </c>
      <c r="P293" s="1">
        <v>43701</v>
      </c>
      <c r="Q293" t="s">
        <v>37</v>
      </c>
      <c r="R293" t="s">
        <v>1339</v>
      </c>
      <c r="S293" t="s">
        <v>37</v>
      </c>
      <c r="W293">
        <v>0</v>
      </c>
      <c r="Z293">
        <v>0</v>
      </c>
    </row>
    <row r="294" spans="1:26" x14ac:dyDescent="0.2">
      <c r="A294">
        <v>36319077</v>
      </c>
      <c r="B294" t="s">
        <v>1340</v>
      </c>
      <c r="C294" t="s">
        <v>1335</v>
      </c>
      <c r="D294" t="s">
        <v>1336</v>
      </c>
      <c r="F294" t="str">
        <f>"0691174652"</f>
        <v>0691174652</v>
      </c>
      <c r="G294" t="str">
        <f>"9780691174655"</f>
        <v>9780691174655</v>
      </c>
      <c r="H294">
        <v>0</v>
      </c>
      <c r="I294">
        <v>4.04</v>
      </c>
      <c r="J294" t="s">
        <v>565</v>
      </c>
      <c r="K294" t="s">
        <v>49</v>
      </c>
      <c r="L294">
        <v>416</v>
      </c>
      <c r="M294">
        <v>2018</v>
      </c>
      <c r="N294">
        <v>2018</v>
      </c>
      <c r="P294" s="1">
        <v>43701</v>
      </c>
      <c r="Q294" t="s">
        <v>37</v>
      </c>
      <c r="R294" t="s">
        <v>1341</v>
      </c>
      <c r="S294" t="s">
        <v>37</v>
      </c>
      <c r="W294">
        <v>0</v>
      </c>
      <c r="Z294">
        <v>0</v>
      </c>
    </row>
    <row r="295" spans="1:26" x14ac:dyDescent="0.2">
      <c r="A295">
        <v>89158</v>
      </c>
      <c r="B295" t="s">
        <v>1342</v>
      </c>
      <c r="C295" t="s">
        <v>1343</v>
      </c>
      <c r="D295" t="s">
        <v>1344</v>
      </c>
      <c r="F295" t="str">
        <f>"0691128715"</f>
        <v>0691128715</v>
      </c>
      <c r="G295" t="str">
        <f>"9780691128719"</f>
        <v>9780691128719</v>
      </c>
      <c r="H295">
        <v>0</v>
      </c>
      <c r="I295">
        <v>4.04</v>
      </c>
      <c r="J295" t="s">
        <v>565</v>
      </c>
      <c r="K295" t="s">
        <v>36</v>
      </c>
      <c r="L295">
        <v>321</v>
      </c>
      <c r="M295">
        <v>2006</v>
      </c>
      <c r="N295">
        <v>2005</v>
      </c>
      <c r="P295" s="1">
        <v>43701</v>
      </c>
      <c r="Q295" t="s">
        <v>37</v>
      </c>
      <c r="R295" t="s">
        <v>1345</v>
      </c>
      <c r="S295" t="s">
        <v>37</v>
      </c>
      <c r="W295">
        <v>0</v>
      </c>
      <c r="Z295">
        <v>0</v>
      </c>
    </row>
    <row r="296" spans="1:26" x14ac:dyDescent="0.2">
      <c r="A296">
        <v>4929</v>
      </c>
      <c r="B296" t="s">
        <v>1346</v>
      </c>
      <c r="C296" t="s">
        <v>1347</v>
      </c>
      <c r="D296" t="s">
        <v>1348</v>
      </c>
      <c r="E296" t="s">
        <v>1349</v>
      </c>
      <c r="F296" t="str">
        <f>"1400079276"</f>
        <v>1400079276</v>
      </c>
      <c r="G296" t="str">
        <f>"9781400079278"</f>
        <v>9781400079278</v>
      </c>
      <c r="H296">
        <v>0</v>
      </c>
      <c r="I296">
        <v>4.1399999999999997</v>
      </c>
      <c r="J296" t="s">
        <v>773</v>
      </c>
      <c r="K296" t="s">
        <v>36</v>
      </c>
      <c r="L296">
        <v>467</v>
      </c>
      <c r="M296">
        <v>2006</v>
      </c>
      <c r="N296">
        <v>2002</v>
      </c>
      <c r="P296" s="1">
        <v>43701</v>
      </c>
      <c r="Q296" t="s">
        <v>37</v>
      </c>
      <c r="R296" t="s">
        <v>1350</v>
      </c>
      <c r="S296" t="s">
        <v>37</v>
      </c>
      <c r="W296">
        <v>0</v>
      </c>
      <c r="Z296">
        <v>0</v>
      </c>
    </row>
    <row r="297" spans="1:26" x14ac:dyDescent="0.2">
      <c r="A297">
        <v>30141085</v>
      </c>
      <c r="B297" t="s">
        <v>1351</v>
      </c>
      <c r="C297" t="s">
        <v>1352</v>
      </c>
      <c r="D297" t="s">
        <v>1353</v>
      </c>
      <c r="F297" t="str">
        <f>""</f>
        <v/>
      </c>
      <c r="G297" t="str">
        <f>""</f>
        <v/>
      </c>
      <c r="H297">
        <v>0</v>
      </c>
      <c r="I297">
        <v>4.0199999999999996</v>
      </c>
      <c r="K297" t="s">
        <v>36</v>
      </c>
      <c r="L297">
        <v>131</v>
      </c>
      <c r="N297">
        <v>1922</v>
      </c>
      <c r="P297" s="1">
        <v>43701</v>
      </c>
      <c r="Q297" t="s">
        <v>37</v>
      </c>
      <c r="R297" t="s">
        <v>1354</v>
      </c>
      <c r="S297" t="s">
        <v>37</v>
      </c>
      <c r="W297">
        <v>0</v>
      </c>
      <c r="Z297">
        <v>0</v>
      </c>
    </row>
    <row r="298" spans="1:26" x14ac:dyDescent="0.2">
      <c r="A298">
        <v>1041018</v>
      </c>
      <c r="B298" t="s">
        <v>1355</v>
      </c>
      <c r="C298" t="s">
        <v>1356</v>
      </c>
      <c r="D298" t="s">
        <v>1357</v>
      </c>
      <c r="E298" t="s">
        <v>1358</v>
      </c>
      <c r="F298" t="str">
        <f>"1932033467"</f>
        <v>1932033467</v>
      </c>
      <c r="G298" t="str">
        <f>"9781932033465"</f>
        <v>9781932033465</v>
      </c>
      <c r="H298">
        <v>0</v>
      </c>
      <c r="I298">
        <v>3.96</v>
      </c>
      <c r="J298" t="s">
        <v>1359</v>
      </c>
      <c r="K298" t="s">
        <v>36</v>
      </c>
      <c r="L298">
        <v>256</v>
      </c>
      <c r="M298">
        <v>2005</v>
      </c>
      <c r="N298">
        <v>2003</v>
      </c>
      <c r="P298" s="1">
        <v>43701</v>
      </c>
      <c r="Q298" t="s">
        <v>37</v>
      </c>
      <c r="R298" t="s">
        <v>1360</v>
      </c>
      <c r="S298" t="s">
        <v>37</v>
      </c>
      <c r="W298">
        <v>0</v>
      </c>
      <c r="Z298">
        <v>0</v>
      </c>
    </row>
    <row r="299" spans="1:26" x14ac:dyDescent="0.2">
      <c r="A299">
        <v>110890</v>
      </c>
      <c r="B299" t="s">
        <v>1361</v>
      </c>
      <c r="C299" t="s">
        <v>1362</v>
      </c>
      <c r="D299" t="s">
        <v>1363</v>
      </c>
      <c r="F299" t="str">
        <f>"037541486X"</f>
        <v>037541486X</v>
      </c>
      <c r="G299" t="str">
        <f>"9780375414862"</f>
        <v>9780375414862</v>
      </c>
      <c r="H299">
        <v>0</v>
      </c>
      <c r="I299">
        <v>4.38</v>
      </c>
      <c r="J299" t="s">
        <v>1364</v>
      </c>
      <c r="K299" t="s">
        <v>49</v>
      </c>
      <c r="L299">
        <v>469</v>
      </c>
      <c r="M299">
        <v>2006</v>
      </c>
      <c r="N299">
        <v>2006</v>
      </c>
      <c r="P299" s="1">
        <v>43701</v>
      </c>
      <c r="Q299" t="s">
        <v>37</v>
      </c>
      <c r="R299" t="s">
        <v>1365</v>
      </c>
      <c r="S299" t="s">
        <v>37</v>
      </c>
      <c r="W299">
        <v>0</v>
      </c>
      <c r="Z299">
        <v>0</v>
      </c>
    </row>
    <row r="300" spans="1:26" x14ac:dyDescent="0.2">
      <c r="A300">
        <v>2459714</v>
      </c>
      <c r="B300" t="s">
        <v>1366</v>
      </c>
      <c r="C300" t="s">
        <v>1367</v>
      </c>
      <c r="D300" t="s">
        <v>1368</v>
      </c>
      <c r="F300" t="str">
        <f>"0061567582"</f>
        <v>0061567582</v>
      </c>
      <c r="G300" t="str">
        <f>"9780061567582"</f>
        <v>9780061567582</v>
      </c>
      <c r="H300">
        <v>0</v>
      </c>
      <c r="I300">
        <v>3.79</v>
      </c>
      <c r="J300" t="s">
        <v>889</v>
      </c>
      <c r="K300" t="s">
        <v>49</v>
      </c>
      <c r="L300">
        <v>336</v>
      </c>
      <c r="M300">
        <v>2008</v>
      </c>
      <c r="N300">
        <v>2008</v>
      </c>
      <c r="P300" s="1">
        <v>43701</v>
      </c>
      <c r="Q300" t="s">
        <v>37</v>
      </c>
      <c r="R300" t="s">
        <v>1369</v>
      </c>
      <c r="S300" t="s">
        <v>37</v>
      </c>
      <c r="W300">
        <v>0</v>
      </c>
      <c r="Z300">
        <v>0</v>
      </c>
    </row>
    <row r="301" spans="1:26" x14ac:dyDescent="0.2">
      <c r="A301">
        <v>32829</v>
      </c>
      <c r="B301" t="s">
        <v>1370</v>
      </c>
      <c r="C301" t="s">
        <v>363</v>
      </c>
      <c r="D301" t="s">
        <v>364</v>
      </c>
      <c r="F301" t="str">
        <f>"0553213970"</f>
        <v>0553213970</v>
      </c>
      <c r="G301" t="str">
        <f>"9780553213973"</f>
        <v>9780553213973</v>
      </c>
      <c r="H301">
        <v>0</v>
      </c>
      <c r="I301">
        <v>3.86</v>
      </c>
      <c r="J301" t="s">
        <v>1371</v>
      </c>
      <c r="K301" t="s">
        <v>36</v>
      </c>
      <c r="L301">
        <v>240</v>
      </c>
      <c r="M301">
        <v>2006</v>
      </c>
      <c r="N301">
        <v>1864</v>
      </c>
      <c r="P301" s="1">
        <v>43701</v>
      </c>
      <c r="Q301" t="s">
        <v>37</v>
      </c>
      <c r="R301" t="s">
        <v>1372</v>
      </c>
      <c r="S301" t="s">
        <v>37</v>
      </c>
      <c r="W301">
        <v>0</v>
      </c>
      <c r="Z301">
        <v>0</v>
      </c>
    </row>
    <row r="302" spans="1:26" x14ac:dyDescent="0.2">
      <c r="A302">
        <v>248510</v>
      </c>
      <c r="B302" t="s">
        <v>1373</v>
      </c>
      <c r="C302" t="s">
        <v>1374</v>
      </c>
      <c r="D302" t="s">
        <v>1375</v>
      </c>
      <c r="F302" t="str">
        <f>"0306812983"</f>
        <v>0306812983</v>
      </c>
      <c r="G302" t="str">
        <f>"9780306812989"</f>
        <v>9780306812989</v>
      </c>
      <c r="H302">
        <v>0</v>
      </c>
      <c r="I302">
        <v>4.18</v>
      </c>
      <c r="J302" t="s">
        <v>118</v>
      </c>
      <c r="K302" t="s">
        <v>36</v>
      </c>
      <c r="L302">
        <v>672</v>
      </c>
      <c r="M302">
        <v>2003</v>
      </c>
      <c r="N302">
        <v>1969</v>
      </c>
      <c r="P302" s="1">
        <v>43701</v>
      </c>
      <c r="Q302" t="s">
        <v>37</v>
      </c>
      <c r="R302" t="s">
        <v>1376</v>
      </c>
      <c r="S302" t="s">
        <v>37</v>
      </c>
      <c r="W302">
        <v>0</v>
      </c>
      <c r="Z302">
        <v>0</v>
      </c>
    </row>
    <row r="303" spans="1:26" x14ac:dyDescent="0.2">
      <c r="A303">
        <v>7126</v>
      </c>
      <c r="B303" t="s">
        <v>1377</v>
      </c>
      <c r="C303" t="s">
        <v>192</v>
      </c>
      <c r="D303" t="s">
        <v>193</v>
      </c>
      <c r="E303" t="s">
        <v>1378</v>
      </c>
      <c r="F303" t="str">
        <f>"0140449264"</f>
        <v>0140449264</v>
      </c>
      <c r="G303" t="str">
        <f>"9780140449266"</f>
        <v>9780140449266</v>
      </c>
      <c r="H303">
        <v>0</v>
      </c>
      <c r="I303">
        <v>4.25</v>
      </c>
      <c r="J303" t="s">
        <v>125</v>
      </c>
      <c r="K303" t="s">
        <v>36</v>
      </c>
      <c r="L303">
        <v>1276</v>
      </c>
      <c r="M303">
        <v>2003</v>
      </c>
      <c r="N303">
        <v>1844</v>
      </c>
      <c r="P303" s="1">
        <v>43701</v>
      </c>
      <c r="Q303" t="s">
        <v>37</v>
      </c>
      <c r="R303" t="s">
        <v>1379</v>
      </c>
      <c r="S303" t="s">
        <v>37</v>
      </c>
      <c r="W303">
        <v>0</v>
      </c>
      <c r="Z303">
        <v>0</v>
      </c>
    </row>
    <row r="304" spans="1:26" x14ac:dyDescent="0.2">
      <c r="A304">
        <v>514313</v>
      </c>
      <c r="B304" t="s">
        <v>1380</v>
      </c>
      <c r="C304" t="s">
        <v>1381</v>
      </c>
      <c r="D304" t="s">
        <v>1382</v>
      </c>
      <c r="F304" t="str">
        <f>"0743225708"</f>
        <v>0743225708</v>
      </c>
      <c r="G304" t="str">
        <f>"9780743225700"</f>
        <v>9780743225700</v>
      </c>
      <c r="H304">
        <v>0</v>
      </c>
      <c r="I304">
        <v>3.89</v>
      </c>
      <c r="J304" t="s">
        <v>35</v>
      </c>
      <c r="K304" t="s">
        <v>49</v>
      </c>
      <c r="L304">
        <v>272</v>
      </c>
      <c r="M304">
        <v>2002</v>
      </c>
      <c r="N304">
        <v>2002</v>
      </c>
      <c r="P304" s="1">
        <v>43701</v>
      </c>
      <c r="Q304" t="s">
        <v>37</v>
      </c>
      <c r="R304" t="s">
        <v>1383</v>
      </c>
      <c r="S304" t="s">
        <v>37</v>
      </c>
      <c r="W304">
        <v>0</v>
      </c>
      <c r="Z304">
        <v>0</v>
      </c>
    </row>
    <row r="305" spans="1:26" x14ac:dyDescent="0.2">
      <c r="A305">
        <v>34066798</v>
      </c>
      <c r="B305" t="s">
        <v>1384</v>
      </c>
      <c r="C305" t="s">
        <v>1385</v>
      </c>
      <c r="D305" t="s">
        <v>1386</v>
      </c>
      <c r="F305" t="str">
        <f>"0143110438"</f>
        <v>0143110438</v>
      </c>
      <c r="G305" t="str">
        <f>"9780143110439"</f>
        <v>9780143110439</v>
      </c>
      <c r="H305">
        <v>0</v>
      </c>
      <c r="I305">
        <v>4.3499999999999996</v>
      </c>
      <c r="J305" t="s">
        <v>217</v>
      </c>
      <c r="K305" t="s">
        <v>36</v>
      </c>
      <c r="L305">
        <v>496</v>
      </c>
      <c r="M305">
        <v>2019</v>
      </c>
      <c r="N305">
        <v>2016</v>
      </c>
      <c r="P305" s="1">
        <v>43701</v>
      </c>
      <c r="Q305" t="s">
        <v>37</v>
      </c>
      <c r="R305" t="s">
        <v>1387</v>
      </c>
      <c r="S305" t="s">
        <v>37</v>
      </c>
      <c r="W305">
        <v>0</v>
      </c>
      <c r="Z305">
        <v>0</v>
      </c>
    </row>
    <row r="306" spans="1:26" x14ac:dyDescent="0.2">
      <c r="A306">
        <v>30354429</v>
      </c>
      <c r="B306" t="s">
        <v>1388</v>
      </c>
      <c r="C306" t="s">
        <v>1389</v>
      </c>
      <c r="D306" t="s">
        <v>1390</v>
      </c>
      <c r="F306" t="str">
        <f>"1476794049"</f>
        <v>1476794049</v>
      </c>
      <c r="G306" t="str">
        <f>"9781476794044"</f>
        <v>9781476794044</v>
      </c>
      <c r="H306">
        <v>0</v>
      </c>
      <c r="I306">
        <v>3.66</v>
      </c>
      <c r="J306" t="s">
        <v>1391</v>
      </c>
      <c r="K306" t="s">
        <v>49</v>
      </c>
      <c r="L306">
        <v>307</v>
      </c>
      <c r="M306">
        <v>2017</v>
      </c>
      <c r="N306">
        <v>2017</v>
      </c>
      <c r="P306" s="1">
        <v>43701</v>
      </c>
      <c r="Q306" t="s">
        <v>37</v>
      </c>
      <c r="R306" t="s">
        <v>1392</v>
      </c>
      <c r="S306" t="s">
        <v>37</v>
      </c>
      <c r="W306">
        <v>0</v>
      </c>
      <c r="Z306">
        <v>0</v>
      </c>
    </row>
    <row r="307" spans="1:26" x14ac:dyDescent="0.2">
      <c r="A307">
        <v>145660</v>
      </c>
      <c r="B307" t="s">
        <v>1393</v>
      </c>
      <c r="C307" t="s">
        <v>1394</v>
      </c>
      <c r="D307" t="s">
        <v>1395</v>
      </c>
      <c r="E307" t="s">
        <v>1396</v>
      </c>
      <c r="F307" t="str">
        <f>"0679728562"</f>
        <v>0679728562</v>
      </c>
      <c r="G307" t="str">
        <f>"9780679728566"</f>
        <v>9780679728566</v>
      </c>
      <c r="H307">
        <v>0</v>
      </c>
      <c r="I307">
        <v>4.26</v>
      </c>
      <c r="J307" t="s">
        <v>314</v>
      </c>
      <c r="K307" t="s">
        <v>36</v>
      </c>
      <c r="L307">
        <v>272</v>
      </c>
      <c r="M307">
        <v>1990</v>
      </c>
      <c r="N307">
        <v>1953</v>
      </c>
      <c r="P307" s="1">
        <v>43701</v>
      </c>
      <c r="Q307" t="s">
        <v>37</v>
      </c>
      <c r="R307" t="s">
        <v>1397</v>
      </c>
      <c r="S307" t="s">
        <v>37</v>
      </c>
      <c r="W307">
        <v>0</v>
      </c>
      <c r="Z307">
        <v>0</v>
      </c>
    </row>
    <row r="308" spans="1:26" x14ac:dyDescent="0.2">
      <c r="A308">
        <v>21853661</v>
      </c>
      <c r="B308" t="s">
        <v>1398</v>
      </c>
      <c r="C308" t="s">
        <v>1399</v>
      </c>
      <c r="D308" t="s">
        <v>1400</v>
      </c>
      <c r="E308" t="s">
        <v>1401</v>
      </c>
      <c r="F308" t="str">
        <f>"1250045444"</f>
        <v>1250045444</v>
      </c>
      <c r="G308" t="str">
        <f>"9781250045447"</f>
        <v>9781250045447</v>
      </c>
      <c r="H308">
        <v>0</v>
      </c>
      <c r="I308">
        <v>4.12</v>
      </c>
      <c r="J308" t="s">
        <v>1268</v>
      </c>
      <c r="K308" t="s">
        <v>49</v>
      </c>
      <c r="L308">
        <v>320</v>
      </c>
      <c r="M308">
        <v>2015</v>
      </c>
      <c r="N308">
        <v>2015</v>
      </c>
      <c r="P308" s="1">
        <v>43701</v>
      </c>
      <c r="Q308" t="s">
        <v>37</v>
      </c>
      <c r="R308" t="s">
        <v>1402</v>
      </c>
      <c r="S308" t="s">
        <v>37</v>
      </c>
      <c r="W308">
        <v>0</v>
      </c>
      <c r="Z308">
        <v>0</v>
      </c>
    </row>
    <row r="309" spans="1:26" x14ac:dyDescent="0.2">
      <c r="A309">
        <v>6308079</v>
      </c>
      <c r="B309" t="s">
        <v>1403</v>
      </c>
      <c r="C309" t="s">
        <v>1404</v>
      </c>
      <c r="D309" t="s">
        <v>1405</v>
      </c>
      <c r="E309" t="s">
        <v>1406</v>
      </c>
      <c r="F309" t="str">
        <f>"0061661228"</f>
        <v>0061661228</v>
      </c>
      <c r="G309" t="str">
        <f>"9780061661228"</f>
        <v>9780061661228</v>
      </c>
      <c r="H309">
        <v>0</v>
      </c>
      <c r="I309">
        <v>4.29</v>
      </c>
      <c r="J309" t="s">
        <v>889</v>
      </c>
      <c r="K309" t="s">
        <v>49</v>
      </c>
      <c r="L309">
        <v>400</v>
      </c>
      <c r="M309">
        <v>2010</v>
      </c>
      <c r="N309">
        <v>2010</v>
      </c>
      <c r="P309" s="1">
        <v>43701</v>
      </c>
      <c r="Q309" t="s">
        <v>37</v>
      </c>
      <c r="R309" t="s">
        <v>1407</v>
      </c>
      <c r="S309" t="s">
        <v>37</v>
      </c>
      <c r="W309">
        <v>0</v>
      </c>
      <c r="Z309">
        <v>0</v>
      </c>
    </row>
    <row r="310" spans="1:26" x14ac:dyDescent="0.2">
      <c r="A310">
        <v>64582</v>
      </c>
      <c r="B310" t="s">
        <v>1408</v>
      </c>
      <c r="C310" t="s">
        <v>52</v>
      </c>
      <c r="D310" t="s">
        <v>53</v>
      </c>
      <c r="F310" t="str">
        <f>"0140092501"</f>
        <v>0140092501</v>
      </c>
      <c r="G310" t="str">
        <f>"9780140092509"</f>
        <v>9780140092509</v>
      </c>
      <c r="H310">
        <v>0</v>
      </c>
      <c r="I310">
        <v>4</v>
      </c>
      <c r="J310" t="s">
        <v>217</v>
      </c>
      <c r="K310" t="s">
        <v>36</v>
      </c>
      <c r="L310">
        <v>352</v>
      </c>
      <c r="M310">
        <v>1988</v>
      </c>
      <c r="N310">
        <v>1987</v>
      </c>
      <c r="P310" s="1">
        <v>43701</v>
      </c>
      <c r="Q310" t="s">
        <v>37</v>
      </c>
      <c r="R310" t="s">
        <v>1409</v>
      </c>
      <c r="S310" t="s">
        <v>37</v>
      </c>
      <c r="W310">
        <v>0</v>
      </c>
      <c r="Z310">
        <v>0</v>
      </c>
    </row>
    <row r="311" spans="1:26" x14ac:dyDescent="0.2">
      <c r="A311">
        <v>28110891</v>
      </c>
      <c r="B311" t="s">
        <v>1410</v>
      </c>
      <c r="C311" t="s">
        <v>1411</v>
      </c>
      <c r="D311" t="s">
        <v>1412</v>
      </c>
      <c r="E311" t="s">
        <v>1413</v>
      </c>
      <c r="F311" t="str">
        <f>"0761169083"</f>
        <v>0761169083</v>
      </c>
      <c r="G311" t="str">
        <f>"9780761169086"</f>
        <v>9780761169086</v>
      </c>
      <c r="H311">
        <v>0</v>
      </c>
      <c r="I311">
        <v>4.25</v>
      </c>
      <c r="J311" t="s">
        <v>1414</v>
      </c>
      <c r="K311" t="s">
        <v>49</v>
      </c>
      <c r="L311">
        <v>470</v>
      </c>
      <c r="M311">
        <v>2016</v>
      </c>
      <c r="N311">
        <v>2016</v>
      </c>
      <c r="P311" s="1">
        <v>43701</v>
      </c>
      <c r="Q311" t="s">
        <v>37</v>
      </c>
      <c r="R311" t="s">
        <v>1415</v>
      </c>
      <c r="S311" t="s">
        <v>37</v>
      </c>
      <c r="W311">
        <v>0</v>
      </c>
      <c r="Z311">
        <v>0</v>
      </c>
    </row>
    <row r="312" spans="1:26" x14ac:dyDescent="0.2">
      <c r="A312">
        <v>17471298</v>
      </c>
      <c r="B312" t="s">
        <v>1416</v>
      </c>
      <c r="C312" t="s">
        <v>1417</v>
      </c>
      <c r="D312" t="s">
        <v>1418</v>
      </c>
      <c r="F312" t="str">
        <f>"0521199565"</f>
        <v>0521199565</v>
      </c>
      <c r="G312" t="str">
        <f>"9780521199568"</f>
        <v>9780521199568</v>
      </c>
      <c r="H312">
        <v>0</v>
      </c>
      <c r="I312">
        <v>4.1399999999999997</v>
      </c>
      <c r="J312" t="s">
        <v>246</v>
      </c>
      <c r="K312" t="s">
        <v>36</v>
      </c>
      <c r="L312">
        <v>370</v>
      </c>
      <c r="M312">
        <v>2013</v>
      </c>
      <c r="N312">
        <v>2013</v>
      </c>
      <c r="P312" s="1">
        <v>43701</v>
      </c>
      <c r="Q312" t="s">
        <v>37</v>
      </c>
      <c r="R312" t="s">
        <v>1419</v>
      </c>
      <c r="S312" t="s">
        <v>37</v>
      </c>
      <c r="W312">
        <v>0</v>
      </c>
      <c r="Z312">
        <v>0</v>
      </c>
    </row>
    <row r="313" spans="1:26" x14ac:dyDescent="0.2">
      <c r="A313">
        <v>20527133</v>
      </c>
      <c r="B313" t="s">
        <v>1420</v>
      </c>
      <c r="C313" t="s">
        <v>1421</v>
      </c>
      <c r="D313" t="s">
        <v>1422</v>
      </c>
      <c r="F313" t="str">
        <f>"0199678111"</f>
        <v>0199678111</v>
      </c>
      <c r="G313" t="str">
        <f>"9780199678112"</f>
        <v>9780199678112</v>
      </c>
      <c r="H313">
        <v>0</v>
      </c>
      <c r="I313">
        <v>3.87</v>
      </c>
      <c r="J313" t="s">
        <v>451</v>
      </c>
      <c r="K313" t="s">
        <v>49</v>
      </c>
      <c r="L313">
        <v>328</v>
      </c>
      <c r="M313">
        <v>2014</v>
      </c>
      <c r="N313">
        <v>2014</v>
      </c>
      <c r="P313" s="1">
        <v>43701</v>
      </c>
      <c r="Q313" t="s">
        <v>37</v>
      </c>
      <c r="R313" t="s">
        <v>1423</v>
      </c>
      <c r="S313" t="s">
        <v>37</v>
      </c>
      <c r="W313">
        <v>0</v>
      </c>
      <c r="Z313">
        <v>0</v>
      </c>
    </row>
    <row r="314" spans="1:26" x14ac:dyDescent="0.2">
      <c r="A314">
        <v>13629</v>
      </c>
      <c r="B314" t="s">
        <v>1424</v>
      </c>
      <c r="C314" t="s">
        <v>1425</v>
      </c>
      <c r="D314" t="s">
        <v>1426</v>
      </c>
      <c r="F314" t="str">
        <f>"0201835959"</f>
        <v>0201835959</v>
      </c>
      <c r="G314" t="str">
        <f>"9780201835953"</f>
        <v>9780201835953</v>
      </c>
      <c r="H314">
        <v>0</v>
      </c>
      <c r="I314">
        <v>4.05</v>
      </c>
      <c r="J314" t="s">
        <v>1427</v>
      </c>
      <c r="K314" t="s">
        <v>36</v>
      </c>
      <c r="L314">
        <v>322</v>
      </c>
      <c r="M314">
        <v>1995</v>
      </c>
      <c r="N314">
        <v>1975</v>
      </c>
      <c r="P314" s="1">
        <v>43700</v>
      </c>
      <c r="Q314" t="s">
        <v>37</v>
      </c>
      <c r="R314" t="s">
        <v>1428</v>
      </c>
      <c r="S314" t="s">
        <v>37</v>
      </c>
      <c r="W314">
        <v>0</v>
      </c>
      <c r="Z314">
        <v>0</v>
      </c>
    </row>
    <row r="315" spans="1:26" x14ac:dyDescent="0.2">
      <c r="A315">
        <v>24583</v>
      </c>
      <c r="B315" t="s">
        <v>1429</v>
      </c>
      <c r="C315" t="s">
        <v>280</v>
      </c>
      <c r="D315" t="s">
        <v>281</v>
      </c>
      <c r="E315" t="s">
        <v>1430</v>
      </c>
      <c r="F315" t="str">
        <f>"0143039563"</f>
        <v>0143039563</v>
      </c>
      <c r="G315" t="str">
        <f>"9780143039563"</f>
        <v>9780143039563</v>
      </c>
      <c r="H315">
        <v>0</v>
      </c>
      <c r="I315">
        <v>3.91</v>
      </c>
      <c r="J315" t="s">
        <v>125</v>
      </c>
      <c r="K315" t="s">
        <v>36</v>
      </c>
      <c r="L315">
        <v>244</v>
      </c>
      <c r="M315">
        <v>2006</v>
      </c>
      <c r="N315">
        <v>1875</v>
      </c>
      <c r="P315" s="1">
        <v>43700</v>
      </c>
      <c r="Q315" t="s">
        <v>37</v>
      </c>
      <c r="R315" t="s">
        <v>1431</v>
      </c>
      <c r="S315" t="s">
        <v>37</v>
      </c>
      <c r="W315">
        <v>0</v>
      </c>
      <c r="Z315">
        <v>0</v>
      </c>
    </row>
    <row r="316" spans="1:26" x14ac:dyDescent="0.2">
      <c r="A316">
        <v>40102</v>
      </c>
      <c r="B316" t="s">
        <v>1432</v>
      </c>
      <c r="C316" t="s">
        <v>1433</v>
      </c>
      <c r="D316" t="s">
        <v>1434</v>
      </c>
      <c r="F316" t="str">
        <f>"0316010669"</f>
        <v>0316010669</v>
      </c>
      <c r="G316" t="str">
        <f>"9780316010665"</f>
        <v>9780316010665</v>
      </c>
      <c r="H316">
        <v>0</v>
      </c>
      <c r="I316">
        <v>3.93</v>
      </c>
      <c r="J316" t="s">
        <v>922</v>
      </c>
      <c r="K316" t="s">
        <v>36</v>
      </c>
      <c r="L316">
        <v>296</v>
      </c>
      <c r="M316">
        <v>2007</v>
      </c>
      <c r="N316">
        <v>2005</v>
      </c>
      <c r="P316" s="1">
        <v>43700</v>
      </c>
      <c r="Q316" t="s">
        <v>37</v>
      </c>
      <c r="R316" t="s">
        <v>1435</v>
      </c>
      <c r="S316" t="s">
        <v>37</v>
      </c>
      <c r="W316">
        <v>0</v>
      </c>
      <c r="Z316">
        <v>0</v>
      </c>
    </row>
    <row r="317" spans="1:26" x14ac:dyDescent="0.2">
      <c r="A317">
        <v>78127</v>
      </c>
      <c r="B317" t="s">
        <v>1436</v>
      </c>
      <c r="C317" t="s">
        <v>598</v>
      </c>
      <c r="D317" t="s">
        <v>599</v>
      </c>
      <c r="F317" t="str">
        <f>"0316191442"</f>
        <v>0316191442</v>
      </c>
      <c r="G317" t="str">
        <f>"9780316191449"</f>
        <v>9780316191449</v>
      </c>
      <c r="H317">
        <v>0</v>
      </c>
      <c r="I317">
        <v>4.17</v>
      </c>
      <c r="J317" t="s">
        <v>922</v>
      </c>
      <c r="K317" t="s">
        <v>36</v>
      </c>
      <c r="L317">
        <v>367</v>
      </c>
      <c r="M317">
        <v>2003</v>
      </c>
      <c r="N317">
        <v>1995</v>
      </c>
      <c r="P317" s="1">
        <v>43700</v>
      </c>
      <c r="S317" t="s">
        <v>57</v>
      </c>
      <c r="W317">
        <v>1</v>
      </c>
      <c r="Z317">
        <v>0</v>
      </c>
    </row>
    <row r="318" spans="1:26" x14ac:dyDescent="0.2">
      <c r="A318">
        <v>12936</v>
      </c>
      <c r="B318" t="s">
        <v>1437</v>
      </c>
      <c r="C318" t="s">
        <v>660</v>
      </c>
      <c r="D318" t="s">
        <v>661</v>
      </c>
      <c r="F318" t="str">
        <f>"0385732562"</f>
        <v>0385732562</v>
      </c>
      <c r="G318" t="str">
        <f>"9780385732567"</f>
        <v>9780385732567</v>
      </c>
      <c r="H318">
        <v>0</v>
      </c>
      <c r="I318">
        <v>3.82</v>
      </c>
      <c r="J318" t="s">
        <v>1438</v>
      </c>
      <c r="K318" t="s">
        <v>36</v>
      </c>
      <c r="L318">
        <v>240</v>
      </c>
      <c r="M318">
        <v>2000</v>
      </c>
      <c r="N318">
        <v>2000</v>
      </c>
      <c r="P318" s="1">
        <v>43700</v>
      </c>
      <c r="S318" t="s">
        <v>57</v>
      </c>
      <c r="W318">
        <v>1</v>
      </c>
      <c r="Z318">
        <v>0</v>
      </c>
    </row>
    <row r="319" spans="1:26" x14ac:dyDescent="0.2">
      <c r="A319">
        <v>12930</v>
      </c>
      <c r="B319" t="s">
        <v>1439</v>
      </c>
      <c r="C319" t="s">
        <v>660</v>
      </c>
      <c r="D319" t="s">
        <v>661</v>
      </c>
      <c r="F319" t="str">
        <f>"0385732538"</f>
        <v>0385732538</v>
      </c>
      <c r="G319" t="str">
        <f>"9780385732536"</f>
        <v>9780385732536</v>
      </c>
      <c r="H319">
        <v>0</v>
      </c>
      <c r="I319">
        <v>3.91</v>
      </c>
      <c r="J319" t="s">
        <v>1440</v>
      </c>
      <c r="K319" t="s">
        <v>36</v>
      </c>
      <c r="L319">
        <v>169</v>
      </c>
      <c r="M319">
        <v>2006</v>
      </c>
      <c r="N319">
        <v>2004</v>
      </c>
      <c r="P319" s="1">
        <v>43700</v>
      </c>
      <c r="S319" t="s">
        <v>57</v>
      </c>
      <c r="W319">
        <v>1</v>
      </c>
      <c r="Z319">
        <v>0</v>
      </c>
    </row>
    <row r="320" spans="1:26" x14ac:dyDescent="0.2">
      <c r="A320">
        <v>19057</v>
      </c>
      <c r="B320" t="s">
        <v>1441</v>
      </c>
      <c r="C320" t="s">
        <v>1442</v>
      </c>
      <c r="D320" t="s">
        <v>1443</v>
      </c>
      <c r="E320" t="s">
        <v>1444</v>
      </c>
      <c r="F320" t="str">
        <f>"0375836675"</f>
        <v>0375836675</v>
      </c>
      <c r="G320" t="str">
        <f>"9780375836671"</f>
        <v>9780375836671</v>
      </c>
      <c r="H320">
        <v>0</v>
      </c>
      <c r="I320">
        <v>4.07</v>
      </c>
      <c r="J320" t="s">
        <v>1445</v>
      </c>
      <c r="K320" t="s">
        <v>36</v>
      </c>
      <c r="L320">
        <v>357</v>
      </c>
      <c r="M320">
        <v>2006</v>
      </c>
      <c r="N320">
        <v>2002</v>
      </c>
      <c r="P320" s="1">
        <v>43700</v>
      </c>
      <c r="S320" t="s">
        <v>57</v>
      </c>
      <c r="W320">
        <v>1</v>
      </c>
      <c r="Z320">
        <v>0</v>
      </c>
    </row>
    <row r="321" spans="1:26" x14ac:dyDescent="0.2">
      <c r="A321">
        <v>27127656</v>
      </c>
      <c r="B321" t="s">
        <v>1446</v>
      </c>
      <c r="C321" t="s">
        <v>163</v>
      </c>
      <c r="D321" t="s">
        <v>164</v>
      </c>
      <c r="F321" t="str">
        <f>"1517514614"</f>
        <v>1517514614</v>
      </c>
      <c r="G321" t="str">
        <f>"9781517514617"</f>
        <v>9781517514617</v>
      </c>
      <c r="H321">
        <v>0</v>
      </c>
      <c r="I321">
        <v>3.5</v>
      </c>
      <c r="J321" t="s">
        <v>1447</v>
      </c>
      <c r="K321" t="s">
        <v>36</v>
      </c>
      <c r="L321">
        <v>738</v>
      </c>
      <c r="M321">
        <v>2015</v>
      </c>
      <c r="N321">
        <v>2015</v>
      </c>
      <c r="P321" s="1">
        <v>43700</v>
      </c>
      <c r="S321" t="s">
        <v>57</v>
      </c>
      <c r="W321">
        <v>1</v>
      </c>
      <c r="Z321">
        <v>0</v>
      </c>
    </row>
    <row r="322" spans="1:26" x14ac:dyDescent="0.2">
      <c r="A322">
        <v>23106539</v>
      </c>
      <c r="B322" t="s">
        <v>1448</v>
      </c>
      <c r="C322" t="s">
        <v>1449</v>
      </c>
      <c r="D322" t="s">
        <v>1450</v>
      </c>
      <c r="F322" t="str">
        <f>"1905559658"</f>
        <v>1905559658</v>
      </c>
      <c r="G322" t="str">
        <f>"9781905559657"</f>
        <v>9781905559657</v>
      </c>
      <c r="H322">
        <v>0</v>
      </c>
      <c r="I322">
        <v>3.66</v>
      </c>
      <c r="J322" t="s">
        <v>1451</v>
      </c>
      <c r="K322" t="s">
        <v>42</v>
      </c>
      <c r="L322">
        <v>336</v>
      </c>
      <c r="M322">
        <v>2014</v>
      </c>
      <c r="N322">
        <v>2014</v>
      </c>
      <c r="P322" s="1">
        <v>43700</v>
      </c>
      <c r="Q322" t="s">
        <v>37</v>
      </c>
      <c r="R322" t="s">
        <v>1452</v>
      </c>
      <c r="S322" t="s">
        <v>37</v>
      </c>
      <c r="W322">
        <v>0</v>
      </c>
      <c r="Z322">
        <v>0</v>
      </c>
    </row>
    <row r="323" spans="1:26" x14ac:dyDescent="0.2">
      <c r="A323">
        <v>33507</v>
      </c>
      <c r="B323" t="s">
        <v>1453</v>
      </c>
      <c r="C323" t="s">
        <v>363</v>
      </c>
      <c r="D323" t="s">
        <v>364</v>
      </c>
      <c r="E323" t="s">
        <v>1454</v>
      </c>
      <c r="F323" t="str">
        <f>"076072850X"</f>
        <v>076072850X</v>
      </c>
      <c r="G323" t="str">
        <f>"9780760728505"</f>
        <v>9780760728505</v>
      </c>
      <c r="H323">
        <v>0</v>
      </c>
      <c r="I323">
        <v>3.88</v>
      </c>
      <c r="J323" t="s">
        <v>1455</v>
      </c>
      <c r="K323" t="s">
        <v>49</v>
      </c>
      <c r="L323">
        <v>394</v>
      </c>
      <c r="M323">
        <v>2002</v>
      </c>
      <c r="N323">
        <v>1869</v>
      </c>
      <c r="P323" s="1">
        <v>43700</v>
      </c>
      <c r="S323" t="s">
        <v>57</v>
      </c>
      <c r="W323">
        <v>1</v>
      </c>
      <c r="Z323">
        <v>0</v>
      </c>
    </row>
    <row r="324" spans="1:26" x14ac:dyDescent="0.2">
      <c r="A324">
        <v>32831</v>
      </c>
      <c r="B324" t="s">
        <v>1456</v>
      </c>
      <c r="C324" t="s">
        <v>363</v>
      </c>
      <c r="D324" t="s">
        <v>364</v>
      </c>
      <c r="E324" t="s">
        <v>1457</v>
      </c>
      <c r="F324" t="str">
        <f>"0812972120"</f>
        <v>0812972120</v>
      </c>
      <c r="G324" t="str">
        <f>"9780812972122"</f>
        <v>9780812972122</v>
      </c>
      <c r="H324">
        <v>0</v>
      </c>
      <c r="I324">
        <v>4.1100000000000003</v>
      </c>
      <c r="J324" t="s">
        <v>194</v>
      </c>
      <c r="K324" t="s">
        <v>36</v>
      </c>
      <c r="L324">
        <v>723</v>
      </c>
      <c r="M324">
        <v>2004</v>
      </c>
      <c r="N324">
        <v>1865</v>
      </c>
      <c r="P324" s="1">
        <v>43700</v>
      </c>
      <c r="S324" t="s">
        <v>57</v>
      </c>
      <c r="W324">
        <v>1</v>
      </c>
      <c r="Z324">
        <v>0</v>
      </c>
    </row>
    <row r="325" spans="1:26" x14ac:dyDescent="0.2">
      <c r="A325">
        <v>5308</v>
      </c>
      <c r="B325" t="s">
        <v>1458</v>
      </c>
      <c r="C325" t="s">
        <v>225</v>
      </c>
      <c r="D325" t="s">
        <v>226</v>
      </c>
      <c r="F325" t="str">
        <f>"0142000698"</f>
        <v>0142000698</v>
      </c>
      <c r="G325" t="str">
        <f>"9780142000694"</f>
        <v>9780142000694</v>
      </c>
      <c r="H325">
        <v>0</v>
      </c>
      <c r="I325">
        <v>3.47</v>
      </c>
      <c r="J325" t="s">
        <v>217</v>
      </c>
      <c r="K325" t="s">
        <v>36</v>
      </c>
      <c r="L325">
        <v>96</v>
      </c>
      <c r="M325">
        <v>2002</v>
      </c>
      <c r="N325">
        <v>1947</v>
      </c>
      <c r="P325" s="1">
        <v>43700</v>
      </c>
      <c r="S325" t="s">
        <v>57</v>
      </c>
      <c r="W325">
        <v>1</v>
      </c>
      <c r="Z325">
        <v>0</v>
      </c>
    </row>
    <row r="326" spans="1:26" x14ac:dyDescent="0.2">
      <c r="A326">
        <v>5907</v>
      </c>
      <c r="B326" t="s">
        <v>1459</v>
      </c>
      <c r="C326" t="s">
        <v>1460</v>
      </c>
      <c r="D326" t="s">
        <v>1461</v>
      </c>
      <c r="F326" t="str">
        <f>"0618260307"</f>
        <v>0618260307</v>
      </c>
      <c r="G326" t="str">
        <f>"9780618260300"</f>
        <v>9780618260300</v>
      </c>
      <c r="H326">
        <v>0</v>
      </c>
      <c r="I326">
        <v>4.2699999999999996</v>
      </c>
      <c r="J326" t="s">
        <v>812</v>
      </c>
      <c r="K326" t="s">
        <v>36</v>
      </c>
      <c r="L326">
        <v>366</v>
      </c>
      <c r="M326">
        <v>2002</v>
      </c>
      <c r="N326">
        <v>1937</v>
      </c>
      <c r="P326" s="1">
        <v>43700</v>
      </c>
      <c r="S326" t="s">
        <v>57</v>
      </c>
      <c r="W326">
        <v>1</v>
      </c>
      <c r="Z326">
        <v>0</v>
      </c>
    </row>
    <row r="327" spans="1:26" x14ac:dyDescent="0.2">
      <c r="A327">
        <v>136251</v>
      </c>
      <c r="B327" t="s">
        <v>1462</v>
      </c>
      <c r="C327" t="s">
        <v>1463</v>
      </c>
      <c r="D327" t="s">
        <v>1464</v>
      </c>
      <c r="F327" t="str">
        <f>"0545010225"</f>
        <v>0545010225</v>
      </c>
      <c r="G327" t="str">
        <f>"9780545010221"</f>
        <v>9780545010221</v>
      </c>
      <c r="H327">
        <v>0</v>
      </c>
      <c r="I327">
        <v>4.62</v>
      </c>
      <c r="J327" t="s">
        <v>1465</v>
      </c>
      <c r="K327" t="s">
        <v>49</v>
      </c>
      <c r="L327">
        <v>759</v>
      </c>
      <c r="M327">
        <v>2007</v>
      </c>
      <c r="N327">
        <v>2007</v>
      </c>
      <c r="P327" s="1">
        <v>43700</v>
      </c>
      <c r="S327" t="s">
        <v>57</v>
      </c>
      <c r="W327">
        <v>1</v>
      </c>
      <c r="Z327">
        <v>0</v>
      </c>
    </row>
    <row r="328" spans="1:26" x14ac:dyDescent="0.2">
      <c r="A328">
        <v>1</v>
      </c>
      <c r="B328" t="s">
        <v>1466</v>
      </c>
      <c r="C328" t="s">
        <v>1463</v>
      </c>
      <c r="D328" t="s">
        <v>1464</v>
      </c>
      <c r="E328" t="s">
        <v>1467</v>
      </c>
      <c r="F328" t="str">
        <f>"0439785960"</f>
        <v>0439785960</v>
      </c>
      <c r="G328" t="str">
        <f>"9780439785969"</f>
        <v>9780439785969</v>
      </c>
      <c r="H328">
        <v>0</v>
      </c>
      <c r="I328">
        <v>4.57</v>
      </c>
      <c r="J328" t="s">
        <v>1468</v>
      </c>
      <c r="K328" t="s">
        <v>36</v>
      </c>
      <c r="L328">
        <v>652</v>
      </c>
      <c r="M328">
        <v>2006</v>
      </c>
      <c r="N328">
        <v>2005</v>
      </c>
      <c r="P328" s="1">
        <v>43700</v>
      </c>
      <c r="S328" t="s">
        <v>57</v>
      </c>
      <c r="W328">
        <v>1</v>
      </c>
      <c r="Z328">
        <v>0</v>
      </c>
    </row>
    <row r="329" spans="1:26" x14ac:dyDescent="0.2">
      <c r="A329">
        <v>2</v>
      </c>
      <c r="B329" t="s">
        <v>1469</v>
      </c>
      <c r="C329" t="s">
        <v>1463</v>
      </c>
      <c r="D329" t="s">
        <v>1464</v>
      </c>
      <c r="E329" t="s">
        <v>1467</v>
      </c>
      <c r="F329" t="str">
        <f>"0439358078"</f>
        <v>0439358078</v>
      </c>
      <c r="G329" t="str">
        <f>"9780439358071"</f>
        <v>9780439358071</v>
      </c>
      <c r="H329">
        <v>0</v>
      </c>
      <c r="I329">
        <v>4.5</v>
      </c>
      <c r="J329" t="s">
        <v>1468</v>
      </c>
      <c r="K329" t="s">
        <v>36</v>
      </c>
      <c r="L329">
        <v>870</v>
      </c>
      <c r="M329">
        <v>2004</v>
      </c>
      <c r="N329">
        <v>2003</v>
      </c>
      <c r="P329" s="1">
        <v>43700</v>
      </c>
      <c r="S329" t="s">
        <v>57</v>
      </c>
      <c r="W329">
        <v>1</v>
      </c>
      <c r="Z329">
        <v>0</v>
      </c>
    </row>
    <row r="330" spans="1:26" x14ac:dyDescent="0.2">
      <c r="A330">
        <v>6</v>
      </c>
      <c r="B330" t="s">
        <v>1470</v>
      </c>
      <c r="C330" t="s">
        <v>1463</v>
      </c>
      <c r="D330" t="s">
        <v>1464</v>
      </c>
      <c r="E330" t="s">
        <v>1467</v>
      </c>
      <c r="F330" t="str">
        <f>""</f>
        <v/>
      </c>
      <c r="G330" t="str">
        <f>""</f>
        <v/>
      </c>
      <c r="H330">
        <v>0</v>
      </c>
      <c r="I330">
        <v>4.5599999999999996</v>
      </c>
      <c r="J330" t="s">
        <v>1471</v>
      </c>
      <c r="K330" t="s">
        <v>36</v>
      </c>
      <c r="L330">
        <v>734</v>
      </c>
      <c r="M330">
        <v>2002</v>
      </c>
      <c r="N330">
        <v>2000</v>
      </c>
      <c r="P330" s="1">
        <v>43700</v>
      </c>
      <c r="S330" t="s">
        <v>57</v>
      </c>
      <c r="W330">
        <v>1</v>
      </c>
      <c r="Z330">
        <v>0</v>
      </c>
    </row>
    <row r="331" spans="1:26" x14ac:dyDescent="0.2">
      <c r="A331">
        <v>15881</v>
      </c>
      <c r="B331" t="s">
        <v>1472</v>
      </c>
      <c r="C331" t="s">
        <v>1463</v>
      </c>
      <c r="D331" t="s">
        <v>1464</v>
      </c>
      <c r="E331" t="s">
        <v>1467</v>
      </c>
      <c r="F331" t="str">
        <f>"0439064864"</f>
        <v>0439064864</v>
      </c>
      <c r="G331" t="str">
        <f>"9780439064866"</f>
        <v>9780439064866</v>
      </c>
      <c r="H331">
        <v>0</v>
      </c>
      <c r="I331">
        <v>4.42</v>
      </c>
      <c r="J331" t="s">
        <v>1465</v>
      </c>
      <c r="K331" t="s">
        <v>49</v>
      </c>
      <c r="L331">
        <v>341</v>
      </c>
      <c r="M331">
        <v>1999</v>
      </c>
      <c r="N331">
        <v>1998</v>
      </c>
      <c r="P331" s="1">
        <v>43700</v>
      </c>
      <c r="S331" t="s">
        <v>57</v>
      </c>
      <c r="W331">
        <v>1</v>
      </c>
      <c r="Z331">
        <v>0</v>
      </c>
    </row>
    <row r="332" spans="1:26" x14ac:dyDescent="0.2">
      <c r="A332">
        <v>5</v>
      </c>
      <c r="B332" t="s">
        <v>1473</v>
      </c>
      <c r="C332" t="s">
        <v>1463</v>
      </c>
      <c r="D332" t="s">
        <v>1464</v>
      </c>
      <c r="E332" t="s">
        <v>1467</v>
      </c>
      <c r="F332" t="str">
        <f>"043965548X"</f>
        <v>043965548X</v>
      </c>
      <c r="G332" t="str">
        <f>"9780439655484"</f>
        <v>9780439655484</v>
      </c>
      <c r="H332">
        <v>0</v>
      </c>
      <c r="I332">
        <v>4.5599999999999996</v>
      </c>
      <c r="J332" t="s">
        <v>1468</v>
      </c>
      <c r="K332" t="s">
        <v>520</v>
      </c>
      <c r="L332">
        <v>435</v>
      </c>
      <c r="M332">
        <v>2004</v>
      </c>
      <c r="N332">
        <v>1999</v>
      </c>
      <c r="P332" s="1">
        <v>43700</v>
      </c>
      <c r="S332" t="s">
        <v>57</v>
      </c>
      <c r="W332">
        <v>1</v>
      </c>
      <c r="Z332">
        <v>0</v>
      </c>
    </row>
    <row r="333" spans="1:26" x14ac:dyDescent="0.2">
      <c r="A333">
        <v>3</v>
      </c>
      <c r="B333" t="s">
        <v>1474</v>
      </c>
      <c r="C333" t="s">
        <v>1463</v>
      </c>
      <c r="D333" t="s">
        <v>1464</v>
      </c>
      <c r="E333" t="s">
        <v>1467</v>
      </c>
      <c r="F333" t="str">
        <f>""</f>
        <v/>
      </c>
      <c r="G333" t="str">
        <f>""</f>
        <v/>
      </c>
      <c r="H333">
        <v>0</v>
      </c>
      <c r="I333">
        <v>4.47</v>
      </c>
      <c r="J333" t="s">
        <v>1475</v>
      </c>
      <c r="K333" t="s">
        <v>49</v>
      </c>
      <c r="L333">
        <v>309</v>
      </c>
      <c r="M333">
        <v>2003</v>
      </c>
      <c r="N333">
        <v>1997</v>
      </c>
      <c r="P333" s="1">
        <v>43700</v>
      </c>
      <c r="S333" t="s">
        <v>57</v>
      </c>
      <c r="W333">
        <v>1</v>
      </c>
      <c r="Z333">
        <v>0</v>
      </c>
    </row>
    <row r="334" spans="1:26" x14ac:dyDescent="0.2">
      <c r="A334">
        <v>43015</v>
      </c>
      <c r="B334" t="s">
        <v>1476</v>
      </c>
      <c r="C334" t="s">
        <v>1477</v>
      </c>
      <c r="D334" t="s">
        <v>1478</v>
      </c>
      <c r="F334" t="str">
        <f>"0374105235"</f>
        <v>0374105235</v>
      </c>
      <c r="G334" t="str">
        <f>"9780374105235"</f>
        <v>9780374105235</v>
      </c>
      <c r="H334">
        <v>0</v>
      </c>
      <c r="I334">
        <v>4.16</v>
      </c>
      <c r="J334" t="s">
        <v>1479</v>
      </c>
      <c r="K334" t="s">
        <v>49</v>
      </c>
      <c r="L334">
        <v>229</v>
      </c>
      <c r="M334">
        <v>2007</v>
      </c>
      <c r="N334">
        <v>2007</v>
      </c>
      <c r="P334" s="1">
        <v>43700</v>
      </c>
      <c r="S334" t="s">
        <v>57</v>
      </c>
      <c r="W334">
        <v>1</v>
      </c>
      <c r="Z334">
        <v>0</v>
      </c>
    </row>
    <row r="335" spans="1:26" x14ac:dyDescent="0.2">
      <c r="A335">
        <v>3758</v>
      </c>
      <c r="B335" t="s">
        <v>1480</v>
      </c>
      <c r="C335" t="s">
        <v>1481</v>
      </c>
      <c r="D335" t="s">
        <v>1482</v>
      </c>
      <c r="F335" t="str">
        <f>"014200202X"</f>
        <v>014200202X</v>
      </c>
      <c r="G335" t="str">
        <f>"9780142002025"</f>
        <v>9780142002025</v>
      </c>
      <c r="H335">
        <v>0</v>
      </c>
      <c r="I335">
        <v>3.73</v>
      </c>
      <c r="J335" t="s">
        <v>145</v>
      </c>
      <c r="K335" t="s">
        <v>36</v>
      </c>
      <c r="L335">
        <v>181</v>
      </c>
      <c r="M335">
        <v>2002</v>
      </c>
      <c r="N335">
        <v>1953</v>
      </c>
      <c r="P335" s="1">
        <v>43700</v>
      </c>
      <c r="S335" t="s">
        <v>57</v>
      </c>
      <c r="W335">
        <v>1</v>
      </c>
      <c r="Z335">
        <v>0</v>
      </c>
    </row>
    <row r="336" spans="1:26" x14ac:dyDescent="0.2">
      <c r="A336">
        <v>29981</v>
      </c>
      <c r="B336" t="s">
        <v>1483</v>
      </c>
      <c r="C336" t="s">
        <v>1484</v>
      </c>
      <c r="D336" t="s">
        <v>1485</v>
      </c>
      <c r="F336" t="str">
        <f>"0553214322"</f>
        <v>0553214322</v>
      </c>
      <c r="G336" t="str">
        <f>"9780553214321"</f>
        <v>9780553214321</v>
      </c>
      <c r="H336">
        <v>0</v>
      </c>
      <c r="I336">
        <v>3.73</v>
      </c>
      <c r="J336" t="s">
        <v>1486</v>
      </c>
      <c r="K336" t="s">
        <v>36</v>
      </c>
      <c r="L336">
        <v>153</v>
      </c>
      <c r="M336">
        <v>1994</v>
      </c>
      <c r="N336">
        <v>1896</v>
      </c>
      <c r="P336" s="1">
        <v>43700</v>
      </c>
      <c r="S336" t="s">
        <v>57</v>
      </c>
      <c r="W336">
        <v>1</v>
      </c>
      <c r="Z336">
        <v>0</v>
      </c>
    </row>
    <row r="337" spans="1:26" x14ac:dyDescent="0.2">
      <c r="A337">
        <v>2657</v>
      </c>
      <c r="B337" t="s">
        <v>1487</v>
      </c>
      <c r="C337" t="s">
        <v>1488</v>
      </c>
      <c r="D337" t="s">
        <v>1489</v>
      </c>
      <c r="F337" t="str">
        <f>""</f>
        <v/>
      </c>
      <c r="G337" t="str">
        <f>""</f>
        <v/>
      </c>
      <c r="H337">
        <v>0</v>
      </c>
      <c r="I337">
        <v>4.2699999999999996</v>
      </c>
      <c r="J337" t="s">
        <v>1490</v>
      </c>
      <c r="K337" t="s">
        <v>36</v>
      </c>
      <c r="L337">
        <v>324</v>
      </c>
      <c r="M337">
        <v>2006</v>
      </c>
      <c r="N337">
        <v>1960</v>
      </c>
      <c r="P337" s="1">
        <v>43700</v>
      </c>
      <c r="S337" t="s">
        <v>57</v>
      </c>
      <c r="W337">
        <v>1</v>
      </c>
      <c r="Z337">
        <v>0</v>
      </c>
    </row>
    <row r="338" spans="1:26" x14ac:dyDescent="0.2">
      <c r="A338">
        <v>34890015</v>
      </c>
      <c r="B338" t="s">
        <v>1491</v>
      </c>
      <c r="C338" t="s">
        <v>1492</v>
      </c>
      <c r="D338" t="s">
        <v>1493</v>
      </c>
      <c r="E338" t="s">
        <v>1494</v>
      </c>
      <c r="F338" t="str">
        <f>"1473637465"</f>
        <v>1473637465</v>
      </c>
      <c r="G338" t="str">
        <f>"9781473637467"</f>
        <v>9781473637467</v>
      </c>
      <c r="H338">
        <v>0</v>
      </c>
      <c r="I338">
        <v>4.37</v>
      </c>
      <c r="J338" t="s">
        <v>1495</v>
      </c>
      <c r="K338" t="s">
        <v>49</v>
      </c>
      <c r="L338">
        <v>342</v>
      </c>
      <c r="M338">
        <v>2018</v>
      </c>
      <c r="N338">
        <v>2018</v>
      </c>
      <c r="P338" s="1">
        <v>43700</v>
      </c>
      <c r="S338" t="s">
        <v>57</v>
      </c>
      <c r="W338">
        <v>1</v>
      </c>
      <c r="Z338">
        <v>0</v>
      </c>
    </row>
    <row r="339" spans="1:26" x14ac:dyDescent="0.2">
      <c r="A339">
        <v>3698</v>
      </c>
      <c r="B339" t="s">
        <v>1496</v>
      </c>
      <c r="C339" t="s">
        <v>419</v>
      </c>
      <c r="D339" t="s">
        <v>420</v>
      </c>
      <c r="E339" t="s">
        <v>1497</v>
      </c>
      <c r="F339" t="str">
        <f>"0143039024"</f>
        <v>0143039024</v>
      </c>
      <c r="G339" t="str">
        <f>"9780143039020"</f>
        <v>9780143039020</v>
      </c>
      <c r="H339">
        <v>0</v>
      </c>
      <c r="I339">
        <v>3.97</v>
      </c>
      <c r="J339" t="s">
        <v>1498</v>
      </c>
      <c r="K339" t="s">
        <v>36</v>
      </c>
      <c r="L339">
        <v>180</v>
      </c>
      <c r="M339">
        <v>2004</v>
      </c>
      <c r="N339">
        <v>1955</v>
      </c>
      <c r="P339" s="1">
        <v>43700</v>
      </c>
      <c r="S339" t="s">
        <v>57</v>
      </c>
      <c r="W339">
        <v>1</v>
      </c>
      <c r="Z339">
        <v>0</v>
      </c>
    </row>
    <row r="340" spans="1:26" x14ac:dyDescent="0.2">
      <c r="A340">
        <v>170448</v>
      </c>
      <c r="B340" t="s">
        <v>1499</v>
      </c>
      <c r="C340" t="s">
        <v>1500</v>
      </c>
      <c r="D340" t="s">
        <v>1501</v>
      </c>
      <c r="E340" t="s">
        <v>1502</v>
      </c>
      <c r="F340" t="str">
        <f>"0451526341"</f>
        <v>0451526341</v>
      </c>
      <c r="G340" t="str">
        <f>"9780451526342"</f>
        <v>9780451526342</v>
      </c>
      <c r="H340">
        <v>0</v>
      </c>
      <c r="I340">
        <v>3.93</v>
      </c>
      <c r="J340" t="s">
        <v>856</v>
      </c>
      <c r="K340" t="s">
        <v>520</v>
      </c>
      <c r="L340">
        <v>141</v>
      </c>
      <c r="M340">
        <v>1996</v>
      </c>
      <c r="N340">
        <v>1945</v>
      </c>
      <c r="P340" s="1">
        <v>43700</v>
      </c>
      <c r="S340" t="s">
        <v>57</v>
      </c>
      <c r="W340">
        <v>1</v>
      </c>
      <c r="Z340">
        <v>0</v>
      </c>
    </row>
    <row r="341" spans="1:26" x14ac:dyDescent="0.2">
      <c r="A341">
        <v>1052</v>
      </c>
      <c r="B341" t="s">
        <v>1503</v>
      </c>
      <c r="C341" t="s">
        <v>1504</v>
      </c>
      <c r="D341" t="s">
        <v>1505</v>
      </c>
      <c r="F341" t="str">
        <f>"0451205367"</f>
        <v>0451205367</v>
      </c>
      <c r="G341" t="str">
        <f>"9780451205360"</f>
        <v>9780451205360</v>
      </c>
      <c r="H341">
        <v>0</v>
      </c>
      <c r="I341">
        <v>4.26</v>
      </c>
      <c r="J341" t="s">
        <v>851</v>
      </c>
      <c r="K341" t="s">
        <v>36</v>
      </c>
      <c r="L341">
        <v>194</v>
      </c>
      <c r="M341">
        <v>2008</v>
      </c>
      <c r="N341">
        <v>1926</v>
      </c>
      <c r="P341" s="1">
        <v>43700</v>
      </c>
      <c r="S341" t="s">
        <v>57</v>
      </c>
      <c r="W341">
        <v>1</v>
      </c>
      <c r="Z341">
        <v>0</v>
      </c>
    </row>
    <row r="342" spans="1:26" x14ac:dyDescent="0.2">
      <c r="A342">
        <v>49455</v>
      </c>
      <c r="B342" t="s">
        <v>1506</v>
      </c>
      <c r="C342" t="s">
        <v>1507</v>
      </c>
      <c r="D342" t="s">
        <v>1508</v>
      </c>
      <c r="E342" t="s">
        <v>1509</v>
      </c>
      <c r="F342" t="str">
        <f>"067973452X"</f>
        <v>067973452X</v>
      </c>
      <c r="G342" t="str">
        <f>"9780679734529"</f>
        <v>9780679734529</v>
      </c>
      <c r="H342">
        <v>0</v>
      </c>
      <c r="I342">
        <v>4.16</v>
      </c>
      <c r="J342" t="s">
        <v>1510</v>
      </c>
      <c r="K342" t="s">
        <v>36</v>
      </c>
      <c r="L342">
        <v>136</v>
      </c>
      <c r="M342">
        <v>1994</v>
      </c>
      <c r="N342">
        <v>1864</v>
      </c>
      <c r="P342" s="1">
        <v>43700</v>
      </c>
      <c r="S342" t="s">
        <v>57</v>
      </c>
      <c r="W342">
        <v>1</v>
      </c>
      <c r="Z342">
        <v>0</v>
      </c>
    </row>
    <row r="343" spans="1:26" x14ac:dyDescent="0.2">
      <c r="A343">
        <v>17877</v>
      </c>
      <c r="B343" t="s">
        <v>1511</v>
      </c>
      <c r="C343" t="s">
        <v>1507</v>
      </c>
      <c r="D343" t="s">
        <v>1508</v>
      </c>
      <c r="E343" t="s">
        <v>1512</v>
      </c>
      <c r="F343" t="str">
        <f>"0486434095"</f>
        <v>0486434095</v>
      </c>
      <c r="G343" t="str">
        <f>"9780486434094"</f>
        <v>9780486434094</v>
      </c>
      <c r="H343">
        <v>0</v>
      </c>
      <c r="I343">
        <v>4.05</v>
      </c>
      <c r="J343" t="s">
        <v>804</v>
      </c>
      <c r="K343" t="s">
        <v>36</v>
      </c>
      <c r="L343">
        <v>247</v>
      </c>
      <c r="M343">
        <v>2004</v>
      </c>
      <c r="N343">
        <v>1861</v>
      </c>
      <c r="P343" s="1">
        <v>43700</v>
      </c>
      <c r="S343" t="s">
        <v>57</v>
      </c>
      <c r="W343">
        <v>1</v>
      </c>
      <c r="Z343">
        <v>0</v>
      </c>
    </row>
    <row r="344" spans="1:26" x14ac:dyDescent="0.2">
      <c r="A344">
        <v>17690</v>
      </c>
      <c r="B344" t="s">
        <v>1513</v>
      </c>
      <c r="C344" t="s">
        <v>1514</v>
      </c>
      <c r="D344" t="s">
        <v>1515</v>
      </c>
      <c r="E344" t="s">
        <v>1516</v>
      </c>
      <c r="F344" t="str">
        <f>"0099428644"</f>
        <v>0099428644</v>
      </c>
      <c r="G344" t="str">
        <f>"9780099428640"</f>
        <v>9780099428640</v>
      </c>
      <c r="H344">
        <v>0</v>
      </c>
      <c r="I344">
        <v>3.97</v>
      </c>
      <c r="J344" t="s">
        <v>314</v>
      </c>
      <c r="K344" t="s">
        <v>36</v>
      </c>
      <c r="L344">
        <v>255</v>
      </c>
      <c r="M344">
        <v>2001</v>
      </c>
      <c r="N344">
        <v>1925</v>
      </c>
      <c r="P344" s="1">
        <v>43699</v>
      </c>
      <c r="S344" t="s">
        <v>57</v>
      </c>
      <c r="W344">
        <v>1</v>
      </c>
      <c r="Z344">
        <v>0</v>
      </c>
    </row>
    <row r="345" spans="1:26" x14ac:dyDescent="0.2">
      <c r="A345">
        <v>23158207</v>
      </c>
      <c r="B345" t="s">
        <v>1517</v>
      </c>
      <c r="C345" t="s">
        <v>1518</v>
      </c>
      <c r="D345" t="s">
        <v>1519</v>
      </c>
      <c r="E345" t="s">
        <v>1520</v>
      </c>
      <c r="F345" t="str">
        <f>""</f>
        <v/>
      </c>
      <c r="G345" t="str">
        <f>""</f>
        <v/>
      </c>
      <c r="H345">
        <v>0</v>
      </c>
      <c r="I345">
        <v>4.0599999999999996</v>
      </c>
      <c r="J345" t="s">
        <v>1521</v>
      </c>
      <c r="K345" t="s">
        <v>62</v>
      </c>
      <c r="L345">
        <v>305</v>
      </c>
      <c r="M345">
        <v>2014</v>
      </c>
      <c r="N345">
        <v>2014</v>
      </c>
      <c r="P345" s="1">
        <v>43699</v>
      </c>
      <c r="S345" t="s">
        <v>57</v>
      </c>
      <c r="W345">
        <v>1</v>
      </c>
      <c r="Z345">
        <v>0</v>
      </c>
    </row>
    <row r="346" spans="1:26" x14ac:dyDescent="0.2">
      <c r="A346">
        <v>15849465</v>
      </c>
      <c r="B346" t="s">
        <v>1522</v>
      </c>
      <c r="C346" t="s">
        <v>1404</v>
      </c>
      <c r="D346" t="s">
        <v>1405</v>
      </c>
      <c r="F346" t="str">
        <f>"0307730700"</f>
        <v>0307730700</v>
      </c>
      <c r="G346" t="str">
        <f>"9780307730701"</f>
        <v>9780307730701</v>
      </c>
      <c r="H346">
        <v>0</v>
      </c>
      <c r="I346">
        <v>4.55</v>
      </c>
      <c r="J346" t="s">
        <v>1523</v>
      </c>
      <c r="K346" t="s">
        <v>36</v>
      </c>
      <c r="L346">
        <v>368</v>
      </c>
      <c r="M346">
        <v>2013</v>
      </c>
      <c r="N346">
        <v>2012</v>
      </c>
      <c r="P346" s="1">
        <v>43699</v>
      </c>
      <c r="S346" t="s">
        <v>57</v>
      </c>
      <c r="W346">
        <v>1</v>
      </c>
      <c r="Z346">
        <v>0</v>
      </c>
    </row>
    <row r="347" spans="1:26" x14ac:dyDescent="0.2">
      <c r="A347">
        <v>31253737</v>
      </c>
      <c r="B347" t="s">
        <v>1524</v>
      </c>
      <c r="C347" t="s">
        <v>1525</v>
      </c>
      <c r="D347" t="s">
        <v>1526</v>
      </c>
      <c r="F347" t="str">
        <f>"1524756202"</f>
        <v>1524756202</v>
      </c>
      <c r="G347" t="str">
        <f>"9781524756208"</f>
        <v>9781524756208</v>
      </c>
      <c r="H347">
        <v>0</v>
      </c>
      <c r="I347">
        <v>4.3499999999999996</v>
      </c>
      <c r="J347" t="s">
        <v>1527</v>
      </c>
      <c r="K347" t="s">
        <v>36</v>
      </c>
      <c r="L347">
        <v>656</v>
      </c>
      <c r="M347">
        <v>2017</v>
      </c>
      <c r="N347">
        <v>2017</v>
      </c>
      <c r="P347" s="1">
        <v>43699</v>
      </c>
      <c r="S347" t="s">
        <v>57</v>
      </c>
      <c r="W347">
        <v>1</v>
      </c>
      <c r="Z347">
        <v>0</v>
      </c>
    </row>
    <row r="348" spans="1:26" x14ac:dyDescent="0.2">
      <c r="A348">
        <v>1971304</v>
      </c>
      <c r="B348" t="s">
        <v>1528</v>
      </c>
      <c r="C348" t="s">
        <v>1529</v>
      </c>
      <c r="D348" t="s">
        <v>1530</v>
      </c>
      <c r="F348" t="str">
        <f>"0670018708"</f>
        <v>0670018708</v>
      </c>
      <c r="G348" t="str">
        <f>"9780670018703"</f>
        <v>9780670018703</v>
      </c>
      <c r="H348">
        <v>0</v>
      </c>
      <c r="I348">
        <v>4.3</v>
      </c>
      <c r="J348" t="s">
        <v>1531</v>
      </c>
      <c r="K348" t="s">
        <v>49</v>
      </c>
      <c r="L348">
        <v>258</v>
      </c>
      <c r="M348">
        <v>2008</v>
      </c>
      <c r="N348">
        <v>2008</v>
      </c>
      <c r="P348" s="1">
        <v>43699</v>
      </c>
      <c r="S348" t="s">
        <v>57</v>
      </c>
      <c r="W348">
        <v>1</v>
      </c>
      <c r="Z348">
        <v>0</v>
      </c>
    </row>
    <row r="349" spans="1:26" x14ac:dyDescent="0.2">
      <c r="A349">
        <v>394535</v>
      </c>
      <c r="B349" t="s">
        <v>1532</v>
      </c>
      <c r="C349" t="s">
        <v>1533</v>
      </c>
      <c r="D349" t="s">
        <v>1534</v>
      </c>
      <c r="F349" t="str">
        <f>"0679728759"</f>
        <v>0679728759</v>
      </c>
      <c r="G349" t="str">
        <f>"9780679728757"</f>
        <v>9780679728757</v>
      </c>
      <c r="H349">
        <v>0</v>
      </c>
      <c r="I349">
        <v>4.17</v>
      </c>
      <c r="J349" t="s">
        <v>1171</v>
      </c>
      <c r="K349" t="s">
        <v>36</v>
      </c>
      <c r="L349">
        <v>337</v>
      </c>
      <c r="M349">
        <v>1992</v>
      </c>
      <c r="N349">
        <v>1985</v>
      </c>
      <c r="P349" s="1">
        <v>43699</v>
      </c>
      <c r="S349" t="s">
        <v>57</v>
      </c>
      <c r="W349">
        <v>1</v>
      </c>
      <c r="Z349">
        <v>0</v>
      </c>
    </row>
    <row r="350" spans="1:26" x14ac:dyDescent="0.2">
      <c r="A350">
        <v>31158752</v>
      </c>
      <c r="B350" t="s">
        <v>1535</v>
      </c>
      <c r="C350" t="s">
        <v>1536</v>
      </c>
      <c r="D350" t="s">
        <v>1537</v>
      </c>
      <c r="F350" t="str">
        <f>"1524722960"</f>
        <v>1524722960</v>
      </c>
      <c r="G350" t="str">
        <f>"9781524722968"</f>
        <v>9781524722968</v>
      </c>
      <c r="H350">
        <v>0</v>
      </c>
      <c r="I350">
        <v>4.28</v>
      </c>
      <c r="J350" t="s">
        <v>1177</v>
      </c>
      <c r="K350" t="s">
        <v>1178</v>
      </c>
      <c r="M350">
        <v>2017</v>
      </c>
      <c r="N350">
        <v>2017</v>
      </c>
      <c r="P350" s="1">
        <v>43699</v>
      </c>
      <c r="S350" t="s">
        <v>57</v>
      </c>
      <c r="W350">
        <v>1</v>
      </c>
      <c r="Z350">
        <v>0</v>
      </c>
    </row>
    <row r="351" spans="1:26" x14ac:dyDescent="0.2">
      <c r="A351">
        <v>253203</v>
      </c>
      <c r="B351" t="s">
        <v>1538</v>
      </c>
      <c r="C351" t="s">
        <v>1539</v>
      </c>
      <c r="D351" t="s">
        <v>1540</v>
      </c>
      <c r="F351" t="str">
        <f>"0767922719"</f>
        <v>0767922719</v>
      </c>
      <c r="G351" t="str">
        <f>"9780767922715"</f>
        <v>9780767922715</v>
      </c>
      <c r="H351">
        <v>0</v>
      </c>
      <c r="I351">
        <v>4.16</v>
      </c>
      <c r="J351" t="s">
        <v>1541</v>
      </c>
      <c r="K351" t="s">
        <v>36</v>
      </c>
      <c r="L351">
        <v>217</v>
      </c>
      <c r="M351">
        <v>2006</v>
      </c>
      <c r="N351">
        <v>2006</v>
      </c>
      <c r="P351" s="1">
        <v>43699</v>
      </c>
      <c r="S351" t="s">
        <v>57</v>
      </c>
      <c r="W351">
        <v>1</v>
      </c>
      <c r="Z351">
        <v>0</v>
      </c>
    </row>
    <row r="352" spans="1:26" x14ac:dyDescent="0.2">
      <c r="A352">
        <v>17245</v>
      </c>
      <c r="B352" t="s">
        <v>1542</v>
      </c>
      <c r="C352" t="s">
        <v>1543</v>
      </c>
      <c r="D352" t="s">
        <v>1544</v>
      </c>
      <c r="E352" t="s">
        <v>1545</v>
      </c>
      <c r="F352" t="str">
        <f>"0393970124"</f>
        <v>0393970124</v>
      </c>
      <c r="G352" t="str">
        <f>"9780393970128"</f>
        <v>9780393970128</v>
      </c>
      <c r="H352">
        <v>0</v>
      </c>
      <c r="I352">
        <v>3.99</v>
      </c>
      <c r="J352" t="s">
        <v>1546</v>
      </c>
      <c r="K352" t="s">
        <v>36</v>
      </c>
      <c r="L352">
        <v>488</v>
      </c>
      <c r="M352">
        <v>1986</v>
      </c>
      <c r="N352">
        <v>1897</v>
      </c>
      <c r="P352" s="1">
        <v>43699</v>
      </c>
      <c r="S352" t="s">
        <v>57</v>
      </c>
      <c r="W352">
        <v>1</v>
      </c>
      <c r="Z352">
        <v>0</v>
      </c>
    </row>
    <row r="353" spans="1:26" x14ac:dyDescent="0.2">
      <c r="A353">
        <v>667</v>
      </c>
      <c r="B353" t="s">
        <v>1547</v>
      </c>
      <c r="C353" t="s">
        <v>1548</v>
      </c>
      <c r="D353" t="s">
        <v>1549</v>
      </c>
      <c r="F353" t="str">
        <f>"0452281253"</f>
        <v>0452281253</v>
      </c>
      <c r="G353" t="str">
        <f>"9780452281257"</f>
        <v>9780452281257</v>
      </c>
      <c r="H353">
        <v>0</v>
      </c>
      <c r="I353">
        <v>3.63</v>
      </c>
      <c r="J353" t="s">
        <v>786</v>
      </c>
      <c r="K353" t="s">
        <v>36</v>
      </c>
      <c r="L353">
        <v>105</v>
      </c>
      <c r="M353">
        <v>1999</v>
      </c>
      <c r="N353">
        <v>1938</v>
      </c>
      <c r="P353" s="1">
        <v>43699</v>
      </c>
      <c r="S353" t="s">
        <v>57</v>
      </c>
      <c r="W353">
        <v>1</v>
      </c>
      <c r="Z353">
        <v>0</v>
      </c>
    </row>
    <row r="354" spans="1:26" x14ac:dyDescent="0.2">
      <c r="A354">
        <v>662</v>
      </c>
      <c r="B354" t="s">
        <v>1550</v>
      </c>
      <c r="C354" t="s">
        <v>1548</v>
      </c>
      <c r="D354" t="s">
        <v>1549</v>
      </c>
      <c r="E354" t="s">
        <v>1551</v>
      </c>
      <c r="F354" t="str">
        <f>"0452011876"</f>
        <v>0452011876</v>
      </c>
      <c r="G354" t="str">
        <f>"9780452011878"</f>
        <v>9780452011878</v>
      </c>
      <c r="H354">
        <v>0</v>
      </c>
      <c r="I354">
        <v>3.69</v>
      </c>
      <c r="J354" t="s">
        <v>1552</v>
      </c>
      <c r="K354" t="s">
        <v>36</v>
      </c>
      <c r="L354">
        <v>1168</v>
      </c>
      <c r="M354">
        <v>1999</v>
      </c>
      <c r="N354">
        <v>1957</v>
      </c>
      <c r="P354" s="1">
        <v>43699</v>
      </c>
      <c r="S354" t="s">
        <v>57</v>
      </c>
      <c r="W354">
        <v>1</v>
      </c>
      <c r="Z354">
        <v>0</v>
      </c>
    </row>
    <row r="355" spans="1:26" x14ac:dyDescent="0.2">
      <c r="A355">
        <v>2122</v>
      </c>
      <c r="B355" t="s">
        <v>1553</v>
      </c>
      <c r="C355" t="s">
        <v>1548</v>
      </c>
      <c r="D355" t="s">
        <v>1549</v>
      </c>
      <c r="E355" t="s">
        <v>1551</v>
      </c>
      <c r="F355" t="str">
        <f>"0451191153"</f>
        <v>0451191153</v>
      </c>
      <c r="G355" t="str">
        <f>"9780451191151"</f>
        <v>9780451191151</v>
      </c>
      <c r="H355">
        <v>0</v>
      </c>
      <c r="I355">
        <v>3.87</v>
      </c>
      <c r="J355" t="s">
        <v>1554</v>
      </c>
      <c r="K355" t="s">
        <v>520</v>
      </c>
      <c r="L355">
        <v>704</v>
      </c>
      <c r="M355">
        <v>1996</v>
      </c>
      <c r="N355">
        <v>1943</v>
      </c>
      <c r="P355" s="1">
        <v>43699</v>
      </c>
      <c r="S355" t="s">
        <v>57</v>
      </c>
      <c r="W355">
        <v>1</v>
      </c>
      <c r="Z355">
        <v>0</v>
      </c>
    </row>
    <row r="356" spans="1:26" x14ac:dyDescent="0.2">
      <c r="A356">
        <v>4465</v>
      </c>
      <c r="B356" t="s">
        <v>1555</v>
      </c>
      <c r="C356" t="s">
        <v>1556</v>
      </c>
      <c r="D356" t="s">
        <v>1557</v>
      </c>
      <c r="F356" t="str">
        <f>"1842055062"</f>
        <v>1842055062</v>
      </c>
      <c r="G356" t="str">
        <f>"9781842055069"</f>
        <v>9781842055069</v>
      </c>
      <c r="H356">
        <v>0</v>
      </c>
      <c r="I356">
        <v>4.37</v>
      </c>
      <c r="J356" t="s">
        <v>1558</v>
      </c>
      <c r="L356">
        <v>189</v>
      </c>
      <c r="M356">
        <v>2004</v>
      </c>
      <c r="N356">
        <v>1892</v>
      </c>
      <c r="P356" s="1">
        <v>43699</v>
      </c>
      <c r="S356" t="s">
        <v>57</v>
      </c>
      <c r="W356">
        <v>1</v>
      </c>
      <c r="Z356">
        <v>0</v>
      </c>
    </row>
    <row r="357" spans="1:26" x14ac:dyDescent="0.2">
      <c r="A357">
        <v>41716921</v>
      </c>
      <c r="B357" t="s">
        <v>1559</v>
      </c>
      <c r="C357" t="s">
        <v>1560</v>
      </c>
      <c r="D357" t="s">
        <v>1561</v>
      </c>
      <c r="F357" t="str">
        <f>"0316441430"</f>
        <v>0316441430</v>
      </c>
      <c r="G357" t="str">
        <f>"9780316441438"</f>
        <v>9780316441438</v>
      </c>
      <c r="H357">
        <v>0</v>
      </c>
      <c r="I357">
        <v>4.22</v>
      </c>
      <c r="J357" t="s">
        <v>1562</v>
      </c>
      <c r="K357" t="s">
        <v>49</v>
      </c>
      <c r="L357">
        <v>560</v>
      </c>
      <c r="M357">
        <v>2019</v>
      </c>
      <c r="N357">
        <v>2019</v>
      </c>
      <c r="P357" s="1">
        <v>43699</v>
      </c>
      <c r="S357" t="s">
        <v>57</v>
      </c>
      <c r="W357">
        <v>1</v>
      </c>
      <c r="Z357">
        <v>0</v>
      </c>
    </row>
    <row r="358" spans="1:26" x14ac:dyDescent="0.2">
      <c r="A358">
        <v>48855</v>
      </c>
      <c r="B358" t="s">
        <v>1563</v>
      </c>
      <c r="C358" t="s">
        <v>1564</v>
      </c>
      <c r="D358" t="s">
        <v>1565</v>
      </c>
      <c r="E358" t="s">
        <v>1566</v>
      </c>
      <c r="F358" t="str">
        <f>""</f>
        <v/>
      </c>
      <c r="G358" t="str">
        <f>""</f>
        <v/>
      </c>
      <c r="H358">
        <v>0</v>
      </c>
      <c r="I358">
        <v>4.1399999999999997</v>
      </c>
      <c r="J358" t="s">
        <v>1371</v>
      </c>
      <c r="K358" t="s">
        <v>520</v>
      </c>
      <c r="L358">
        <v>283</v>
      </c>
      <c r="M358">
        <v>1993</v>
      </c>
      <c r="N358">
        <v>1947</v>
      </c>
      <c r="P358" s="1">
        <v>43699</v>
      </c>
      <c r="S358" t="s">
        <v>57</v>
      </c>
      <c r="W358">
        <v>1</v>
      </c>
      <c r="Z358">
        <v>0</v>
      </c>
    </row>
    <row r="359" spans="1:26" x14ac:dyDescent="0.2">
      <c r="A359">
        <v>113440</v>
      </c>
      <c r="B359" t="s">
        <v>1567</v>
      </c>
      <c r="C359" t="s">
        <v>1568</v>
      </c>
      <c r="D359" t="s">
        <v>1569</v>
      </c>
      <c r="E359" t="s">
        <v>1570</v>
      </c>
      <c r="F359" t="str">
        <f>"0226674339"</f>
        <v>0226674339</v>
      </c>
      <c r="G359" t="str">
        <f>"9780226674339"</f>
        <v>9780226674339</v>
      </c>
      <c r="H359">
        <v>0</v>
      </c>
      <c r="I359">
        <v>4.29</v>
      </c>
      <c r="J359" t="s">
        <v>1571</v>
      </c>
      <c r="K359" t="s">
        <v>36</v>
      </c>
      <c r="L359">
        <v>232</v>
      </c>
      <c r="M359">
        <v>2007</v>
      </c>
      <c r="N359">
        <v>2002</v>
      </c>
      <c r="P359" s="1">
        <v>43699</v>
      </c>
      <c r="S359" t="s">
        <v>57</v>
      </c>
      <c r="W359">
        <v>1</v>
      </c>
      <c r="Z359">
        <v>0</v>
      </c>
    </row>
    <row r="360" spans="1:26" x14ac:dyDescent="0.2">
      <c r="A360">
        <v>40538681</v>
      </c>
      <c r="B360" t="s">
        <v>1572</v>
      </c>
      <c r="C360" t="s">
        <v>1573</v>
      </c>
      <c r="D360" t="s">
        <v>1574</v>
      </c>
      <c r="F360" t="str">
        <f>"1501134612"</f>
        <v>1501134612</v>
      </c>
      <c r="G360" t="str">
        <f>"9781501134616"</f>
        <v>9781501134616</v>
      </c>
      <c r="H360">
        <v>0</v>
      </c>
      <c r="I360">
        <v>4.41</v>
      </c>
      <c r="J360" t="s">
        <v>446</v>
      </c>
      <c r="K360" t="s">
        <v>49</v>
      </c>
      <c r="L360">
        <v>538</v>
      </c>
      <c r="M360">
        <v>2019</v>
      </c>
      <c r="N360">
        <v>2019</v>
      </c>
      <c r="P360" s="1">
        <v>43699</v>
      </c>
      <c r="S360" t="s">
        <v>57</v>
      </c>
      <c r="W360">
        <v>1</v>
      </c>
      <c r="Z360">
        <v>0</v>
      </c>
    </row>
    <row r="361" spans="1:26" x14ac:dyDescent="0.2">
      <c r="A361">
        <v>2165</v>
      </c>
      <c r="B361" t="s">
        <v>1575</v>
      </c>
      <c r="C361" t="s">
        <v>523</v>
      </c>
      <c r="D361" t="s">
        <v>524</v>
      </c>
      <c r="F361" t="str">
        <f>"0684830493"</f>
        <v>0684830493</v>
      </c>
      <c r="G361" t="str">
        <f>"9780684830490"</f>
        <v>9780684830490</v>
      </c>
      <c r="H361">
        <v>0</v>
      </c>
      <c r="I361">
        <v>3.77</v>
      </c>
      <c r="J361" t="s">
        <v>532</v>
      </c>
      <c r="K361" t="s">
        <v>49</v>
      </c>
      <c r="L361">
        <v>132</v>
      </c>
      <c r="M361">
        <v>1996</v>
      </c>
      <c r="N361">
        <v>1952</v>
      </c>
      <c r="P361" s="1">
        <v>43095</v>
      </c>
      <c r="S361" t="s">
        <v>57</v>
      </c>
      <c r="W361">
        <v>1</v>
      </c>
      <c r="Z361">
        <v>0</v>
      </c>
    </row>
    <row r="362" spans="1:26" x14ac:dyDescent="0.2">
      <c r="A362">
        <v>4934</v>
      </c>
      <c r="B362" t="s">
        <v>1576</v>
      </c>
      <c r="C362" t="s">
        <v>1507</v>
      </c>
      <c r="D362" t="s">
        <v>1508</v>
      </c>
      <c r="E362" t="s">
        <v>1577</v>
      </c>
      <c r="F362" t="str">
        <f>"0374528373"</f>
        <v>0374528373</v>
      </c>
      <c r="G362" t="str">
        <f>"9780374528379"</f>
        <v>9780374528379</v>
      </c>
      <c r="H362">
        <v>0</v>
      </c>
      <c r="I362">
        <v>4.32</v>
      </c>
      <c r="J362" t="s">
        <v>500</v>
      </c>
      <c r="K362" t="s">
        <v>36</v>
      </c>
      <c r="L362">
        <v>796</v>
      </c>
      <c r="M362">
        <v>2002</v>
      </c>
      <c r="N362">
        <v>1879</v>
      </c>
      <c r="P362" s="1">
        <v>43091</v>
      </c>
      <c r="S362" t="s">
        <v>57</v>
      </c>
      <c r="W362">
        <v>1</v>
      </c>
      <c r="Z362">
        <v>0</v>
      </c>
    </row>
    <row r="363" spans="1:26" x14ac:dyDescent="0.2">
      <c r="A363">
        <v>3636</v>
      </c>
      <c r="B363" t="s">
        <v>1578</v>
      </c>
      <c r="C363" t="s">
        <v>660</v>
      </c>
      <c r="D363" t="s">
        <v>661</v>
      </c>
      <c r="F363" t="str">
        <f>"0385732554"</f>
        <v>0385732554</v>
      </c>
      <c r="G363" t="str">
        <f>"9780385732550"</f>
        <v>9780385732550</v>
      </c>
      <c r="H363">
        <v>0</v>
      </c>
      <c r="I363">
        <v>4.13</v>
      </c>
      <c r="J363" t="s">
        <v>1440</v>
      </c>
      <c r="K363" t="s">
        <v>36</v>
      </c>
      <c r="L363">
        <v>208</v>
      </c>
      <c r="M363">
        <v>2006</v>
      </c>
      <c r="N363">
        <v>1993</v>
      </c>
      <c r="P363" s="1">
        <v>43091</v>
      </c>
      <c r="S363" t="s">
        <v>57</v>
      </c>
      <c r="W363">
        <v>1</v>
      </c>
      <c r="Z363">
        <v>0</v>
      </c>
    </row>
    <row r="364" spans="1:26" x14ac:dyDescent="0.2">
      <c r="A364">
        <v>176691</v>
      </c>
      <c r="B364" t="s">
        <v>1579</v>
      </c>
      <c r="C364" t="s">
        <v>1580</v>
      </c>
      <c r="D364" t="s">
        <v>1581</v>
      </c>
      <c r="F364" t="str">
        <f>"1574889494"</f>
        <v>1574889494</v>
      </c>
      <c r="G364" t="str">
        <f>"9781574889499"</f>
        <v>9781574889499</v>
      </c>
      <c r="H364">
        <v>0</v>
      </c>
      <c r="I364">
        <v>3.99</v>
      </c>
      <c r="J364" t="s">
        <v>1582</v>
      </c>
      <c r="K364" t="s">
        <v>49</v>
      </c>
      <c r="L364">
        <v>306</v>
      </c>
      <c r="M364">
        <v>2006</v>
      </c>
      <c r="N364">
        <v>2006</v>
      </c>
      <c r="P364" s="1">
        <v>43091</v>
      </c>
      <c r="S364" t="s">
        <v>57</v>
      </c>
      <c r="W364">
        <v>1</v>
      </c>
      <c r="Z364">
        <v>0</v>
      </c>
    </row>
    <row r="365" spans="1:26" x14ac:dyDescent="0.2">
      <c r="A365">
        <v>31920777</v>
      </c>
      <c r="B365" t="s">
        <v>1583</v>
      </c>
      <c r="C365" t="s">
        <v>1584</v>
      </c>
      <c r="D365" t="s">
        <v>1585</v>
      </c>
      <c r="F365" t="str">
        <f>"1591848148"</f>
        <v>1591848148</v>
      </c>
      <c r="G365" t="str">
        <f>"9781591848141"</f>
        <v>9781591848141</v>
      </c>
      <c r="H365">
        <v>0</v>
      </c>
      <c r="I365">
        <v>4.33</v>
      </c>
      <c r="J365" t="s">
        <v>971</v>
      </c>
      <c r="K365" t="s">
        <v>49</v>
      </c>
      <c r="L365">
        <v>328</v>
      </c>
      <c r="M365">
        <v>2017</v>
      </c>
      <c r="N365">
        <v>2017</v>
      </c>
      <c r="P365" s="1">
        <v>43091</v>
      </c>
      <c r="S365" t="s">
        <v>57</v>
      </c>
      <c r="W365">
        <v>1</v>
      </c>
      <c r="Z365">
        <v>0</v>
      </c>
    </row>
    <row r="366" spans="1:26" x14ac:dyDescent="0.2">
      <c r="A366">
        <v>77203</v>
      </c>
      <c r="B366" t="s">
        <v>1586</v>
      </c>
      <c r="C366" t="s">
        <v>1587</v>
      </c>
      <c r="D366" t="s">
        <v>1588</v>
      </c>
      <c r="E366" t="s">
        <v>1589</v>
      </c>
      <c r="F366" t="str">
        <f>""</f>
        <v/>
      </c>
      <c r="G366" t="str">
        <f>""</f>
        <v/>
      </c>
      <c r="H366">
        <v>0</v>
      </c>
      <c r="I366">
        <v>4.29</v>
      </c>
      <c r="J366" t="s">
        <v>1590</v>
      </c>
      <c r="K366" t="s">
        <v>36</v>
      </c>
      <c r="L366">
        <v>371</v>
      </c>
      <c r="M366">
        <v>2004</v>
      </c>
      <c r="N366">
        <v>2003</v>
      </c>
      <c r="P366" s="1">
        <v>43091</v>
      </c>
      <c r="S366" t="s">
        <v>57</v>
      </c>
      <c r="W366">
        <v>1</v>
      </c>
      <c r="Z366">
        <v>0</v>
      </c>
    </row>
    <row r="367" spans="1:26" x14ac:dyDescent="0.2">
      <c r="A367">
        <v>37781</v>
      </c>
      <c r="B367" t="s">
        <v>1591</v>
      </c>
      <c r="C367" t="s">
        <v>1592</v>
      </c>
      <c r="D367" t="s">
        <v>1593</v>
      </c>
      <c r="F367" t="str">
        <f>""</f>
        <v/>
      </c>
      <c r="G367" t="str">
        <f>""</f>
        <v/>
      </c>
      <c r="H367">
        <v>0</v>
      </c>
      <c r="I367">
        <v>3.66</v>
      </c>
      <c r="J367" t="s">
        <v>334</v>
      </c>
      <c r="K367" t="s">
        <v>36</v>
      </c>
      <c r="L367">
        <v>209</v>
      </c>
      <c r="M367">
        <v>1994</v>
      </c>
      <c r="N367">
        <v>1958</v>
      </c>
      <c r="P367" s="1">
        <v>43091</v>
      </c>
      <c r="S367" t="s">
        <v>57</v>
      </c>
      <c r="W367">
        <v>1</v>
      </c>
      <c r="Z367">
        <v>0</v>
      </c>
    </row>
    <row r="368" spans="1:26" x14ac:dyDescent="0.2">
      <c r="A368">
        <v>6288</v>
      </c>
      <c r="B368" t="s">
        <v>1594</v>
      </c>
      <c r="C368" t="s">
        <v>1533</v>
      </c>
      <c r="D368" t="s">
        <v>1534</v>
      </c>
      <c r="F368" t="str">
        <f>"0307265439"</f>
        <v>0307265439</v>
      </c>
      <c r="G368" t="str">
        <f>"9780307265432"</f>
        <v>9780307265432</v>
      </c>
      <c r="H368">
        <v>0</v>
      </c>
      <c r="I368">
        <v>3.97</v>
      </c>
      <c r="J368" t="s">
        <v>1595</v>
      </c>
      <c r="K368" t="s">
        <v>49</v>
      </c>
      <c r="L368">
        <v>241</v>
      </c>
      <c r="M368">
        <v>2006</v>
      </c>
      <c r="N368">
        <v>2006</v>
      </c>
      <c r="P368" s="1">
        <v>43091</v>
      </c>
      <c r="S368" t="s">
        <v>57</v>
      </c>
      <c r="W368">
        <v>1</v>
      </c>
      <c r="Z368">
        <v>0</v>
      </c>
    </row>
    <row r="369" spans="1:26" x14ac:dyDescent="0.2">
      <c r="A369">
        <v>25241317</v>
      </c>
      <c r="B369" t="s">
        <v>1596</v>
      </c>
      <c r="C369" t="s">
        <v>1597</v>
      </c>
      <c r="D369" t="s">
        <v>1598</v>
      </c>
      <c r="F369" t="str">
        <f>"0385538227"</f>
        <v>0385538227</v>
      </c>
      <c r="G369" t="str">
        <f>"9780385538220"</f>
        <v>9780385538220</v>
      </c>
      <c r="H369">
        <v>0</v>
      </c>
      <c r="I369">
        <v>4.3499999999999996</v>
      </c>
      <c r="J369" t="s">
        <v>79</v>
      </c>
      <c r="K369" t="s">
        <v>42</v>
      </c>
      <c r="L369">
        <v>368</v>
      </c>
      <c r="M369">
        <v>2015</v>
      </c>
      <c r="N369">
        <v>2016</v>
      </c>
      <c r="P369" s="1">
        <v>43091</v>
      </c>
      <c r="S369" t="s">
        <v>57</v>
      </c>
      <c r="W369">
        <v>1</v>
      </c>
      <c r="Z369">
        <v>0</v>
      </c>
    </row>
    <row r="370" spans="1:26" x14ac:dyDescent="0.2">
      <c r="A370">
        <v>4900</v>
      </c>
      <c r="B370" t="s">
        <v>1599</v>
      </c>
      <c r="C370" t="s">
        <v>1600</v>
      </c>
      <c r="D370" t="s">
        <v>1601</v>
      </c>
      <c r="E370" t="s">
        <v>1602</v>
      </c>
      <c r="F370" t="str">
        <f>"1892295490"</f>
        <v>1892295490</v>
      </c>
      <c r="G370" t="str">
        <f>"9781892295491"</f>
        <v>9781892295491</v>
      </c>
      <c r="H370">
        <v>0</v>
      </c>
      <c r="I370">
        <v>3.42</v>
      </c>
      <c r="J370" t="s">
        <v>1603</v>
      </c>
      <c r="K370" t="s">
        <v>36</v>
      </c>
      <c r="L370">
        <v>188</v>
      </c>
      <c r="M370">
        <v>2003</v>
      </c>
      <c r="N370">
        <v>1899</v>
      </c>
      <c r="P370" s="1">
        <v>43091</v>
      </c>
      <c r="S370" t="s">
        <v>57</v>
      </c>
      <c r="W370">
        <v>1</v>
      </c>
      <c r="Z370">
        <v>0</v>
      </c>
    </row>
    <row r="371" spans="1:26" x14ac:dyDescent="0.2">
      <c r="A371">
        <v>15823480</v>
      </c>
      <c r="B371" t="s">
        <v>1604</v>
      </c>
      <c r="C371" t="s">
        <v>337</v>
      </c>
      <c r="D371" t="s">
        <v>338</v>
      </c>
      <c r="E371" t="s">
        <v>1605</v>
      </c>
      <c r="F371" t="str">
        <f>""</f>
        <v/>
      </c>
      <c r="G371" t="str">
        <f>""</f>
        <v/>
      </c>
      <c r="H371">
        <v>0</v>
      </c>
      <c r="I371">
        <v>4.05</v>
      </c>
      <c r="J371" t="s">
        <v>314</v>
      </c>
      <c r="K371" t="s">
        <v>36</v>
      </c>
      <c r="L371">
        <v>964</v>
      </c>
      <c r="M371">
        <v>2012</v>
      </c>
      <c r="N371">
        <v>1877</v>
      </c>
      <c r="P371" s="1">
        <v>43091</v>
      </c>
      <c r="S371" t="s">
        <v>57</v>
      </c>
      <c r="W371">
        <v>1</v>
      </c>
      <c r="Z371">
        <v>0</v>
      </c>
    </row>
    <row r="372" spans="1:26" x14ac:dyDescent="0.2">
      <c r="A372">
        <v>11138</v>
      </c>
      <c r="B372" t="s">
        <v>1606</v>
      </c>
      <c r="C372" t="s">
        <v>1607</v>
      </c>
      <c r="D372" t="s">
        <v>1608</v>
      </c>
      <c r="F372" t="str">
        <f>"0684823780"</f>
        <v>0684823780</v>
      </c>
      <c r="G372" t="str">
        <f>"9780684823782"</f>
        <v>9780684823782</v>
      </c>
      <c r="H372">
        <v>0</v>
      </c>
      <c r="I372">
        <v>4.33</v>
      </c>
      <c r="J372" t="s">
        <v>547</v>
      </c>
      <c r="K372" t="s">
        <v>36</v>
      </c>
      <c r="L372">
        <v>191</v>
      </c>
      <c r="M372">
        <v>1996</v>
      </c>
      <c r="N372">
        <v>1952</v>
      </c>
      <c r="P372" s="1">
        <v>43091</v>
      </c>
      <c r="S372" t="s">
        <v>57</v>
      </c>
      <c r="W372">
        <v>1</v>
      </c>
      <c r="Z372">
        <v>0</v>
      </c>
    </row>
    <row r="373" spans="1:26" x14ac:dyDescent="0.2">
      <c r="A373">
        <v>5148</v>
      </c>
      <c r="B373" t="s">
        <v>1609</v>
      </c>
      <c r="C373" t="s">
        <v>1610</v>
      </c>
      <c r="D373" t="s">
        <v>1611</v>
      </c>
      <c r="E373" t="s">
        <v>1612</v>
      </c>
      <c r="F373" t="str">
        <f>"0743253973"</f>
        <v>0743253973</v>
      </c>
      <c r="G373" t="str">
        <f>"9780743253970"</f>
        <v>9780743253970</v>
      </c>
      <c r="H373">
        <v>0</v>
      </c>
      <c r="I373">
        <v>3.58</v>
      </c>
      <c r="J373" t="s">
        <v>532</v>
      </c>
      <c r="K373" t="s">
        <v>36</v>
      </c>
      <c r="L373">
        <v>208</v>
      </c>
      <c r="M373">
        <v>2003</v>
      </c>
      <c r="N373">
        <v>1959</v>
      </c>
      <c r="P373" s="1">
        <v>43091</v>
      </c>
      <c r="S373" t="s">
        <v>57</v>
      </c>
      <c r="W373">
        <v>1</v>
      </c>
      <c r="Z373">
        <v>0</v>
      </c>
    </row>
    <row r="374" spans="1:26" x14ac:dyDescent="0.2">
      <c r="A374">
        <v>30145126</v>
      </c>
      <c r="B374" t="s">
        <v>1613</v>
      </c>
      <c r="C374" t="s">
        <v>1614</v>
      </c>
      <c r="D374" t="s">
        <v>1615</v>
      </c>
      <c r="F374" t="str">
        <f>"1455540005"</f>
        <v>1455540005</v>
      </c>
      <c r="G374" t="str">
        <f>"9781455540006"</f>
        <v>9781455540006</v>
      </c>
      <c r="H374">
        <v>0</v>
      </c>
      <c r="I374">
        <v>3.91</v>
      </c>
      <c r="J374" t="s">
        <v>1616</v>
      </c>
      <c r="K374" t="s">
        <v>49</v>
      </c>
      <c r="L374">
        <v>328</v>
      </c>
      <c r="M374">
        <v>2017</v>
      </c>
      <c r="N374">
        <v>2017</v>
      </c>
      <c r="P374" s="1">
        <v>43091</v>
      </c>
      <c r="S374" t="s">
        <v>57</v>
      </c>
      <c r="W374">
        <v>1</v>
      </c>
      <c r="Z374">
        <v>0</v>
      </c>
    </row>
    <row r="375" spans="1:26" x14ac:dyDescent="0.2">
      <c r="A375">
        <v>16158491</v>
      </c>
      <c r="B375" t="s">
        <v>1617</v>
      </c>
      <c r="C375" t="s">
        <v>1618</v>
      </c>
      <c r="D375" t="s">
        <v>1619</v>
      </c>
      <c r="F375" t="str">
        <f>"1594204802"</f>
        <v>1594204802</v>
      </c>
      <c r="G375" t="str">
        <f>"9781594204807"</f>
        <v>9781594204807</v>
      </c>
      <c r="H375">
        <v>0</v>
      </c>
      <c r="I375">
        <v>3.83</v>
      </c>
      <c r="J375" t="s">
        <v>1620</v>
      </c>
      <c r="K375" t="s">
        <v>49</v>
      </c>
      <c r="L375">
        <v>381</v>
      </c>
      <c r="M375">
        <v>2013</v>
      </c>
      <c r="N375">
        <v>2013</v>
      </c>
      <c r="P375" s="1">
        <v>43091</v>
      </c>
      <c r="S375" t="s">
        <v>57</v>
      </c>
      <c r="W375">
        <v>1</v>
      </c>
      <c r="Z375">
        <v>0</v>
      </c>
    </row>
    <row r="376" spans="1:26" x14ac:dyDescent="0.2">
      <c r="A376">
        <v>20696006</v>
      </c>
      <c r="B376" t="s">
        <v>1621</v>
      </c>
      <c r="C376" t="s">
        <v>1622</v>
      </c>
      <c r="D376" t="s">
        <v>1623</v>
      </c>
      <c r="F376" t="str">
        <f>"0805095152"</f>
        <v>0805095152</v>
      </c>
      <c r="G376" t="str">
        <f>"9780805095159"</f>
        <v>9780805095159</v>
      </c>
      <c r="H376">
        <v>0</v>
      </c>
      <c r="I376">
        <v>4.45</v>
      </c>
      <c r="J376" t="s">
        <v>135</v>
      </c>
      <c r="K376" t="s">
        <v>49</v>
      </c>
      <c r="L376">
        <v>282</v>
      </c>
      <c r="M376">
        <v>2014</v>
      </c>
      <c r="N376">
        <v>2014</v>
      </c>
      <c r="P376" s="1">
        <v>43091</v>
      </c>
      <c r="S376" t="s">
        <v>57</v>
      </c>
      <c r="W376">
        <v>1</v>
      </c>
      <c r="Z376">
        <v>0</v>
      </c>
    </row>
    <row r="377" spans="1:26" x14ac:dyDescent="0.2">
      <c r="A377">
        <v>25663872</v>
      </c>
      <c r="B377" t="s">
        <v>1624</v>
      </c>
      <c r="C377" t="s">
        <v>1625</v>
      </c>
      <c r="D377" t="s">
        <v>1626</v>
      </c>
      <c r="E377" t="s">
        <v>1627</v>
      </c>
      <c r="F377" t="str">
        <f>"125008136X"</f>
        <v>125008136X</v>
      </c>
      <c r="G377" t="str">
        <f>"9781250081360"</f>
        <v>9781250081360</v>
      </c>
      <c r="H377">
        <v>0</v>
      </c>
      <c r="I377">
        <v>3.85</v>
      </c>
      <c r="J377" t="s">
        <v>1268</v>
      </c>
      <c r="K377" t="s">
        <v>49</v>
      </c>
      <c r="L377">
        <v>320</v>
      </c>
      <c r="M377">
        <v>2016</v>
      </c>
      <c r="N377">
        <v>2016</v>
      </c>
      <c r="P377" s="1">
        <v>43091</v>
      </c>
      <c r="S377" t="s">
        <v>57</v>
      </c>
      <c r="W377">
        <v>1</v>
      </c>
      <c r="Z377">
        <v>0</v>
      </c>
    </row>
    <row r="378" spans="1:26" x14ac:dyDescent="0.2">
      <c r="A378">
        <v>32682</v>
      </c>
      <c r="B378" t="s">
        <v>1628</v>
      </c>
      <c r="C378" t="s">
        <v>847</v>
      </c>
      <c r="D378" t="s">
        <v>848</v>
      </c>
      <c r="F378" t="str">
        <f>"0425134350"</f>
        <v>0425134350</v>
      </c>
      <c r="G378" t="str">
        <f>"9780425134351"</f>
        <v>9780425134351</v>
      </c>
      <c r="H378">
        <v>0</v>
      </c>
      <c r="I378">
        <v>4.1399999999999997</v>
      </c>
      <c r="J378" t="s">
        <v>1629</v>
      </c>
      <c r="K378" t="s">
        <v>36</v>
      </c>
      <c r="L378">
        <v>503</v>
      </c>
      <c r="M378">
        <v>1992</v>
      </c>
      <c r="N378">
        <v>1987</v>
      </c>
      <c r="P378" s="1">
        <v>43091</v>
      </c>
      <c r="S378" t="s">
        <v>57</v>
      </c>
      <c r="W378">
        <v>1</v>
      </c>
      <c r="Z378">
        <v>0</v>
      </c>
    </row>
    <row r="379" spans="1:26" x14ac:dyDescent="0.2">
      <c r="A379">
        <v>113576</v>
      </c>
      <c r="B379" t="s">
        <v>1630</v>
      </c>
      <c r="C379" t="s">
        <v>1631</v>
      </c>
      <c r="D379" t="s">
        <v>1632</v>
      </c>
      <c r="E379" t="s">
        <v>1633</v>
      </c>
      <c r="F379" t="str">
        <f>"1591840538"</f>
        <v>1591840538</v>
      </c>
      <c r="G379" t="str">
        <f>"9781591840534"</f>
        <v>9781591840534</v>
      </c>
      <c r="H379">
        <v>0</v>
      </c>
      <c r="I379">
        <v>4.2</v>
      </c>
      <c r="J379" t="s">
        <v>1634</v>
      </c>
      <c r="K379" t="s">
        <v>36</v>
      </c>
      <c r="L379">
        <v>480</v>
      </c>
      <c r="M379">
        <v>2004</v>
      </c>
      <c r="N379">
        <v>2003</v>
      </c>
      <c r="P379" s="1">
        <v>43091</v>
      </c>
      <c r="S379" t="s">
        <v>57</v>
      </c>
      <c r="W379">
        <v>1</v>
      </c>
      <c r="Z379">
        <v>0</v>
      </c>
    </row>
    <row r="380" spans="1:26" x14ac:dyDescent="0.2">
      <c r="A380">
        <v>17286725</v>
      </c>
      <c r="B380" t="s">
        <v>1635</v>
      </c>
      <c r="C380" t="s">
        <v>1636</v>
      </c>
      <c r="D380" t="s">
        <v>1637</v>
      </c>
      <c r="F380" t="str">
        <f>"0805094970"</f>
        <v>0805094970</v>
      </c>
      <c r="G380" t="str">
        <f>"9780805094978"</f>
        <v>9780805094978</v>
      </c>
      <c r="H380">
        <v>0</v>
      </c>
      <c r="I380">
        <v>4.07</v>
      </c>
      <c r="J380" t="s">
        <v>1079</v>
      </c>
      <c r="K380" t="s">
        <v>49</v>
      </c>
      <c r="L380">
        <v>416</v>
      </c>
      <c r="M380">
        <v>2013</v>
      </c>
      <c r="N380">
        <v>2013</v>
      </c>
      <c r="P380" s="1">
        <v>43091</v>
      </c>
      <c r="S380" t="s">
        <v>57</v>
      </c>
      <c r="W380">
        <v>1</v>
      </c>
      <c r="Z380">
        <v>0</v>
      </c>
    </row>
    <row r="381" spans="1:26" x14ac:dyDescent="0.2">
      <c r="A381">
        <v>25733505</v>
      </c>
      <c r="B381" t="s">
        <v>1638</v>
      </c>
      <c r="C381" t="s">
        <v>1639</v>
      </c>
      <c r="D381" t="s">
        <v>1640</v>
      </c>
      <c r="F381" t="str">
        <f>"1400067960"</f>
        <v>1400067960</v>
      </c>
      <c r="G381" t="str">
        <f>"9781400067961"</f>
        <v>9781400067961</v>
      </c>
      <c r="H381">
        <v>0</v>
      </c>
      <c r="I381">
        <v>4.21</v>
      </c>
      <c r="J381" t="s">
        <v>96</v>
      </c>
      <c r="K381" t="s">
        <v>49</v>
      </c>
      <c r="L381">
        <v>416</v>
      </c>
      <c r="M381">
        <v>2016</v>
      </c>
      <c r="N381">
        <v>2016</v>
      </c>
      <c r="P381" s="1">
        <v>43091</v>
      </c>
      <c r="S381" t="s">
        <v>57</v>
      </c>
      <c r="W381">
        <v>1</v>
      </c>
      <c r="Z381">
        <v>0</v>
      </c>
    </row>
    <row r="382" spans="1:26" x14ac:dyDescent="0.2">
      <c r="A382">
        <v>19063</v>
      </c>
      <c r="B382" t="s">
        <v>1641</v>
      </c>
      <c r="C382" t="s">
        <v>1442</v>
      </c>
      <c r="D382" t="s">
        <v>1443</v>
      </c>
      <c r="F382" t="str">
        <f>"0375831002"</f>
        <v>0375831002</v>
      </c>
      <c r="G382" t="str">
        <f>"9780375831003"</f>
        <v>9780375831003</v>
      </c>
      <c r="H382">
        <v>0</v>
      </c>
      <c r="I382">
        <v>4.37</v>
      </c>
      <c r="J382" t="s">
        <v>1595</v>
      </c>
      <c r="K382" t="s">
        <v>49</v>
      </c>
      <c r="L382">
        <v>552</v>
      </c>
      <c r="M382">
        <v>2006</v>
      </c>
      <c r="N382">
        <v>2005</v>
      </c>
      <c r="P382" s="1">
        <v>43091</v>
      </c>
      <c r="S382" t="s">
        <v>57</v>
      </c>
      <c r="W382">
        <v>1</v>
      </c>
      <c r="Z382">
        <v>0</v>
      </c>
    </row>
    <row r="383" spans="1:26" x14ac:dyDescent="0.2">
      <c r="A383">
        <v>31823677</v>
      </c>
      <c r="B383" t="s">
        <v>1642</v>
      </c>
      <c r="C383" t="s">
        <v>1643</v>
      </c>
      <c r="D383" t="s">
        <v>1644</v>
      </c>
      <c r="E383" t="s">
        <v>1645</v>
      </c>
      <c r="F383" t="str">
        <f>""</f>
        <v/>
      </c>
      <c r="G383" t="str">
        <f>""</f>
        <v/>
      </c>
      <c r="H383">
        <v>0</v>
      </c>
      <c r="I383">
        <v>4.1500000000000004</v>
      </c>
      <c r="J383" t="s">
        <v>430</v>
      </c>
      <c r="K383" t="s">
        <v>62</v>
      </c>
      <c r="L383">
        <v>707</v>
      </c>
      <c r="M383">
        <v>2016</v>
      </c>
      <c r="N383">
        <v>2016</v>
      </c>
      <c r="P383" s="1">
        <v>43091</v>
      </c>
      <c r="S383" t="s">
        <v>57</v>
      </c>
      <c r="W383">
        <v>1</v>
      </c>
      <c r="Z383">
        <v>0</v>
      </c>
    </row>
    <row r="384" spans="1:26" x14ac:dyDescent="0.2">
      <c r="A384">
        <v>44882</v>
      </c>
      <c r="B384" t="s">
        <v>1646</v>
      </c>
      <c r="C384" t="s">
        <v>1647</v>
      </c>
      <c r="D384" t="s">
        <v>1648</v>
      </c>
      <c r="F384" t="str">
        <f>"0735611319"</f>
        <v>0735611319</v>
      </c>
      <c r="G384" t="str">
        <f>"9780735611313"</f>
        <v>9780735611313</v>
      </c>
      <c r="H384">
        <v>0</v>
      </c>
      <c r="I384">
        <v>4.4000000000000004</v>
      </c>
      <c r="J384" t="s">
        <v>1649</v>
      </c>
      <c r="K384" t="s">
        <v>36</v>
      </c>
      <c r="L384">
        <v>400</v>
      </c>
      <c r="M384">
        <v>2000</v>
      </c>
      <c r="N384">
        <v>1999</v>
      </c>
      <c r="P384" s="1">
        <v>43091</v>
      </c>
      <c r="S384" t="s">
        <v>57</v>
      </c>
      <c r="W384">
        <v>1</v>
      </c>
      <c r="Z384">
        <v>0</v>
      </c>
    </row>
    <row r="385" spans="1:26" x14ac:dyDescent="0.2">
      <c r="A385">
        <v>274064</v>
      </c>
      <c r="B385" t="s">
        <v>1650</v>
      </c>
      <c r="C385" t="s">
        <v>1651</v>
      </c>
      <c r="D385" t="s">
        <v>1652</v>
      </c>
      <c r="E385" t="s">
        <v>1653</v>
      </c>
      <c r="F385" t="str">
        <f>"0395393884"</f>
        <v>0395393884</v>
      </c>
      <c r="G385" t="str">
        <f>"9780395393888"</f>
        <v>9780395393888</v>
      </c>
      <c r="H385">
        <v>0</v>
      </c>
      <c r="I385">
        <v>4.17</v>
      </c>
      <c r="J385" t="s">
        <v>714</v>
      </c>
      <c r="K385" t="s">
        <v>36</v>
      </c>
      <c r="L385">
        <v>228</v>
      </c>
      <c r="M385">
        <v>1985</v>
      </c>
      <c r="N385">
        <v>1984</v>
      </c>
      <c r="P385" s="1">
        <v>43091</v>
      </c>
      <c r="S385" t="s">
        <v>57</v>
      </c>
      <c r="W385">
        <v>1</v>
      </c>
      <c r="Z385">
        <v>0</v>
      </c>
    </row>
    <row r="386" spans="1:26" x14ac:dyDescent="0.2">
      <c r="A386">
        <v>13590828</v>
      </c>
      <c r="B386" t="s">
        <v>1654</v>
      </c>
      <c r="C386" t="s">
        <v>1655</v>
      </c>
      <c r="D386" t="s">
        <v>1656</v>
      </c>
      <c r="E386" t="s">
        <v>1657</v>
      </c>
      <c r="F386" t="str">
        <f>"1611760712"</f>
        <v>1611760712</v>
      </c>
      <c r="G386" t="str">
        <f>"9781611760712"</f>
        <v>9781611760712</v>
      </c>
      <c r="H386">
        <v>0</v>
      </c>
      <c r="I386">
        <v>3.82</v>
      </c>
      <c r="J386" t="s">
        <v>1658</v>
      </c>
      <c r="K386" t="s">
        <v>1178</v>
      </c>
      <c r="L386">
        <v>11</v>
      </c>
      <c r="M386">
        <v>2012</v>
      </c>
      <c r="N386">
        <v>2012</v>
      </c>
      <c r="P386" s="1">
        <v>43091</v>
      </c>
      <c r="S386" t="s">
        <v>57</v>
      </c>
      <c r="W386">
        <v>1</v>
      </c>
      <c r="Z386">
        <v>0</v>
      </c>
    </row>
    <row r="387" spans="1:26" x14ac:dyDescent="0.2">
      <c r="A387">
        <v>83882</v>
      </c>
      <c r="B387" t="s">
        <v>1659</v>
      </c>
      <c r="C387" t="s">
        <v>1660</v>
      </c>
      <c r="D387" t="s">
        <v>1661</v>
      </c>
      <c r="F387" t="str">
        <f>"048624864X"</f>
        <v>048624864X</v>
      </c>
      <c r="G387" t="str">
        <f>"9780486248646"</f>
        <v>9780486248646</v>
      </c>
      <c r="H387">
        <v>0</v>
      </c>
      <c r="I387">
        <v>3.69</v>
      </c>
      <c r="J387" t="s">
        <v>804</v>
      </c>
      <c r="K387" t="s">
        <v>36</v>
      </c>
      <c r="L387">
        <v>454</v>
      </c>
      <c r="M387">
        <v>1985</v>
      </c>
      <c r="N387">
        <v>1974</v>
      </c>
      <c r="P387" s="1">
        <v>43091</v>
      </c>
      <c r="S387" t="s">
        <v>57</v>
      </c>
      <c r="W387">
        <v>1</v>
      </c>
      <c r="Z387">
        <v>0</v>
      </c>
    </row>
    <row r="388" spans="1:26" x14ac:dyDescent="0.2">
      <c r="A388">
        <v>450248</v>
      </c>
      <c r="B388" t="s">
        <v>1662</v>
      </c>
      <c r="C388" t="s">
        <v>1663</v>
      </c>
      <c r="D388" t="s">
        <v>1664</v>
      </c>
      <c r="F388" t="str">
        <f>"0486241041"</f>
        <v>0486241041</v>
      </c>
      <c r="G388" t="str">
        <f>"9780486241043"</f>
        <v>9780486241043</v>
      </c>
      <c r="H388">
        <v>0</v>
      </c>
      <c r="I388">
        <v>4.16</v>
      </c>
      <c r="J388" t="s">
        <v>804</v>
      </c>
      <c r="K388" t="s">
        <v>36</v>
      </c>
      <c r="L388">
        <v>482</v>
      </c>
      <c r="M388">
        <v>1981</v>
      </c>
      <c r="N388">
        <v>1959</v>
      </c>
      <c r="P388" s="1">
        <v>43091</v>
      </c>
      <c r="S388" t="s">
        <v>57</v>
      </c>
      <c r="W388">
        <v>1</v>
      </c>
      <c r="Z388">
        <v>0</v>
      </c>
    </row>
    <row r="389" spans="1:26" x14ac:dyDescent="0.2">
      <c r="A389">
        <v>19668</v>
      </c>
      <c r="B389" t="s">
        <v>1665</v>
      </c>
      <c r="C389" t="s">
        <v>847</v>
      </c>
      <c r="D389" t="s">
        <v>848</v>
      </c>
      <c r="F389" t="str">
        <f>"0425143325"</f>
        <v>0425143325</v>
      </c>
      <c r="G389" t="str">
        <f>"9780425143322"</f>
        <v>9780425143322</v>
      </c>
      <c r="H389">
        <v>0</v>
      </c>
      <c r="I389">
        <v>4.18</v>
      </c>
      <c r="J389" t="s">
        <v>851</v>
      </c>
      <c r="K389" t="s">
        <v>36</v>
      </c>
      <c r="L389">
        <v>750</v>
      </c>
      <c r="M389">
        <v>1994</v>
      </c>
      <c r="N389">
        <v>1993</v>
      </c>
      <c r="P389" s="1">
        <v>43091</v>
      </c>
      <c r="S389" t="s">
        <v>57</v>
      </c>
      <c r="W389">
        <v>1</v>
      </c>
      <c r="Z389">
        <v>0</v>
      </c>
    </row>
    <row r="390" spans="1:26" x14ac:dyDescent="0.2">
      <c r="A390">
        <v>5720</v>
      </c>
      <c r="B390" t="s">
        <v>1666</v>
      </c>
      <c r="C390" t="s">
        <v>847</v>
      </c>
      <c r="D390" t="s">
        <v>848</v>
      </c>
      <c r="E390" t="s">
        <v>1667</v>
      </c>
      <c r="F390" t="str">
        <f>"0425170349"</f>
        <v>0425170349</v>
      </c>
      <c r="G390" t="str">
        <f>"9780425170342"</f>
        <v>9780425170342</v>
      </c>
      <c r="H390">
        <v>0</v>
      </c>
      <c r="I390">
        <v>4.09</v>
      </c>
      <c r="J390" t="s">
        <v>851</v>
      </c>
      <c r="K390" t="s">
        <v>520</v>
      </c>
      <c r="L390">
        <v>912</v>
      </c>
      <c r="M390">
        <v>1999</v>
      </c>
      <c r="N390">
        <v>1998</v>
      </c>
      <c r="P390" s="1">
        <v>43091</v>
      </c>
      <c r="S390" t="s">
        <v>57</v>
      </c>
      <c r="W390">
        <v>1</v>
      </c>
      <c r="Z390">
        <v>0</v>
      </c>
    </row>
    <row r="391" spans="1:26" x14ac:dyDescent="0.2">
      <c r="A391">
        <v>1103400</v>
      </c>
      <c r="B391" t="s">
        <v>1668</v>
      </c>
      <c r="C391" t="s">
        <v>1669</v>
      </c>
      <c r="D391" t="s">
        <v>1670</v>
      </c>
      <c r="F391" t="str">
        <f>"0446611824"</f>
        <v>0446611824</v>
      </c>
      <c r="G391" t="str">
        <f>"9780446611824"</f>
        <v>9780446611824</v>
      </c>
      <c r="H391">
        <v>0</v>
      </c>
      <c r="I391">
        <v>3.93</v>
      </c>
      <c r="J391" t="s">
        <v>1616</v>
      </c>
      <c r="K391" t="s">
        <v>36</v>
      </c>
      <c r="L391">
        <v>528</v>
      </c>
      <c r="M391">
        <v>2002</v>
      </c>
      <c r="N391">
        <v>2001</v>
      </c>
      <c r="P391" s="1">
        <v>43091</v>
      </c>
      <c r="S391" t="s">
        <v>57</v>
      </c>
      <c r="W391">
        <v>1</v>
      </c>
      <c r="Z391">
        <v>0</v>
      </c>
    </row>
    <row r="392" spans="1:26" x14ac:dyDescent="0.2">
      <c r="A392">
        <v>24396871</v>
      </c>
      <c r="B392" t="s">
        <v>1671</v>
      </c>
      <c r="C392" t="s">
        <v>1560</v>
      </c>
      <c r="D392" t="s">
        <v>1561</v>
      </c>
      <c r="F392" t="str">
        <f>"0316371769"</f>
        <v>0316371769</v>
      </c>
      <c r="G392" t="str">
        <f>"9780316371766"</f>
        <v>9780316371766</v>
      </c>
      <c r="H392">
        <v>0</v>
      </c>
      <c r="I392">
        <v>3.88</v>
      </c>
      <c r="J392" t="s">
        <v>667</v>
      </c>
      <c r="K392" t="s">
        <v>49</v>
      </c>
      <c r="L392">
        <v>560</v>
      </c>
      <c r="M392">
        <v>2015</v>
      </c>
      <c r="N392">
        <v>2015</v>
      </c>
      <c r="P392" s="1">
        <v>43091</v>
      </c>
      <c r="S392" t="s">
        <v>57</v>
      </c>
      <c r="W392">
        <v>1</v>
      </c>
      <c r="Z392">
        <v>0</v>
      </c>
    </row>
    <row r="393" spans="1:26" x14ac:dyDescent="0.2">
      <c r="A393">
        <v>24113</v>
      </c>
      <c r="B393" t="s">
        <v>1672</v>
      </c>
      <c r="C393" t="s">
        <v>1100</v>
      </c>
      <c r="D393" t="s">
        <v>1101</v>
      </c>
      <c r="F393" t="str">
        <f>"0465026567"</f>
        <v>0465026567</v>
      </c>
      <c r="G393" t="str">
        <f>"9780465026562"</f>
        <v>9780465026562</v>
      </c>
      <c r="H393">
        <v>0</v>
      </c>
      <c r="I393">
        <v>4.29</v>
      </c>
      <c r="J393" t="s">
        <v>176</v>
      </c>
      <c r="K393" t="s">
        <v>36</v>
      </c>
      <c r="L393">
        <v>777</v>
      </c>
      <c r="M393">
        <v>1999</v>
      </c>
      <c r="N393">
        <v>1979</v>
      </c>
      <c r="P393" s="1">
        <v>43091</v>
      </c>
      <c r="S393" t="s">
        <v>57</v>
      </c>
      <c r="W393">
        <v>1</v>
      </c>
      <c r="Z393">
        <v>0</v>
      </c>
    </row>
    <row r="394" spans="1:26" x14ac:dyDescent="0.2">
      <c r="A394">
        <v>1000990</v>
      </c>
      <c r="B394" t="s">
        <v>1673</v>
      </c>
      <c r="C394" t="s">
        <v>1674</v>
      </c>
      <c r="D394" t="s">
        <v>1675</v>
      </c>
      <c r="F394" t="str">
        <f>"0618494782"</f>
        <v>0618494782</v>
      </c>
      <c r="G394" t="str">
        <f>"9780618494781"</f>
        <v>9780618494781</v>
      </c>
      <c r="H394">
        <v>0</v>
      </c>
      <c r="I394">
        <v>3.62</v>
      </c>
      <c r="J394" t="s">
        <v>662</v>
      </c>
      <c r="K394" t="s">
        <v>36</v>
      </c>
      <c r="L394">
        <v>96</v>
      </c>
      <c r="M394">
        <v>2004</v>
      </c>
      <c r="N394">
        <v>2009</v>
      </c>
      <c r="P394" s="1">
        <v>43091</v>
      </c>
      <c r="S394" t="s">
        <v>57</v>
      </c>
      <c r="W394">
        <v>1</v>
      </c>
      <c r="Z394">
        <v>0</v>
      </c>
    </row>
    <row r="395" spans="1:26" x14ac:dyDescent="0.2">
      <c r="A395">
        <v>34127824</v>
      </c>
      <c r="B395" t="s">
        <v>1676</v>
      </c>
      <c r="C395" t="s">
        <v>1677</v>
      </c>
      <c r="D395" t="s">
        <v>1678</v>
      </c>
      <c r="F395" t="str">
        <f>"1501145037"</f>
        <v>1501145037</v>
      </c>
      <c r="G395" t="str">
        <f>"9781501145032"</f>
        <v>9781501145032</v>
      </c>
      <c r="H395">
        <v>0</v>
      </c>
      <c r="I395">
        <v>4.43</v>
      </c>
      <c r="J395" t="s">
        <v>532</v>
      </c>
      <c r="K395" t="s">
        <v>49</v>
      </c>
      <c r="L395">
        <v>320</v>
      </c>
      <c r="M395">
        <v>2017</v>
      </c>
      <c r="N395">
        <v>2017</v>
      </c>
      <c r="P395" s="1">
        <v>43091</v>
      </c>
      <c r="S395" t="s">
        <v>57</v>
      </c>
      <c r="W395">
        <v>1</v>
      </c>
      <c r="Z395">
        <v>0</v>
      </c>
    </row>
    <row r="396" spans="1:26" x14ac:dyDescent="0.2">
      <c r="A396">
        <v>253272</v>
      </c>
      <c r="B396" t="s">
        <v>1679</v>
      </c>
      <c r="C396" t="s">
        <v>1680</v>
      </c>
      <c r="D396" t="s">
        <v>1681</v>
      </c>
      <c r="E396" t="s">
        <v>1682</v>
      </c>
      <c r="F396" t="str">
        <f>"0425101339"</f>
        <v>0425101339</v>
      </c>
      <c r="G396" t="str">
        <f>"9780425101339"</f>
        <v>9780425101339</v>
      </c>
      <c r="H396">
        <v>0</v>
      </c>
      <c r="I396">
        <v>4.18</v>
      </c>
      <c r="J396" t="s">
        <v>1629</v>
      </c>
      <c r="K396" t="s">
        <v>36</v>
      </c>
      <c r="L396">
        <v>240</v>
      </c>
      <c r="M396">
        <v>1986</v>
      </c>
      <c r="N396">
        <v>1978</v>
      </c>
      <c r="P396" s="1">
        <v>43091</v>
      </c>
      <c r="S396" t="s">
        <v>57</v>
      </c>
      <c r="W396">
        <v>1</v>
      </c>
      <c r="Z396">
        <v>0</v>
      </c>
    </row>
    <row r="397" spans="1:26" x14ac:dyDescent="0.2">
      <c r="A397">
        <v>55403</v>
      </c>
      <c r="B397" t="s">
        <v>1683</v>
      </c>
      <c r="C397" t="s">
        <v>1684</v>
      </c>
      <c r="D397" t="s">
        <v>1685</v>
      </c>
      <c r="F397" t="str">
        <f>"0871137380"</f>
        <v>0871137380</v>
      </c>
      <c r="G397" t="str">
        <f>"9780871137388"</f>
        <v>9780871137388</v>
      </c>
      <c r="H397">
        <v>0</v>
      </c>
      <c r="I397">
        <v>4.29</v>
      </c>
      <c r="J397" t="s">
        <v>1066</v>
      </c>
      <c r="K397" t="s">
        <v>49</v>
      </c>
      <c r="L397">
        <v>386</v>
      </c>
      <c r="M397">
        <v>1999</v>
      </c>
      <c r="N397">
        <v>1999</v>
      </c>
      <c r="P397" s="1">
        <v>43091</v>
      </c>
      <c r="S397" t="s">
        <v>57</v>
      </c>
      <c r="W397">
        <v>1</v>
      </c>
      <c r="Z397">
        <v>0</v>
      </c>
    </row>
    <row r="398" spans="1:26" x14ac:dyDescent="0.2">
      <c r="A398">
        <v>865</v>
      </c>
      <c r="B398" t="s">
        <v>1686</v>
      </c>
      <c r="C398" t="s">
        <v>1687</v>
      </c>
      <c r="D398" t="s">
        <v>1688</v>
      </c>
      <c r="E398" t="s">
        <v>1689</v>
      </c>
      <c r="F398" t="str">
        <f>"0061122416"</f>
        <v>0061122416</v>
      </c>
      <c r="G398" t="str">
        <f>"9780061122415"</f>
        <v>9780061122415</v>
      </c>
      <c r="H398">
        <v>0</v>
      </c>
      <c r="I398">
        <v>3.87</v>
      </c>
      <c r="J398" t="s">
        <v>150</v>
      </c>
      <c r="K398" t="s">
        <v>36</v>
      </c>
      <c r="L398">
        <v>197</v>
      </c>
      <c r="M398">
        <v>1993</v>
      </c>
      <c r="N398">
        <v>1988</v>
      </c>
      <c r="P398" s="1">
        <v>43091</v>
      </c>
      <c r="S398" t="s">
        <v>57</v>
      </c>
      <c r="W398">
        <v>1</v>
      </c>
      <c r="Z398">
        <v>0</v>
      </c>
    </row>
    <row r="399" spans="1:26" x14ac:dyDescent="0.2">
      <c r="A399">
        <v>414999</v>
      </c>
      <c r="B399" t="s">
        <v>1690</v>
      </c>
      <c r="C399" t="s">
        <v>470</v>
      </c>
      <c r="D399" t="s">
        <v>471</v>
      </c>
      <c r="F399" t="str">
        <f>""</f>
        <v/>
      </c>
      <c r="G399" t="str">
        <f>""</f>
        <v/>
      </c>
      <c r="H399">
        <v>0</v>
      </c>
      <c r="I399">
        <v>4.1100000000000003</v>
      </c>
      <c r="J399" t="s">
        <v>1691</v>
      </c>
      <c r="K399" t="s">
        <v>520</v>
      </c>
      <c r="L399">
        <v>224</v>
      </c>
      <c r="M399">
        <v>1987</v>
      </c>
      <c r="N399">
        <v>1953</v>
      </c>
      <c r="P399" s="1">
        <v>43091</v>
      </c>
      <c r="S399" t="s">
        <v>57</v>
      </c>
      <c r="W399">
        <v>1</v>
      </c>
      <c r="Z399">
        <v>0</v>
      </c>
    </row>
    <row r="400" spans="1:26" x14ac:dyDescent="0.2">
      <c r="A400">
        <v>187181</v>
      </c>
      <c r="B400" t="s">
        <v>1692</v>
      </c>
      <c r="C400" t="s">
        <v>1693</v>
      </c>
      <c r="D400" t="s">
        <v>1694</v>
      </c>
      <c r="F400" t="str">
        <f>"0449213447"</f>
        <v>0449213447</v>
      </c>
      <c r="G400" t="str">
        <f>"9780449213445"</f>
        <v>9780449213445</v>
      </c>
      <c r="H400">
        <v>0</v>
      </c>
      <c r="I400">
        <v>4.05</v>
      </c>
      <c r="J400" t="s">
        <v>1695</v>
      </c>
      <c r="K400" t="s">
        <v>520</v>
      </c>
      <c r="L400">
        <v>304</v>
      </c>
      <c r="M400">
        <v>1987</v>
      </c>
      <c r="N400">
        <v>1966</v>
      </c>
      <c r="P400" s="1">
        <v>43091</v>
      </c>
      <c r="S400" t="s">
        <v>57</v>
      </c>
      <c r="W400">
        <v>1</v>
      </c>
      <c r="Z400">
        <v>0</v>
      </c>
    </row>
    <row r="401" spans="1:26" x14ac:dyDescent="0.2">
      <c r="A401">
        <v>1305</v>
      </c>
      <c r="B401" t="s">
        <v>1696</v>
      </c>
      <c r="C401" t="s">
        <v>1697</v>
      </c>
      <c r="D401" t="s">
        <v>1698</v>
      </c>
      <c r="F401" t="str">
        <f>"055338368X"</f>
        <v>055338368X</v>
      </c>
      <c r="G401" t="str">
        <f>"9780553383683"</f>
        <v>9780553383683</v>
      </c>
      <c r="H401">
        <v>0</v>
      </c>
      <c r="I401">
        <v>4.42</v>
      </c>
      <c r="J401" t="s">
        <v>1371</v>
      </c>
      <c r="K401" t="s">
        <v>36</v>
      </c>
      <c r="L401">
        <v>392</v>
      </c>
      <c r="M401">
        <v>2005</v>
      </c>
      <c r="N401">
        <v>1998</v>
      </c>
      <c r="P401" s="1">
        <v>43091</v>
      </c>
      <c r="S401" t="s">
        <v>57</v>
      </c>
      <c r="W401">
        <v>1</v>
      </c>
      <c r="Z401">
        <v>0</v>
      </c>
    </row>
    <row r="402" spans="1:26" x14ac:dyDescent="0.2">
      <c r="A402">
        <v>38315</v>
      </c>
      <c r="B402" t="s">
        <v>1699</v>
      </c>
      <c r="C402" t="s">
        <v>806</v>
      </c>
      <c r="D402" t="s">
        <v>807</v>
      </c>
      <c r="F402" t="str">
        <f>"0812975219"</f>
        <v>0812975219</v>
      </c>
      <c r="G402" t="str">
        <f>"9780812975215"</f>
        <v>9780812975215</v>
      </c>
      <c r="H402">
        <v>0</v>
      </c>
      <c r="I402">
        <v>4.0599999999999996</v>
      </c>
      <c r="J402" t="s">
        <v>1278</v>
      </c>
      <c r="K402" t="s">
        <v>36</v>
      </c>
      <c r="L402">
        <v>368</v>
      </c>
      <c r="M402">
        <v>2005</v>
      </c>
      <c r="N402">
        <v>2001</v>
      </c>
      <c r="P402" s="1">
        <v>43091</v>
      </c>
      <c r="S402" t="s">
        <v>57</v>
      </c>
      <c r="W402">
        <v>1</v>
      </c>
      <c r="Z402">
        <v>0</v>
      </c>
    </row>
    <row r="403" spans="1:26" x14ac:dyDescent="0.2">
      <c r="A403">
        <v>13530973</v>
      </c>
      <c r="B403" t="s">
        <v>1700</v>
      </c>
      <c r="C403" t="s">
        <v>806</v>
      </c>
      <c r="D403" t="s">
        <v>807</v>
      </c>
      <c r="F403" t="str">
        <f>"1400067820"</f>
        <v>1400067820</v>
      </c>
      <c r="G403" t="str">
        <f>"9781400067824"</f>
        <v>9781400067824</v>
      </c>
      <c r="H403">
        <v>0</v>
      </c>
      <c r="I403">
        <v>4.09</v>
      </c>
      <c r="J403" t="s">
        <v>96</v>
      </c>
      <c r="K403" t="s">
        <v>49</v>
      </c>
      <c r="L403">
        <v>426</v>
      </c>
      <c r="M403">
        <v>2012</v>
      </c>
      <c r="N403">
        <v>2012</v>
      </c>
      <c r="P403" s="1">
        <v>43091</v>
      </c>
      <c r="S403" t="s">
        <v>57</v>
      </c>
      <c r="W403">
        <v>1</v>
      </c>
      <c r="Z403">
        <v>0</v>
      </c>
    </row>
    <row r="404" spans="1:26" x14ac:dyDescent="0.2">
      <c r="A404">
        <v>242472</v>
      </c>
      <c r="B404" t="s">
        <v>1701</v>
      </c>
      <c r="C404" t="s">
        <v>806</v>
      </c>
      <c r="D404" t="s">
        <v>807</v>
      </c>
      <c r="F404" t="str">
        <f>"1400063515"</f>
        <v>1400063515</v>
      </c>
      <c r="G404" t="str">
        <f>"9781400063512"</f>
        <v>9781400063512</v>
      </c>
      <c r="H404">
        <v>0</v>
      </c>
      <c r="I404">
        <v>3.92</v>
      </c>
      <c r="J404" t="s">
        <v>1702</v>
      </c>
      <c r="K404" t="s">
        <v>49</v>
      </c>
      <c r="L404">
        <v>366</v>
      </c>
      <c r="M404">
        <v>2007</v>
      </c>
      <c r="N404">
        <v>2007</v>
      </c>
      <c r="P404" s="1">
        <v>43091</v>
      </c>
      <c r="S404" t="s">
        <v>57</v>
      </c>
      <c r="W404">
        <v>1</v>
      </c>
      <c r="Z404">
        <v>0</v>
      </c>
    </row>
    <row r="405" spans="1:26" x14ac:dyDescent="0.2">
      <c r="A405">
        <v>386162</v>
      </c>
      <c r="B405" t="s">
        <v>1703</v>
      </c>
      <c r="C405" t="s">
        <v>1704</v>
      </c>
      <c r="D405" t="s">
        <v>1705</v>
      </c>
      <c r="F405" t="str">
        <f>""</f>
        <v/>
      </c>
      <c r="G405" t="str">
        <f>""</f>
        <v/>
      </c>
      <c r="H405">
        <v>0</v>
      </c>
      <c r="I405">
        <v>4.22</v>
      </c>
      <c r="J405" t="s">
        <v>1706</v>
      </c>
      <c r="K405" t="s">
        <v>36</v>
      </c>
      <c r="L405">
        <v>193</v>
      </c>
      <c r="M405">
        <v>2007</v>
      </c>
      <c r="N405">
        <v>1979</v>
      </c>
      <c r="P405" s="1">
        <v>43091</v>
      </c>
      <c r="S405" t="s">
        <v>57</v>
      </c>
      <c r="W405">
        <v>1</v>
      </c>
      <c r="Z405">
        <v>0</v>
      </c>
    </row>
    <row r="406" spans="1:26" x14ac:dyDescent="0.2">
      <c r="A406">
        <v>12917124</v>
      </c>
      <c r="B406" t="s">
        <v>1707</v>
      </c>
      <c r="C406" t="s">
        <v>1708</v>
      </c>
      <c r="D406" t="s">
        <v>1709</v>
      </c>
      <c r="F406" t="str">
        <f>"0307887170"</f>
        <v>0307887170</v>
      </c>
      <c r="G406" t="str">
        <f>"9780307887177"</f>
        <v>9780307887177</v>
      </c>
      <c r="H406">
        <v>0</v>
      </c>
      <c r="I406">
        <v>4.09</v>
      </c>
      <c r="J406" t="s">
        <v>1710</v>
      </c>
      <c r="K406" t="s">
        <v>49</v>
      </c>
      <c r="L406">
        <v>368</v>
      </c>
      <c r="M406">
        <v>2012</v>
      </c>
      <c r="N406">
        <v>2012</v>
      </c>
      <c r="P406" s="1">
        <v>43091</v>
      </c>
      <c r="S406" t="s">
        <v>57</v>
      </c>
      <c r="W406">
        <v>1</v>
      </c>
      <c r="Z406">
        <v>0</v>
      </c>
    </row>
    <row r="407" spans="1:26" x14ac:dyDescent="0.2">
      <c r="A407">
        <v>48757</v>
      </c>
      <c r="B407" t="s">
        <v>1711</v>
      </c>
      <c r="C407" t="s">
        <v>1712</v>
      </c>
      <c r="D407" t="s">
        <v>1713</v>
      </c>
      <c r="E407" t="s">
        <v>1714</v>
      </c>
      <c r="F407" t="str">
        <f>"1405204265"</f>
        <v>1405204265</v>
      </c>
      <c r="G407" t="str">
        <f>"9781405204262"</f>
        <v>9781405204262</v>
      </c>
      <c r="H407">
        <v>0</v>
      </c>
      <c r="I407">
        <v>4.01</v>
      </c>
      <c r="J407" t="s">
        <v>1715</v>
      </c>
      <c r="K407" t="s">
        <v>36</v>
      </c>
      <c r="L407">
        <v>176</v>
      </c>
      <c r="M407">
        <v>2003</v>
      </c>
      <c r="N407">
        <v>1982</v>
      </c>
      <c r="P407" s="1">
        <v>43091</v>
      </c>
      <c r="S407" t="s">
        <v>57</v>
      </c>
      <c r="W407">
        <v>1</v>
      </c>
      <c r="Z407">
        <v>0</v>
      </c>
    </row>
    <row r="408" spans="1:26" x14ac:dyDescent="0.2">
      <c r="A408">
        <v>43536</v>
      </c>
      <c r="B408" t="s">
        <v>1716</v>
      </c>
      <c r="C408" t="s">
        <v>1717</v>
      </c>
      <c r="D408" t="s">
        <v>1718</v>
      </c>
      <c r="E408" t="s">
        <v>1719</v>
      </c>
      <c r="F408" t="str">
        <f>"0809230410"</f>
        <v>0809230410</v>
      </c>
      <c r="G408" t="str">
        <f>"9780809230419"</f>
        <v>9780809230419</v>
      </c>
      <c r="H408">
        <v>0</v>
      </c>
      <c r="I408">
        <v>4.45</v>
      </c>
      <c r="J408" t="s">
        <v>1720</v>
      </c>
      <c r="K408" t="s">
        <v>49</v>
      </c>
      <c r="L408">
        <v>201</v>
      </c>
      <c r="M408">
        <v>1997</v>
      </c>
      <c r="N408">
        <v>1997</v>
      </c>
      <c r="P408" s="1">
        <v>43091</v>
      </c>
      <c r="S408" t="s">
        <v>57</v>
      </c>
      <c r="W408">
        <v>1</v>
      </c>
      <c r="Z408">
        <v>0</v>
      </c>
    </row>
    <row r="409" spans="1:26" x14ac:dyDescent="0.2">
      <c r="A409">
        <v>1622</v>
      </c>
      <c r="B409" t="s">
        <v>1721</v>
      </c>
      <c r="C409" t="s">
        <v>1722</v>
      </c>
      <c r="D409" t="s">
        <v>1723</v>
      </c>
      <c r="E409" t="s">
        <v>1724</v>
      </c>
      <c r="F409" t="str">
        <f>"0743477545"</f>
        <v>0743477545</v>
      </c>
      <c r="G409" t="str">
        <f>"9780743477543"</f>
        <v>9780743477543</v>
      </c>
      <c r="H409">
        <v>0</v>
      </c>
      <c r="I409">
        <v>3.94</v>
      </c>
      <c r="J409" t="s">
        <v>1725</v>
      </c>
      <c r="K409" t="s">
        <v>36</v>
      </c>
      <c r="L409">
        <v>240</v>
      </c>
      <c r="M409">
        <v>2016</v>
      </c>
      <c r="N409">
        <v>1595</v>
      </c>
      <c r="P409" s="1">
        <v>43091</v>
      </c>
      <c r="S409" t="s">
        <v>57</v>
      </c>
      <c r="W409">
        <v>1</v>
      </c>
      <c r="Z409">
        <v>0</v>
      </c>
    </row>
    <row r="410" spans="1:26" x14ac:dyDescent="0.2">
      <c r="A410">
        <v>7624</v>
      </c>
      <c r="B410" t="s">
        <v>1726</v>
      </c>
      <c r="C410" t="s">
        <v>1727</v>
      </c>
      <c r="D410" t="s">
        <v>1728</v>
      </c>
      <c r="F410" t="str">
        <f>"0140283331"</f>
        <v>0140283331</v>
      </c>
      <c r="G410" t="str">
        <f>"9780140283334"</f>
        <v>9780140283334</v>
      </c>
      <c r="H410">
        <v>0</v>
      </c>
      <c r="I410">
        <v>3.68</v>
      </c>
      <c r="J410" t="s">
        <v>1729</v>
      </c>
      <c r="K410" t="s">
        <v>36</v>
      </c>
      <c r="L410">
        <v>182</v>
      </c>
      <c r="M410">
        <v>1999</v>
      </c>
      <c r="N410">
        <v>1954</v>
      </c>
      <c r="P410" s="1">
        <v>43091</v>
      </c>
      <c r="S410" t="s">
        <v>57</v>
      </c>
      <c r="W410">
        <v>1</v>
      </c>
      <c r="Z410">
        <v>0</v>
      </c>
    </row>
    <row r="411" spans="1:26" x14ac:dyDescent="0.2">
      <c r="A411">
        <v>5470</v>
      </c>
      <c r="B411">
        <v>1984</v>
      </c>
      <c r="C411" t="s">
        <v>1500</v>
      </c>
      <c r="D411" t="s">
        <v>1501</v>
      </c>
      <c r="E411" t="s">
        <v>1730</v>
      </c>
      <c r="F411" t="str">
        <f>""</f>
        <v/>
      </c>
      <c r="G411" t="str">
        <f>""</f>
        <v/>
      </c>
      <c r="H411">
        <v>0</v>
      </c>
      <c r="I411">
        <v>4.18</v>
      </c>
      <c r="J411" t="s">
        <v>1731</v>
      </c>
      <c r="K411" t="s">
        <v>520</v>
      </c>
      <c r="L411">
        <v>328</v>
      </c>
      <c r="M411">
        <v>1950</v>
      </c>
      <c r="N411">
        <v>1949</v>
      </c>
      <c r="P411" s="1">
        <v>43091</v>
      </c>
      <c r="S411" t="s">
        <v>57</v>
      </c>
      <c r="W411">
        <v>1</v>
      </c>
      <c r="Z411">
        <v>0</v>
      </c>
    </row>
    <row r="412" spans="1:26" x14ac:dyDescent="0.2">
      <c r="A412">
        <v>111300</v>
      </c>
      <c r="B412" t="s">
        <v>1732</v>
      </c>
      <c r="C412" t="s">
        <v>225</v>
      </c>
      <c r="D412" t="s">
        <v>226</v>
      </c>
      <c r="E412" t="s">
        <v>1733</v>
      </c>
      <c r="F412" t="str">
        <f>"0141185503"</f>
        <v>0141185503</v>
      </c>
      <c r="G412" t="str">
        <f>"9780141185507"</f>
        <v>9780141185507</v>
      </c>
      <c r="H412">
        <v>0</v>
      </c>
      <c r="I412">
        <v>3.94</v>
      </c>
      <c r="J412" t="s">
        <v>125</v>
      </c>
      <c r="K412" t="s">
        <v>36</v>
      </c>
      <c r="L412">
        <v>240</v>
      </c>
      <c r="M412">
        <v>2000</v>
      </c>
      <c r="N412">
        <v>1933</v>
      </c>
      <c r="P412" s="1">
        <v>43091</v>
      </c>
      <c r="S412" t="s">
        <v>57</v>
      </c>
      <c r="W412">
        <v>1</v>
      </c>
      <c r="Z412">
        <v>0</v>
      </c>
    </row>
    <row r="413" spans="1:26" x14ac:dyDescent="0.2">
      <c r="A413">
        <v>18114322</v>
      </c>
      <c r="B413" t="s">
        <v>1734</v>
      </c>
      <c r="C413" t="s">
        <v>225</v>
      </c>
      <c r="D413" t="s">
        <v>226</v>
      </c>
      <c r="F413" t="str">
        <f>"067001690X"</f>
        <v>067001690X</v>
      </c>
      <c r="G413" t="str">
        <f>"9780670016907"</f>
        <v>9780670016907</v>
      </c>
      <c r="H413">
        <v>0</v>
      </c>
      <c r="I413">
        <v>3.96</v>
      </c>
      <c r="J413" t="s">
        <v>894</v>
      </c>
      <c r="K413" t="s">
        <v>49</v>
      </c>
      <c r="L413">
        <v>479</v>
      </c>
      <c r="M413">
        <v>2014</v>
      </c>
      <c r="N413">
        <v>1939</v>
      </c>
      <c r="P413" s="1">
        <v>43091</v>
      </c>
      <c r="S413" t="s">
        <v>57</v>
      </c>
      <c r="W413">
        <v>1</v>
      </c>
      <c r="Z413">
        <v>0</v>
      </c>
    </row>
    <row r="414" spans="1:26" x14ac:dyDescent="0.2">
      <c r="A414">
        <v>4406</v>
      </c>
      <c r="B414" t="s">
        <v>1735</v>
      </c>
      <c r="C414" t="s">
        <v>225</v>
      </c>
      <c r="D414" t="s">
        <v>226</v>
      </c>
      <c r="F414" t="str">
        <f>"0142000655"</f>
        <v>0142000655</v>
      </c>
      <c r="G414" t="str">
        <f>"9780142000656"</f>
        <v>9780142000656</v>
      </c>
      <c r="H414">
        <v>0</v>
      </c>
      <c r="I414">
        <v>4.37</v>
      </c>
      <c r="J414" t="s">
        <v>217</v>
      </c>
      <c r="K414" t="s">
        <v>36</v>
      </c>
      <c r="L414">
        <v>601</v>
      </c>
      <c r="M414">
        <v>2002</v>
      </c>
      <c r="N414">
        <v>1952</v>
      </c>
      <c r="P414" s="1">
        <v>43091</v>
      </c>
      <c r="S414" t="s">
        <v>57</v>
      </c>
      <c r="W414">
        <v>1</v>
      </c>
      <c r="Z414">
        <v>0</v>
      </c>
    </row>
    <row r="415" spans="1:26" x14ac:dyDescent="0.2">
      <c r="A415">
        <v>3690</v>
      </c>
      <c r="B415" t="s">
        <v>1736</v>
      </c>
      <c r="C415" t="s">
        <v>419</v>
      </c>
      <c r="D415" t="s">
        <v>420</v>
      </c>
      <c r="E415" t="s">
        <v>1737</v>
      </c>
      <c r="F415" t="str">
        <f>"0142437301"</f>
        <v>0142437301</v>
      </c>
      <c r="G415" t="str">
        <f>"9780142437308"</f>
        <v>9780142437308</v>
      </c>
      <c r="H415">
        <v>0</v>
      </c>
      <c r="I415">
        <v>4</v>
      </c>
      <c r="J415" t="s">
        <v>217</v>
      </c>
      <c r="K415" t="s">
        <v>36</v>
      </c>
      <c r="L415">
        <v>222</v>
      </c>
      <c r="M415">
        <v>2003</v>
      </c>
      <c r="N415">
        <v>1940</v>
      </c>
      <c r="P415" s="1">
        <v>43091</v>
      </c>
      <c r="S415" t="s">
        <v>57</v>
      </c>
      <c r="W415">
        <v>1</v>
      </c>
      <c r="Z415">
        <v>0</v>
      </c>
    </row>
    <row r="416" spans="1:26" x14ac:dyDescent="0.2">
      <c r="A416">
        <v>5197</v>
      </c>
      <c r="B416" t="s">
        <v>1738</v>
      </c>
      <c r="C416" t="s">
        <v>1739</v>
      </c>
      <c r="D416" t="s">
        <v>1740</v>
      </c>
      <c r="F416" t="str">
        <f>"0375702709"</f>
        <v>0375702709</v>
      </c>
      <c r="G416" t="str">
        <f>"9780375702709"</f>
        <v>9780375702709</v>
      </c>
      <c r="H416">
        <v>0</v>
      </c>
      <c r="I416">
        <v>3.95</v>
      </c>
      <c r="J416" t="s">
        <v>314</v>
      </c>
      <c r="K416" t="s">
        <v>36</v>
      </c>
      <c r="L416">
        <v>256</v>
      </c>
      <c r="M416">
        <v>1997</v>
      </c>
      <c r="N416">
        <v>1993</v>
      </c>
      <c r="P416" s="1">
        <v>43091</v>
      </c>
      <c r="S416" t="s">
        <v>57</v>
      </c>
      <c r="W416">
        <v>1</v>
      </c>
      <c r="Z416">
        <v>0</v>
      </c>
    </row>
    <row r="417" spans="1:26" x14ac:dyDescent="0.2">
      <c r="A417">
        <v>30659</v>
      </c>
      <c r="B417" t="s">
        <v>1741</v>
      </c>
      <c r="C417" t="s">
        <v>1742</v>
      </c>
      <c r="D417" t="s">
        <v>1743</v>
      </c>
      <c r="E417" t="s">
        <v>1744</v>
      </c>
      <c r="F417" t="str">
        <f>"0140449337"</f>
        <v>0140449337</v>
      </c>
      <c r="G417" t="str">
        <f>"9780140449334"</f>
        <v>9780140449334</v>
      </c>
      <c r="H417">
        <v>0</v>
      </c>
      <c r="I417">
        <v>4.2300000000000004</v>
      </c>
      <c r="J417" t="s">
        <v>217</v>
      </c>
      <c r="K417" t="s">
        <v>36</v>
      </c>
      <c r="L417">
        <v>303</v>
      </c>
      <c r="M417">
        <v>2006</v>
      </c>
      <c r="N417">
        <v>180</v>
      </c>
      <c r="P417" s="1">
        <v>43091</v>
      </c>
      <c r="S417" t="s">
        <v>57</v>
      </c>
      <c r="W417">
        <v>1</v>
      </c>
      <c r="Z417">
        <v>0</v>
      </c>
    </row>
    <row r="418" spans="1:26" x14ac:dyDescent="0.2">
      <c r="A418">
        <v>1097</v>
      </c>
      <c r="B418" t="s">
        <v>1745</v>
      </c>
      <c r="C418" t="s">
        <v>1746</v>
      </c>
      <c r="D418" t="s">
        <v>1747</v>
      </c>
      <c r="F418" t="str">
        <f>"0060838582"</f>
        <v>0060838582</v>
      </c>
      <c r="G418" t="str">
        <f>"9780060838584"</f>
        <v>9780060838584</v>
      </c>
      <c r="H418">
        <v>0</v>
      </c>
      <c r="I418">
        <v>3.74</v>
      </c>
      <c r="J418" t="s">
        <v>189</v>
      </c>
      <c r="K418" t="s">
        <v>36</v>
      </c>
      <c r="L418">
        <v>399</v>
      </c>
      <c r="M418">
        <v>2005</v>
      </c>
      <c r="N418">
        <v>2001</v>
      </c>
      <c r="P418" s="1">
        <v>43091</v>
      </c>
      <c r="S418" t="s">
        <v>57</v>
      </c>
      <c r="W418">
        <v>1</v>
      </c>
      <c r="Z418">
        <v>0</v>
      </c>
    </row>
    <row r="419" spans="1:26" x14ac:dyDescent="0.2">
      <c r="A419">
        <v>5695</v>
      </c>
      <c r="B419" t="s">
        <v>1748</v>
      </c>
      <c r="C419" t="s">
        <v>1507</v>
      </c>
      <c r="D419" t="s">
        <v>1508</v>
      </c>
      <c r="E419" t="s">
        <v>1749</v>
      </c>
      <c r="F419" t="str">
        <f>""</f>
        <v/>
      </c>
      <c r="G419" t="str">
        <f>""</f>
        <v/>
      </c>
      <c r="H419">
        <v>0</v>
      </c>
      <c r="I419">
        <v>4.2699999999999996</v>
      </c>
      <c r="J419" t="s">
        <v>314</v>
      </c>
      <c r="K419" t="s">
        <v>36</v>
      </c>
      <c r="L419">
        <v>733</v>
      </c>
      <c r="M419">
        <v>1995</v>
      </c>
      <c r="N419">
        <v>1871</v>
      </c>
      <c r="P419" s="1">
        <v>43091</v>
      </c>
      <c r="S419" t="s">
        <v>57</v>
      </c>
      <c r="W419">
        <v>1</v>
      </c>
      <c r="Z419">
        <v>0</v>
      </c>
    </row>
    <row r="420" spans="1:26" x14ac:dyDescent="0.2">
      <c r="A420">
        <v>7144</v>
      </c>
      <c r="B420" t="s">
        <v>1750</v>
      </c>
      <c r="C420" t="s">
        <v>1507</v>
      </c>
      <c r="D420" t="s">
        <v>1508</v>
      </c>
      <c r="E420" t="s">
        <v>1751</v>
      </c>
      <c r="F420" t="str">
        <f>"0143058142"</f>
        <v>0143058142</v>
      </c>
      <c r="G420" t="str">
        <f>"9780143058144"</f>
        <v>9780143058144</v>
      </c>
      <c r="H420">
        <v>0</v>
      </c>
      <c r="I420">
        <v>4.21</v>
      </c>
      <c r="J420" t="s">
        <v>145</v>
      </c>
      <c r="K420" t="s">
        <v>36</v>
      </c>
      <c r="L420">
        <v>671</v>
      </c>
      <c r="M420">
        <v>2002</v>
      </c>
      <c r="N420">
        <v>1866</v>
      </c>
      <c r="P420" s="1">
        <v>43091</v>
      </c>
      <c r="S420" t="s">
        <v>57</v>
      </c>
      <c r="W420">
        <v>1</v>
      </c>
      <c r="Z420">
        <v>0</v>
      </c>
    </row>
    <row r="421" spans="1:26" x14ac:dyDescent="0.2">
      <c r="A421">
        <v>49552</v>
      </c>
      <c r="B421" t="s">
        <v>1752</v>
      </c>
      <c r="C421" t="s">
        <v>1753</v>
      </c>
      <c r="D421" t="s">
        <v>1754</v>
      </c>
      <c r="E421" t="s">
        <v>1755</v>
      </c>
      <c r="F421" t="str">
        <f>""</f>
        <v/>
      </c>
      <c r="G421" t="str">
        <f>""</f>
        <v/>
      </c>
      <c r="H421">
        <v>0</v>
      </c>
      <c r="I421">
        <v>3.98</v>
      </c>
      <c r="J421" t="s">
        <v>773</v>
      </c>
      <c r="K421" t="s">
        <v>36</v>
      </c>
      <c r="L421">
        <v>123</v>
      </c>
      <c r="M421">
        <v>1989</v>
      </c>
      <c r="N421">
        <v>1942</v>
      </c>
      <c r="P421" s="1">
        <v>43091</v>
      </c>
      <c r="S421" t="s">
        <v>57</v>
      </c>
      <c r="W421">
        <v>1</v>
      </c>
      <c r="Z421">
        <v>0</v>
      </c>
    </row>
    <row r="422" spans="1:26" x14ac:dyDescent="0.2">
      <c r="A422">
        <v>12296</v>
      </c>
      <c r="B422" t="s">
        <v>1756</v>
      </c>
      <c r="C422" t="s">
        <v>1757</v>
      </c>
      <c r="D422" t="s">
        <v>1758</v>
      </c>
      <c r="E422" t="s">
        <v>1759</v>
      </c>
      <c r="F422" t="str">
        <f>"0142437263"</f>
        <v>0142437263</v>
      </c>
      <c r="G422" t="str">
        <f>"9780142437261"</f>
        <v>9780142437261</v>
      </c>
      <c r="H422">
        <v>0</v>
      </c>
      <c r="I422">
        <v>3.4</v>
      </c>
      <c r="J422" t="s">
        <v>217</v>
      </c>
      <c r="K422" t="s">
        <v>36</v>
      </c>
      <c r="L422">
        <v>279</v>
      </c>
      <c r="M422">
        <v>2003</v>
      </c>
      <c r="N422">
        <v>1850</v>
      </c>
      <c r="P422" s="1">
        <v>43091</v>
      </c>
      <c r="S422" t="s">
        <v>57</v>
      </c>
      <c r="W422">
        <v>1</v>
      </c>
      <c r="Z422">
        <v>0</v>
      </c>
    </row>
    <row r="423" spans="1:26" x14ac:dyDescent="0.2">
      <c r="A423">
        <v>17098</v>
      </c>
      <c r="B423" t="s">
        <v>1760</v>
      </c>
      <c r="C423" t="s">
        <v>52</v>
      </c>
      <c r="D423" t="s">
        <v>53</v>
      </c>
      <c r="F423" t="str">
        <f>"1400032954"</f>
        <v>1400032954</v>
      </c>
      <c r="G423" t="str">
        <f>"9781400032952"</f>
        <v>9781400032952</v>
      </c>
      <c r="H423">
        <v>0</v>
      </c>
      <c r="I423">
        <v>3.84</v>
      </c>
      <c r="J423" t="s">
        <v>314</v>
      </c>
      <c r="K423" t="s">
        <v>36</v>
      </c>
      <c r="L423">
        <v>288</v>
      </c>
      <c r="M423">
        <v>2004</v>
      </c>
      <c r="N423">
        <v>2003</v>
      </c>
      <c r="P423" s="1">
        <v>43091</v>
      </c>
      <c r="S423" t="s">
        <v>57</v>
      </c>
      <c r="W423">
        <v>1</v>
      </c>
      <c r="Z423">
        <v>0</v>
      </c>
    </row>
    <row r="424" spans="1:26" x14ac:dyDescent="0.2">
      <c r="A424">
        <v>13160142</v>
      </c>
      <c r="B424" t="s">
        <v>1761</v>
      </c>
      <c r="C424" t="s">
        <v>1762</v>
      </c>
      <c r="D424" t="s">
        <v>1763</v>
      </c>
      <c r="F424" t="str">
        <f>"0310330718"</f>
        <v>0310330718</v>
      </c>
      <c r="G424" t="str">
        <f>"9780310330714"</f>
        <v>9780310330714</v>
      </c>
      <c r="H424">
        <v>0</v>
      </c>
      <c r="I424">
        <v>4.16</v>
      </c>
      <c r="J424" t="s">
        <v>1764</v>
      </c>
      <c r="K424" t="s">
        <v>49</v>
      </c>
      <c r="L424">
        <v>224</v>
      </c>
      <c r="M424">
        <v>2012</v>
      </c>
      <c r="N424">
        <v>2011</v>
      </c>
      <c r="P424" s="1">
        <v>43091</v>
      </c>
      <c r="S424" t="s">
        <v>57</v>
      </c>
      <c r="W424">
        <v>1</v>
      </c>
      <c r="Z424">
        <v>0</v>
      </c>
    </row>
    <row r="425" spans="1:26" x14ac:dyDescent="0.2">
      <c r="A425">
        <v>68143</v>
      </c>
      <c r="B425" t="s">
        <v>1765</v>
      </c>
      <c r="C425" t="s">
        <v>1766</v>
      </c>
      <c r="D425" t="s">
        <v>1767</v>
      </c>
      <c r="F425" t="str">
        <f>"0385721706"</f>
        <v>0385721706</v>
      </c>
      <c r="G425" t="str">
        <f>"9780385721707"</f>
        <v>9780385721707</v>
      </c>
      <c r="H425">
        <v>0</v>
      </c>
      <c r="I425">
        <v>3.81</v>
      </c>
      <c r="J425" t="s">
        <v>107</v>
      </c>
      <c r="K425" t="s">
        <v>36</v>
      </c>
      <c r="L425">
        <v>306</v>
      </c>
      <c r="M425">
        <v>2005</v>
      </c>
      <c r="N425">
        <v>2004</v>
      </c>
      <c r="P425" s="1">
        <v>43091</v>
      </c>
      <c r="S425" t="s">
        <v>57</v>
      </c>
      <c r="W425">
        <v>1</v>
      </c>
      <c r="Z425">
        <v>0</v>
      </c>
    </row>
    <row r="426" spans="1:26" x14ac:dyDescent="0.2">
      <c r="A426">
        <v>937696</v>
      </c>
      <c r="B426" t="s">
        <v>1768</v>
      </c>
      <c r="C426" t="s">
        <v>1769</v>
      </c>
      <c r="D426" t="s">
        <v>1770</v>
      </c>
      <c r="F426" t="str">
        <f>"0891418725"</f>
        <v>0891418725</v>
      </c>
      <c r="G426" t="str">
        <f>"9780891418726"</f>
        <v>9780891418726</v>
      </c>
      <c r="H426">
        <v>0</v>
      </c>
      <c r="I426">
        <v>4</v>
      </c>
      <c r="J426" t="s">
        <v>1771</v>
      </c>
      <c r="K426" t="s">
        <v>49</v>
      </c>
      <c r="L426">
        <v>379</v>
      </c>
      <c r="M426">
        <v>2005</v>
      </c>
      <c r="N426">
        <v>2005</v>
      </c>
      <c r="P426" s="1">
        <v>43091</v>
      </c>
      <c r="S426" t="s">
        <v>57</v>
      </c>
      <c r="W426">
        <v>1</v>
      </c>
      <c r="Z426">
        <v>0</v>
      </c>
    </row>
    <row r="427" spans="1:26" x14ac:dyDescent="0.2">
      <c r="A427">
        <v>1945282</v>
      </c>
      <c r="B427" t="s">
        <v>1772</v>
      </c>
      <c r="C427" t="s">
        <v>1680</v>
      </c>
      <c r="D427" t="s">
        <v>1681</v>
      </c>
      <c r="F427" t="str">
        <f>"0425053466"</f>
        <v>0425053466</v>
      </c>
      <c r="G427" t="str">
        <f>"9780425053461"</f>
        <v>9780425053461</v>
      </c>
      <c r="H427">
        <v>0</v>
      </c>
      <c r="I427">
        <v>4.0999999999999996</v>
      </c>
      <c r="J427" t="s">
        <v>1773</v>
      </c>
      <c r="K427" t="s">
        <v>36</v>
      </c>
      <c r="L427">
        <v>0</v>
      </c>
      <c r="M427">
        <v>1982</v>
      </c>
      <c r="N427">
        <v>1980</v>
      </c>
      <c r="P427" s="1">
        <v>43091</v>
      </c>
      <c r="S427" t="s">
        <v>57</v>
      </c>
      <c r="W427">
        <v>1</v>
      </c>
      <c r="Z427">
        <v>0</v>
      </c>
    </row>
    <row r="428" spans="1:26" x14ac:dyDescent="0.2">
      <c r="A428">
        <v>4069</v>
      </c>
      <c r="B428" t="s">
        <v>1774</v>
      </c>
      <c r="C428" t="s">
        <v>1775</v>
      </c>
      <c r="D428" t="s">
        <v>1776</v>
      </c>
      <c r="E428" t="s">
        <v>1777</v>
      </c>
      <c r="F428" t="str">
        <f>"080701429X"</f>
        <v>080701429X</v>
      </c>
      <c r="G428" t="str">
        <f>"9780807014295"</f>
        <v>9780807014295</v>
      </c>
      <c r="H428">
        <v>0</v>
      </c>
      <c r="I428">
        <v>4.3600000000000003</v>
      </c>
      <c r="J428" t="s">
        <v>1778</v>
      </c>
      <c r="K428" t="s">
        <v>36</v>
      </c>
      <c r="L428">
        <v>165</v>
      </c>
      <c r="M428">
        <v>2006</v>
      </c>
      <c r="N428">
        <v>1946</v>
      </c>
      <c r="P428" s="1">
        <v>43091</v>
      </c>
      <c r="S428" t="s">
        <v>57</v>
      </c>
      <c r="W428">
        <v>1</v>
      </c>
      <c r="Z428">
        <v>0</v>
      </c>
    </row>
    <row r="429" spans="1:26" x14ac:dyDescent="0.2">
      <c r="A429">
        <v>95734</v>
      </c>
      <c r="B429" t="s">
        <v>1779</v>
      </c>
      <c r="C429" t="s">
        <v>766</v>
      </c>
      <c r="D429" t="s">
        <v>767</v>
      </c>
      <c r="F429" t="str">
        <f>"1573229377"</f>
        <v>1573229377</v>
      </c>
      <c r="G429" t="str">
        <f>"9781573229371"</f>
        <v>9781573229371</v>
      </c>
      <c r="H429">
        <v>0</v>
      </c>
      <c r="I429">
        <v>4.1500000000000004</v>
      </c>
      <c r="J429" t="s">
        <v>1590</v>
      </c>
      <c r="K429" t="s">
        <v>36</v>
      </c>
      <c r="L429">
        <v>227</v>
      </c>
      <c r="M429">
        <v>2002</v>
      </c>
      <c r="N429">
        <v>2001</v>
      </c>
      <c r="P429" s="1">
        <v>43091</v>
      </c>
      <c r="S429" t="s">
        <v>57</v>
      </c>
      <c r="W429">
        <v>1</v>
      </c>
      <c r="Z429">
        <v>0</v>
      </c>
    </row>
    <row r="430" spans="1:26" x14ac:dyDescent="0.2">
      <c r="A430">
        <v>3228917</v>
      </c>
      <c r="B430" t="s">
        <v>1780</v>
      </c>
      <c r="C430" t="s">
        <v>1433</v>
      </c>
      <c r="D430" t="s">
        <v>1434</v>
      </c>
      <c r="F430" t="str">
        <f>"0316017922"</f>
        <v>0316017922</v>
      </c>
      <c r="G430" t="str">
        <f>"9780316017923"</f>
        <v>9780316017923</v>
      </c>
      <c r="H430">
        <v>0</v>
      </c>
      <c r="I430">
        <v>4.16</v>
      </c>
      <c r="J430" t="s">
        <v>667</v>
      </c>
      <c r="K430" t="s">
        <v>49</v>
      </c>
      <c r="L430">
        <v>309</v>
      </c>
      <c r="M430">
        <v>2008</v>
      </c>
      <c r="N430">
        <v>2008</v>
      </c>
      <c r="P430" s="1">
        <v>43091</v>
      </c>
      <c r="S430" t="s">
        <v>57</v>
      </c>
      <c r="W430">
        <v>1</v>
      </c>
      <c r="Z430">
        <v>0</v>
      </c>
    </row>
    <row r="431" spans="1:26" x14ac:dyDescent="0.2">
      <c r="A431">
        <v>2334090</v>
      </c>
      <c r="B431" t="s">
        <v>1781</v>
      </c>
      <c r="C431" t="s">
        <v>1782</v>
      </c>
      <c r="D431" t="s">
        <v>1783</v>
      </c>
      <c r="E431" t="s">
        <v>1782</v>
      </c>
      <c r="F431" t="str">
        <f>"0498025411"</f>
        <v>0498025411</v>
      </c>
      <c r="G431" t="str">
        <f>"9780498025419"</f>
        <v>9780498025419</v>
      </c>
      <c r="H431">
        <v>0</v>
      </c>
      <c r="I431">
        <v>4</v>
      </c>
      <c r="J431" t="s">
        <v>508</v>
      </c>
      <c r="K431" t="s">
        <v>49</v>
      </c>
      <c r="L431">
        <v>273</v>
      </c>
      <c r="M431">
        <v>1981</v>
      </c>
      <c r="N431">
        <v>1981</v>
      </c>
      <c r="P431" s="1">
        <v>43091</v>
      </c>
      <c r="S431" t="s">
        <v>57</v>
      </c>
      <c r="W431">
        <v>1</v>
      </c>
      <c r="Z431">
        <v>0</v>
      </c>
    </row>
    <row r="432" spans="1:26" x14ac:dyDescent="0.2">
      <c r="A432">
        <v>18160</v>
      </c>
      <c r="B432" t="s">
        <v>1784</v>
      </c>
      <c r="C432" t="s">
        <v>1785</v>
      </c>
      <c r="D432" t="s">
        <v>1786</v>
      </c>
      <c r="E432" t="s">
        <v>1787</v>
      </c>
      <c r="F432" t="str">
        <f>"076454280X"</f>
        <v>076454280X</v>
      </c>
      <c r="G432" t="str">
        <f>"9780764542800"</f>
        <v>9780764542800</v>
      </c>
      <c r="H432">
        <v>0</v>
      </c>
      <c r="I432">
        <v>3.76</v>
      </c>
      <c r="J432" t="s">
        <v>719</v>
      </c>
      <c r="K432" t="s">
        <v>36</v>
      </c>
      <c r="L432">
        <v>352</v>
      </c>
      <c r="M432">
        <v>2003</v>
      </c>
      <c r="N432">
        <v>2001</v>
      </c>
      <c r="P432" s="1">
        <v>43091</v>
      </c>
      <c r="S432" t="s">
        <v>57</v>
      </c>
      <c r="W432">
        <v>1</v>
      </c>
      <c r="Z432">
        <v>0</v>
      </c>
    </row>
    <row r="433" spans="1:26" x14ac:dyDescent="0.2">
      <c r="A433">
        <v>628070</v>
      </c>
      <c r="B433" t="s">
        <v>1788</v>
      </c>
      <c r="C433" t="s">
        <v>1789</v>
      </c>
      <c r="D433" t="s">
        <v>1790</v>
      </c>
      <c r="F433" t="str">
        <f>"0785274308"</f>
        <v>0785274308</v>
      </c>
      <c r="G433" t="str">
        <f>"9780785274308"</f>
        <v>9780785274308</v>
      </c>
      <c r="H433">
        <v>0</v>
      </c>
      <c r="I433">
        <v>4.3</v>
      </c>
      <c r="J433" t="s">
        <v>1791</v>
      </c>
      <c r="K433" t="s">
        <v>49</v>
      </c>
      <c r="L433">
        <v>209</v>
      </c>
      <c r="M433">
        <v>2000</v>
      </c>
      <c r="N433">
        <v>2000</v>
      </c>
      <c r="P433" s="1">
        <v>43091</v>
      </c>
      <c r="S433" t="s">
        <v>57</v>
      </c>
      <c r="W433">
        <v>1</v>
      </c>
      <c r="Z433">
        <v>0</v>
      </c>
    </row>
    <row r="434" spans="1:26" x14ac:dyDescent="0.2">
      <c r="A434">
        <v>115587</v>
      </c>
      <c r="B434" t="s">
        <v>1792</v>
      </c>
      <c r="C434" t="s">
        <v>1793</v>
      </c>
      <c r="D434" t="s">
        <v>1794</v>
      </c>
      <c r="F434" t="str">
        <f>"0385339364"</f>
        <v>0385339364</v>
      </c>
      <c r="G434" t="str">
        <f>"9780385339360"</f>
        <v>9780385339360</v>
      </c>
      <c r="H434">
        <v>0</v>
      </c>
      <c r="I434">
        <v>4.1399999999999997</v>
      </c>
      <c r="J434" t="s">
        <v>1795</v>
      </c>
      <c r="K434" t="s">
        <v>36</v>
      </c>
      <c r="L434">
        <v>324</v>
      </c>
      <c r="M434">
        <v>2005</v>
      </c>
      <c r="N434">
        <v>2002</v>
      </c>
      <c r="P434" s="1">
        <v>43091</v>
      </c>
      <c r="S434" t="s">
        <v>57</v>
      </c>
      <c r="W434">
        <v>1</v>
      </c>
      <c r="Z434">
        <v>0</v>
      </c>
    </row>
    <row r="435" spans="1:26" x14ac:dyDescent="0.2">
      <c r="A435">
        <v>9755391</v>
      </c>
      <c r="B435" t="s">
        <v>1796</v>
      </c>
      <c r="C435" t="s">
        <v>1797</v>
      </c>
      <c r="D435" t="s">
        <v>1798</v>
      </c>
      <c r="E435" t="s">
        <v>1799</v>
      </c>
      <c r="F435" t="str">
        <f>"0553807579"</f>
        <v>0553807579</v>
      </c>
      <c r="G435" t="str">
        <f>"9780553807578"</f>
        <v>9780553807578</v>
      </c>
      <c r="H435">
        <v>0</v>
      </c>
      <c r="I435">
        <v>4.32</v>
      </c>
      <c r="J435" t="s">
        <v>1371</v>
      </c>
      <c r="K435" t="s">
        <v>49</v>
      </c>
      <c r="L435">
        <v>280</v>
      </c>
      <c r="M435">
        <v>2011</v>
      </c>
      <c r="N435">
        <v>2011</v>
      </c>
      <c r="P435" s="1">
        <v>43091</v>
      </c>
      <c r="S435" t="s">
        <v>57</v>
      </c>
      <c r="W435">
        <v>1</v>
      </c>
      <c r="Z435">
        <v>0</v>
      </c>
    </row>
    <row r="436" spans="1:26" x14ac:dyDescent="0.2">
      <c r="A436">
        <v>1303</v>
      </c>
      <c r="B436" t="s">
        <v>1800</v>
      </c>
      <c r="C436" t="s">
        <v>827</v>
      </c>
      <c r="D436" t="s">
        <v>828</v>
      </c>
      <c r="E436" t="s">
        <v>1801</v>
      </c>
      <c r="F436" t="str">
        <f>"0140280197"</f>
        <v>0140280197</v>
      </c>
      <c r="G436" t="str">
        <f>"9780140280197"</f>
        <v>9780140280197</v>
      </c>
      <c r="H436">
        <v>0</v>
      </c>
      <c r="I436">
        <v>4.18</v>
      </c>
      <c r="J436" t="s">
        <v>1802</v>
      </c>
      <c r="K436" t="s">
        <v>36</v>
      </c>
      <c r="L436">
        <v>452</v>
      </c>
      <c r="M436">
        <v>2000</v>
      </c>
      <c r="N436">
        <v>1998</v>
      </c>
      <c r="P436" s="1">
        <v>43091</v>
      </c>
      <c r="S436" t="s">
        <v>57</v>
      </c>
      <c r="W436">
        <v>1</v>
      </c>
      <c r="Z436">
        <v>0</v>
      </c>
    </row>
    <row r="437" spans="1:26" x14ac:dyDescent="0.2">
      <c r="A437">
        <v>431898</v>
      </c>
      <c r="B437" t="s">
        <v>1803</v>
      </c>
      <c r="C437" t="s">
        <v>1804</v>
      </c>
      <c r="D437" t="s">
        <v>1805</v>
      </c>
      <c r="E437" t="s">
        <v>1806</v>
      </c>
      <c r="F437" t="str">
        <f>"1400046955"</f>
        <v>1400046955</v>
      </c>
      <c r="G437" t="str">
        <f>"9781400046959"</f>
        <v>9781400046959</v>
      </c>
      <c r="H437">
        <v>0</v>
      </c>
      <c r="I437">
        <v>4.2</v>
      </c>
      <c r="J437" t="s">
        <v>1541</v>
      </c>
      <c r="K437" t="s">
        <v>36</v>
      </c>
      <c r="L437">
        <v>384</v>
      </c>
      <c r="M437">
        <v>2003</v>
      </c>
      <c r="N437">
        <v>2001</v>
      </c>
      <c r="P437" s="1">
        <v>43091</v>
      </c>
      <c r="S437" t="s">
        <v>57</v>
      </c>
      <c r="W437">
        <v>1</v>
      </c>
      <c r="Z437">
        <v>0</v>
      </c>
    </row>
    <row r="438" spans="1:26" x14ac:dyDescent="0.2">
      <c r="A438">
        <v>6117055</v>
      </c>
      <c r="B438" t="s">
        <v>1807</v>
      </c>
      <c r="C438" t="s">
        <v>1808</v>
      </c>
      <c r="D438" t="s">
        <v>1809</v>
      </c>
      <c r="F438" t="str">
        <f>"059306173X"</f>
        <v>059306173X</v>
      </c>
      <c r="G438" t="str">
        <f>"9780593061732"</f>
        <v>9780593061732</v>
      </c>
      <c r="H438">
        <v>0</v>
      </c>
      <c r="I438">
        <v>4.16</v>
      </c>
      <c r="J438" t="s">
        <v>251</v>
      </c>
      <c r="K438" t="s">
        <v>49</v>
      </c>
      <c r="L438">
        <v>470</v>
      </c>
      <c r="M438">
        <v>2009</v>
      </c>
      <c r="N438">
        <v>2009</v>
      </c>
      <c r="P438" s="1">
        <v>43091</v>
      </c>
      <c r="S438" t="s">
        <v>57</v>
      </c>
      <c r="W438">
        <v>1</v>
      </c>
      <c r="Z438">
        <v>0</v>
      </c>
    </row>
    <row r="439" spans="1:26" x14ac:dyDescent="0.2">
      <c r="A439">
        <v>363486</v>
      </c>
      <c r="B439" t="s">
        <v>1810</v>
      </c>
      <c r="C439" t="s">
        <v>1811</v>
      </c>
      <c r="D439" t="s">
        <v>1812</v>
      </c>
      <c r="F439" t="str">
        <f>"0700610294"</f>
        <v>0700610294</v>
      </c>
      <c r="G439" t="str">
        <f>"9780700610297"</f>
        <v>9780700610297</v>
      </c>
      <c r="H439">
        <v>0</v>
      </c>
      <c r="I439">
        <v>3.95</v>
      </c>
      <c r="J439" t="s">
        <v>1155</v>
      </c>
      <c r="K439" t="s">
        <v>36</v>
      </c>
      <c r="L439">
        <v>422</v>
      </c>
      <c r="M439">
        <v>1998</v>
      </c>
      <c r="N439">
        <v>1998</v>
      </c>
      <c r="P439" s="1">
        <v>43091</v>
      </c>
      <c r="S439" t="s">
        <v>57</v>
      </c>
      <c r="W439">
        <v>1</v>
      </c>
      <c r="Z439">
        <v>0</v>
      </c>
    </row>
    <row r="440" spans="1:26" x14ac:dyDescent="0.2">
      <c r="A440">
        <v>21</v>
      </c>
      <c r="B440" t="s">
        <v>1813</v>
      </c>
      <c r="C440" t="s">
        <v>1814</v>
      </c>
      <c r="D440" t="s">
        <v>1815</v>
      </c>
      <c r="F440" t="str">
        <f>"076790818X"</f>
        <v>076790818X</v>
      </c>
      <c r="G440" t="str">
        <f>"9780767908184"</f>
        <v>9780767908184</v>
      </c>
      <c r="H440">
        <v>0</v>
      </c>
      <c r="I440">
        <v>4.21</v>
      </c>
      <c r="J440" t="s">
        <v>309</v>
      </c>
      <c r="K440" t="s">
        <v>36</v>
      </c>
      <c r="L440">
        <v>544</v>
      </c>
      <c r="M440">
        <v>2004</v>
      </c>
      <c r="N440">
        <v>2003</v>
      </c>
      <c r="P440" s="1">
        <v>43091</v>
      </c>
      <c r="S440" t="s">
        <v>57</v>
      </c>
      <c r="W440">
        <v>1</v>
      </c>
      <c r="Z440">
        <v>0</v>
      </c>
    </row>
    <row r="441" spans="1:26" x14ac:dyDescent="0.2">
      <c r="A441">
        <v>3869</v>
      </c>
      <c r="B441" t="s">
        <v>1816</v>
      </c>
      <c r="C441" t="s">
        <v>1817</v>
      </c>
      <c r="D441" t="s">
        <v>1818</v>
      </c>
      <c r="F441" t="str">
        <f>"0553380168"</f>
        <v>0553380168</v>
      </c>
      <c r="G441" t="str">
        <f>"9780553380163"</f>
        <v>9780553380163</v>
      </c>
      <c r="H441">
        <v>0</v>
      </c>
      <c r="I441">
        <v>4.17</v>
      </c>
      <c r="J441" t="s">
        <v>1819</v>
      </c>
      <c r="K441" t="s">
        <v>36</v>
      </c>
      <c r="L441">
        <v>212</v>
      </c>
      <c r="M441">
        <v>1998</v>
      </c>
      <c r="N441">
        <v>1988</v>
      </c>
      <c r="P441" s="1">
        <v>43091</v>
      </c>
      <c r="S441" t="s">
        <v>57</v>
      </c>
      <c r="W441">
        <v>1</v>
      </c>
      <c r="Z441">
        <v>0</v>
      </c>
    </row>
    <row r="442" spans="1:26" x14ac:dyDescent="0.2">
      <c r="A442">
        <v>6346975</v>
      </c>
      <c r="B442" t="s">
        <v>1820</v>
      </c>
      <c r="C442" t="s">
        <v>1411</v>
      </c>
      <c r="D442" t="s">
        <v>1412</v>
      </c>
      <c r="F442" t="str">
        <f>"159420229X"</f>
        <v>159420229X</v>
      </c>
      <c r="G442" t="str">
        <f>"9781594202292"</f>
        <v>9781594202292</v>
      </c>
      <c r="H442">
        <v>0</v>
      </c>
      <c r="I442">
        <v>3.87</v>
      </c>
      <c r="J442" t="s">
        <v>1821</v>
      </c>
      <c r="K442" t="s">
        <v>49</v>
      </c>
      <c r="L442">
        <v>307</v>
      </c>
      <c r="M442">
        <v>2011</v>
      </c>
      <c r="N442">
        <v>2011</v>
      </c>
      <c r="P442" s="1">
        <v>43091</v>
      </c>
      <c r="S442" t="s">
        <v>57</v>
      </c>
      <c r="W442">
        <v>1</v>
      </c>
      <c r="Z442">
        <v>0</v>
      </c>
    </row>
    <row r="443" spans="1:26" x14ac:dyDescent="0.2">
      <c r="A443">
        <v>9739365</v>
      </c>
      <c r="B443" t="s">
        <v>1822</v>
      </c>
      <c r="C443" t="s">
        <v>1823</v>
      </c>
      <c r="D443" t="s">
        <v>1824</v>
      </c>
      <c r="E443" t="s">
        <v>1825</v>
      </c>
      <c r="F443" t="str">
        <f>"031269945X"</f>
        <v>031269945X</v>
      </c>
      <c r="G443" t="str">
        <f>"9780312699451"</f>
        <v>9780312699451</v>
      </c>
      <c r="H443">
        <v>0</v>
      </c>
      <c r="I443">
        <v>4.04</v>
      </c>
      <c r="J443" t="s">
        <v>1268</v>
      </c>
      <c r="K443" t="s">
        <v>49</v>
      </c>
      <c r="L443">
        <v>331</v>
      </c>
      <c r="M443">
        <v>2011</v>
      </c>
      <c r="N443">
        <v>2011</v>
      </c>
      <c r="P443" s="1">
        <v>43091</v>
      </c>
      <c r="S443" t="s">
        <v>57</v>
      </c>
      <c r="W443">
        <v>1</v>
      </c>
      <c r="Z443">
        <v>0</v>
      </c>
    </row>
    <row r="444" spans="1:26" x14ac:dyDescent="0.2">
      <c r="A444">
        <v>3392039</v>
      </c>
      <c r="B444" t="s">
        <v>1826</v>
      </c>
      <c r="C444" t="s">
        <v>1827</v>
      </c>
      <c r="D444" t="s">
        <v>1828</v>
      </c>
      <c r="E444" t="s">
        <v>1829</v>
      </c>
      <c r="F444" t="str">
        <f>"1596915323"</f>
        <v>1596915323</v>
      </c>
      <c r="G444" t="str">
        <f>"9781596915329"</f>
        <v>9781596915329</v>
      </c>
      <c r="H444">
        <v>0</v>
      </c>
      <c r="I444">
        <v>3.56</v>
      </c>
      <c r="J444" t="s">
        <v>1830</v>
      </c>
      <c r="K444" t="s">
        <v>49</v>
      </c>
      <c r="L444">
        <v>545</v>
      </c>
      <c r="M444">
        <v>2008</v>
      </c>
      <c r="N444">
        <v>2009</v>
      </c>
      <c r="P444" s="1">
        <v>43091</v>
      </c>
      <c r="S444" t="s">
        <v>57</v>
      </c>
      <c r="W444">
        <v>1</v>
      </c>
      <c r="Z444">
        <v>0</v>
      </c>
    </row>
    <row r="445" spans="1:26" x14ac:dyDescent="0.2">
      <c r="A445">
        <v>55030</v>
      </c>
      <c r="B445" t="s">
        <v>1831</v>
      </c>
      <c r="C445" t="s">
        <v>82</v>
      </c>
      <c r="D445" t="s">
        <v>83</v>
      </c>
      <c r="F445" t="str">
        <f>"0375508325"</f>
        <v>0375508325</v>
      </c>
      <c r="G445" t="str">
        <f>"9780375508325"</f>
        <v>9780375508325</v>
      </c>
      <c r="H445">
        <v>0</v>
      </c>
      <c r="I445">
        <v>4.37</v>
      </c>
      <c r="J445" t="s">
        <v>96</v>
      </c>
      <c r="K445" t="s">
        <v>520</v>
      </c>
      <c r="L445">
        <v>384</v>
      </c>
      <c r="M445">
        <v>2002</v>
      </c>
      <c r="N445">
        <v>1980</v>
      </c>
      <c r="P445" s="1">
        <v>43091</v>
      </c>
      <c r="S445" t="s">
        <v>57</v>
      </c>
      <c r="W445">
        <v>1</v>
      </c>
      <c r="Z445">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goodreads_library_export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Morse</dc:creator>
  <cp:lastModifiedBy>Ethan Morse</cp:lastModifiedBy>
  <dcterms:created xsi:type="dcterms:W3CDTF">2020-04-06T00:21:27Z</dcterms:created>
  <dcterms:modified xsi:type="dcterms:W3CDTF">2020-04-06T00:21:27Z</dcterms:modified>
</cp:coreProperties>
</file>