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<sst xmlns="http://schemas.openxmlformats.org/spreadsheetml/2006/main" count="9227" uniqueCount="4692">
  <si>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</si>
  <si>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</si>
  <si>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</si>
  <si>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</si>
  <si>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</si>
  <si>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</si>
  <si>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</si>
  <si>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</si>
  <si>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</si>
  <si>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</si>
  <si>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</si>
  <si>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</si>
  <si>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</si>
  <si>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</si>
  <si>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</si>
  <si>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</si>
  <si>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</si>
  <si>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</si>
  <si>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</si>
  <si>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</si>
  <si>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</si>
  <si>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</si>
  <si>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</si>
  <si>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</si>
  <si>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</si>
  <si>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</si>
  <si>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</si>
  <si>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</si>
  <si>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</si>
  <si>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</si>
  <si>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</si>
  <si>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Poison: Sermons on Suffering</t>
  </si>
  <si>
    <t>The Madness of Crowds: Gender, Race and Identity</t>
  </si>
  <si>
    <t>Flow: The Psychology of Optimal Experience</t>
  </si>
  <si>
    <t>The Things They Carried</t>
  </si>
  <si>
    <t>The Killer Inside Me</t>
  </si>
  <si>
    <t>We Learn Nothing</t>
  </si>
  <si>
    <t>A Visit to the Monastery of La Trappe in 1817 With Notes Taken During a Tour Through Le Perche, Normandy, Bretagne, Poitou, Anjou, Le Bocage, Touraine, ... Engravings, from Drawings Made on the Spot</t>
  </si>
  <si>
    <t>Project Hail Mary</t>
  </si>
  <si>
    <t>Life and Fate</t>
  </si>
  <si>
    <t>Stalingrad (Stalingrad, #1)</t>
  </si>
  <si>
    <t>The Redemption of Time</t>
  </si>
  <si>
    <t>Going Dark: The Secret Social Lives of Extremists</t>
  </si>
  <si>
    <t>We Have Been Harmonized: Life in China's Surveillance State</t>
  </si>
  <si>
    <t>The Notebooks of Leonardo Davinci</t>
  </si>
  <si>
    <t>A Sound of Thunder</t>
  </si>
  <si>
    <t>Stubborn Attachments: A Vision for a Society of Free, Prosperous, and Responsible Individuals</t>
  </si>
  <si>
    <t>The Third Man</t>
  </si>
  <si>
    <t>Immunity to Change: How to Overcome It and Unlock Potential in Yourself and Your Organization</t>
  </si>
  <si>
    <t>The Ultimate Sales Machine: Turbocharge Your Business with Relentless Focus on 12 Key Strategies</t>
  </si>
  <si>
    <t>War and Peace</t>
  </si>
  <si>
    <t>An Absolutely Remarkable Thing (The Carls, #1)</t>
  </si>
  <si>
    <t>Legal Systems Very Different From Ours</t>
  </si>
  <si>
    <t>Finite and Infinite Games: A Vision of Life as Play and Possibility</t>
  </si>
  <si>
    <t>Dignity: Seeking Respect in Back Row America</t>
  </si>
  <si>
    <t>Strategy in the Missile Age</t>
  </si>
  <si>
    <t>The Limits of Safety: Organizations, Accidents, and Nuclear Weapons</t>
  </si>
  <si>
    <t>In Brightest Africa</t>
  </si>
  <si>
    <t>Liminality and the Modern: Living Through the In-Between</t>
  </si>
  <si>
    <t>Seeing Like a State: How Certain Schemes to Improve the Human Condition Have Failed</t>
  </si>
  <si>
    <t>Superintelligence: Paths, Dangers, Strategies</t>
  </si>
  <si>
    <t>McNamara's Folly: The Use of Low-IQ Troops in the Vietnam War</t>
  </si>
  <si>
    <t>Practical Ethics</t>
  </si>
  <si>
    <t>Cannery Row (Cannery Row, #1)</t>
  </si>
  <si>
    <t>The Theory of Money and Credit</t>
  </si>
  <si>
    <t>The Devil's Chessboard: Allen Dulles, the CIA, and the Rise of America's Secret Government</t>
  </si>
  <si>
    <t>Asia Grace</t>
  </si>
  <si>
    <t>Molecular Biology of the Cell</t>
  </si>
  <si>
    <t>Of Mice and Men</t>
  </si>
  <si>
    <t>Never Split the Difference: Negotiating As If Your Life Depended On It</t>
  </si>
  <si>
    <t>The Wapshot Chronicle</t>
  </si>
  <si>
    <t>Red Adair: An American Hero - The Authorized Biography</t>
  </si>
  <si>
    <t>Purely Academic: The rise and fall of Charles Mittleman</t>
  </si>
  <si>
    <t>The Hero With a Thousand Faces</t>
  </si>
  <si>
    <t>The Hunters</t>
  </si>
  <si>
    <t>The Journalist and the Murderer</t>
  </si>
  <si>
    <t>How Not to Network a Nation: The Uneasy History of the Soviet Internet</t>
  </si>
  <si>
    <t>The Cowshed: Memories of the Chinese Cultural Revolution</t>
  </si>
  <si>
    <t>All Art is Propaganda: Critical Essays</t>
  </si>
  <si>
    <t>Underworld</t>
  </si>
  <si>
    <t>Suck: Worst-Case Scenarios in Media, Culture, Advertising, and the Internet</t>
  </si>
  <si>
    <t>The Inevitable: Understanding the 12 Technological Forces That Will Shape Our Future</t>
  </si>
  <si>
    <t>Mapping the Airways</t>
  </si>
  <si>
    <t>The Revolt of the Masses</t>
  </si>
  <si>
    <t>The 50s: The Story of a Decade</t>
  </si>
  <si>
    <t>The 60s: The Story of a Decade</t>
  </si>
  <si>
    <t>The 40s: The Story of a Decade</t>
  </si>
  <si>
    <t>Before the Storm: Barry Goldwater and the Unmaking of the American Consensus</t>
  </si>
  <si>
    <t>Urban Street Design Guide</t>
  </si>
  <si>
    <t>Designing Walkable Urban Thoroughfares: A Context Sensitive Approach</t>
  </si>
  <si>
    <t>Photoviz</t>
  </si>
  <si>
    <t>Streetfight: Handbook for an Urban Revolution</t>
  </si>
  <si>
    <t>The Age of Em: Work, Love and Life When Robots Rule the Earth</t>
  </si>
  <si>
    <t>The End of Error: Unum Computing (Chapman &amp; Hall/CRC Computational Science)</t>
  </si>
  <si>
    <t>Setting the Table: The Transforming Power of Hospitality in Business</t>
  </si>
  <si>
    <t>Let My People Go Surfing: The Education of a Reluctant Businessman</t>
  </si>
  <si>
    <t>The Printing Press as an Agent of Change</t>
  </si>
  <si>
    <t>The Good Old Days--They Were Terrible!</t>
  </si>
  <si>
    <t>Invisible Cities</t>
  </si>
  <si>
    <t>Last and First Men</t>
  </si>
  <si>
    <t>The Arrival</t>
  </si>
  <si>
    <t>Fear No Evil</t>
  </si>
  <si>
    <t>The Really Hard Problem: Meaning in a Material World</t>
  </si>
  <si>
    <t>The Company of Strangers: A Natural History of Economic Life</t>
  </si>
  <si>
    <t>The Mind-Body Problem</t>
  </si>
  <si>
    <t>Enemies: A Love Story</t>
  </si>
  <si>
    <t>This Town: Two Parties and a Funeral — plus plenty of valet parking! — in America’s Gilded Capital</t>
  </si>
  <si>
    <t>The Fifth Generation: Artificial Intelligence &amp; Japan's Computer Challenge to the World</t>
  </si>
  <si>
    <t>The Great Escape: Health, Wealth, and the Origins of Inequality</t>
  </si>
  <si>
    <t>The Power of Productivity: Wealth, Poverty, and the Threat to Global Stability</t>
  </si>
  <si>
    <t>Men, Machines, and Modern Times</t>
  </si>
  <si>
    <t>American Colossus: The Triumph of Capitalism, 1865-1900</t>
  </si>
  <si>
    <t>The Ascent of Man</t>
  </si>
  <si>
    <t>Popper Selections</t>
  </si>
  <si>
    <t>Pacific: Silicon Chips and Surfboards, Coral Reefs and Atom Bombs, Brutal Dictators, Fading Empires, and the Coming Collision of the World's Superpowers</t>
  </si>
  <si>
    <t>The Rise and Fall of American Growth: The U.S. Standard of Living Since the Civil War</t>
  </si>
  <si>
    <t>Aftermath</t>
  </si>
  <si>
    <t>The Outbreak of the Peloponnesian War</t>
  </si>
  <si>
    <t>How Judges Think</t>
  </si>
  <si>
    <t>Alex &amp; Me: How a Scientist and a Parrot Discovered a Hidden World of Animal Intelligence—and Formed a Deep Bond in the Process</t>
  </si>
  <si>
    <t>A Deepness in the Sky (Zones of Thought, #2)</t>
  </si>
  <si>
    <t>A Fire Upon the Deep (Zones of Thought, #1)</t>
  </si>
  <si>
    <t>Debt: The First 5,000 Years</t>
  </si>
  <si>
    <t>The Timeless Way of Building</t>
  </si>
  <si>
    <t>We Own This City: A True Story of Crime, Cops and Corruption in an American City</t>
  </si>
  <si>
    <t>And Quiet Flows the Don</t>
  </si>
  <si>
    <t>Far from the Tree: Parents, Children, and the Search for Identity</t>
  </si>
  <si>
    <t>The Marriage-Go-Round: The State of Marriage and the Family in America Today</t>
  </si>
  <si>
    <t>Huck's Raft: A History of American Childhood</t>
  </si>
  <si>
    <t>Stoner</t>
  </si>
  <si>
    <t>Butcher's Crossing</t>
  </si>
  <si>
    <t>Doublespeak: From Revenue Enhancement to Terminal Living : How Government, Business, Advertisers, and Others Use Language to Deceive You</t>
  </si>
  <si>
    <t>Doublespeak</t>
  </si>
  <si>
    <t>Cape Cod</t>
  </si>
  <si>
    <t>A Pattern Language: Towns, Buildings, Construction</t>
  </si>
  <si>
    <t>The Naked and the Dead</t>
  </si>
  <si>
    <t>Under Western Eyes</t>
  </si>
  <si>
    <t>Watership Down (Watership Down, #1)</t>
  </si>
  <si>
    <t>Legends of the Fall</t>
  </si>
  <si>
    <t>Incentives - The Engines of Cognition: Essays by the LessWrong Community</t>
  </si>
  <si>
    <t>A Ragged Schooling: Growing Up in the Classic Slum</t>
  </si>
  <si>
    <t>The Classic Slum: Salford Life in the First Quarter of the Century</t>
  </si>
  <si>
    <t>Building the Elite: The Complete Guide to Building Resilient Special Operators</t>
  </si>
  <si>
    <t>Mindfulness in Plain English</t>
  </si>
  <si>
    <t>Ready Player One (Ready Player One, #1)</t>
  </si>
  <si>
    <t>The Writing Life</t>
  </si>
  <si>
    <t>Modularity - The Engines of Cognition: Essays by the LessWrong Community</t>
  </si>
  <si>
    <t>Trust - The Engines of Cognition: Essays by the LessWrong Community</t>
  </si>
  <si>
    <t>Risk: A User's Guide</t>
  </si>
  <si>
    <t>We Are Bellingcat: Global Crime, Online Sleuths, and the Bold Future of News</t>
  </si>
  <si>
    <t>The Hungry Brain: Outsmarting the Instincts That Make Us Overeat</t>
  </si>
  <si>
    <t>The Psychology of Money</t>
  </si>
  <si>
    <t>Deep Survival: Who Lives, Who Dies, and Why</t>
  </si>
  <si>
    <t>How to Live on 24 Hours a Day</t>
  </si>
  <si>
    <t>Original Copies: Architectural Mimicry in Contemporary China</t>
  </si>
  <si>
    <t>Bartlett's Familiar Quotations</t>
  </si>
  <si>
    <t>So Good They Can't Ignore You: Why Skills Trump Passion in the Quest for Work You Love</t>
  </si>
  <si>
    <t>A World Undone: The Story of the Great War, 1914 to 1918</t>
  </si>
  <si>
    <t>Intellectuals and Society</t>
  </si>
  <si>
    <t>Knights of Spain, Warriors of the Sun: Hernando de Soto and the South’s Ancient Chiefdoms</t>
  </si>
  <si>
    <t>The Victorian Internet</t>
  </si>
  <si>
    <t>Time Enough for Love</t>
  </si>
  <si>
    <t>Everything is F*cked: A Book About Hope</t>
  </si>
  <si>
    <t>The Border Trilogy: All the Pretty Horses, The Crossing, Cities of the Plain</t>
  </si>
  <si>
    <t>The Goal: A Process of Ongoing Improvement</t>
  </si>
  <si>
    <t>South of the Border, West of the Sun</t>
  </si>
  <si>
    <t>Ways of Seeing</t>
  </si>
  <si>
    <t>The Ghost Map: The Story of London's Most Terrifying Epidemic—and How It Changed Science, Cities, and the Modern World</t>
  </si>
  <si>
    <t>The City &amp; the City</t>
  </si>
  <si>
    <t>What Video Games Have to Teach Us about Learning and Literacy</t>
  </si>
  <si>
    <t>What Went Wrong?: Case Histories of Process Plant Disasters and How They Could Have Been Avoided</t>
  </si>
  <si>
    <t>When Computers Were Human</t>
  </si>
  <si>
    <t>Where They are Hid</t>
  </si>
  <si>
    <t>The Time Traveller's Guide to Medieval England: A Handbook for Visitors to the Fourteenth Century</t>
  </si>
  <si>
    <t>Longitude: The True Story of a Lone Genius Who Solved the Greatest Scientific Problem of His Time</t>
  </si>
  <si>
    <t>Hiroshima</t>
  </si>
  <si>
    <t>The Guns of August</t>
  </si>
  <si>
    <t>Night  (The Night Trilogy, #1)</t>
  </si>
  <si>
    <t>The Rise and Fall of the Third Reich: A History of Nazi Germany</t>
  </si>
  <si>
    <t>Bad Pharma: How Drug Companies Mislead Doctors and Harm Patients</t>
  </si>
  <si>
    <t>Why He Didn't Call You Back: 1,000 Guys Reveal What They Really Thought About You After Your Date</t>
  </si>
  <si>
    <t>The Rise of Endymion (Hyperion Cantos, #4)</t>
  </si>
  <si>
    <t>Endymion (Hyperion Cantos, #3)</t>
  </si>
  <si>
    <t>The Fall of Hyperion (Hyperion Cantos, #2)</t>
  </si>
  <si>
    <t>Hyperion (Hyperion Cantos, #1)</t>
  </si>
  <si>
    <t>Death's End (Remembrance of Earth’s Past #3)</t>
  </si>
  <si>
    <t>The Paper Menagerie and Other Stories</t>
  </si>
  <si>
    <t>The Museum of Abandoned Secrets</t>
  </si>
  <si>
    <t>Manhattan Transfer</t>
  </si>
  <si>
    <t>The Big Money (U.S.A., #3)</t>
  </si>
  <si>
    <t>1919 (U.S.A., #2)</t>
  </si>
  <si>
    <t>The 42nd Parallel (U.S.A., #1)</t>
  </si>
  <si>
    <t>The Wild Trees: A Story of Passion and Daring</t>
  </si>
  <si>
    <t>Wine and War: The French, the Nazis, and the Battle for France's Greatest Treasure</t>
  </si>
  <si>
    <t>Winning Modern Wars: Iraq, Terrorism And The American Empire</t>
  </si>
  <si>
    <t>Wintry Forests, Old Trees: Some Landscape Themes in Chinese Painting</t>
  </si>
  <si>
    <t>Wisconsin Death Trip</t>
  </si>
  <si>
    <t>Without A Prayer: Ayn Rand and The Close of Her System</t>
  </si>
  <si>
    <t>Words And Women</t>
  </si>
  <si>
    <t>You Get So Alone at Times That it Just Makes Sense</t>
  </si>
  <si>
    <t>You're Stepping on My Cloak and Dagger</t>
  </si>
  <si>
    <t>Legacy of Ashes: The History of the CIA</t>
  </si>
  <si>
    <t>A Social History of Madness</t>
  </si>
  <si>
    <t>Beautiful Code: Leading Programmers Explain How They Think</t>
  </si>
  <si>
    <t>Sex at Dusk: Lifting the Shiny Wrapping from Sex at Dawn</t>
  </si>
  <si>
    <t>The Wisdom of Psychopaths: What Saints, Spies, and Serial Killers Can Teach Us About Success</t>
  </si>
  <si>
    <t>The Rational Male</t>
  </si>
  <si>
    <t>At Day's Close: Night in Times Past</t>
  </si>
  <si>
    <t>To Steal a Book Is an Elegant Offense: Intellectual Property Law in Chinese Civilization</t>
  </si>
  <si>
    <t>Grade Inflation: A Crisis in College Education</t>
  </si>
  <si>
    <t>Noble Savages: My Life Among Two Dangerous Tribes - the Yanomamo and the Anthropologists</t>
  </si>
  <si>
    <t>Chronicles of My Life: An American in the Heart of Japan</t>
  </si>
  <si>
    <t>People Of The Bomb: Portraits of America’s Nuclear Complex</t>
  </si>
  <si>
    <t>In Dreams Begin Responsibilities and Other Stories</t>
  </si>
  <si>
    <t>Poor Numbers: How We Are Misled by African Development Statistics</t>
  </si>
  <si>
    <t>The Box: How the Shipping Container Made the World Smaller and the World Economy Bigger</t>
  </si>
  <si>
    <t>Capital in the Twenty-First Century</t>
  </si>
  <si>
    <t>Dear Leader: North Korea's senior propagandist exposes shocking truths behind the regime</t>
  </si>
  <si>
    <t>The Demon in the Freezer</t>
  </si>
  <si>
    <t>Biohazard: The Chilling True Story of the Largest Covert Biological Weapons Program in the World--Told from the Inside by the Man Who Ran It</t>
  </si>
  <si>
    <t>Philosophy Between the Lines: The Lost History of Esoteric Writing</t>
  </si>
  <si>
    <t>And Then I Thought I Was a Fish</t>
  </si>
  <si>
    <t>The Politics of Cultural Capital: China's Quest for a Nobel Prize in Literature</t>
  </si>
  <si>
    <t>Classic Problems of Probability</t>
  </si>
  <si>
    <t>The Erasers</t>
  </si>
  <si>
    <t>Gold and Spices</t>
  </si>
  <si>
    <t>When the Air Hits Your Brain: Tales of Neurosurgery</t>
  </si>
  <si>
    <t>The Hardware Hacker: Adventures in Making and Breaking Hardware</t>
  </si>
  <si>
    <t>Capital Without Borders: Wealth Managers and the One Percent</t>
  </si>
  <si>
    <t>The Conspiracy Against the Human Race</t>
  </si>
  <si>
    <t>Finding Them Gone: Visiting China's Poets of the Past</t>
  </si>
  <si>
    <t>Full Moon</t>
  </si>
  <si>
    <t>City of Darkness: Life in Kowloon Walled City</t>
  </si>
  <si>
    <t>Anesthesia: The Gift of Oblivion and The Mystery of Consciousness</t>
  </si>
  <si>
    <t>Darwin Comes to Town: How the Urban Jungle Drives Evolution</t>
  </si>
  <si>
    <t>The Cure for Catastrophe: How We Can Stop Manufacturing Natural Disasters</t>
  </si>
  <si>
    <t>By the Numbers</t>
  </si>
  <si>
    <t>Surfing Uncertainty: Prediction, Action, and the Embodied Mind</t>
  </si>
  <si>
    <t>Hitler’s Monsters: A Supernatural History of the Third Reich</t>
  </si>
  <si>
    <t>Ghosts of the Tsunami: Death and Life in Japan’s Disaster Zone</t>
  </si>
  <si>
    <t>Sand, Wind, and War: Memoirs of a Desert Explorer</t>
  </si>
  <si>
    <t>The Perfect Scent: A Year Inside the Perfume Industry in Paris and New York</t>
  </si>
  <si>
    <t>The Man Without Qualities</t>
  </si>
  <si>
    <t>Band of Brothers: E Company, 506th Regiment, 101st Airborne from Normandy to Hitler's Eagle's Nest</t>
  </si>
  <si>
    <t>The Constant Fire: Beyond the Science vs. Religion Debate</t>
  </si>
  <si>
    <t>The Dark Forest (Remembrance of Earth’s Past, #2)</t>
  </si>
  <si>
    <t>Solitude</t>
  </si>
  <si>
    <t>The Three-Body Problem (Remembrance of Earth’s Past #1)</t>
  </si>
  <si>
    <t>The Romance of the Three Kingdoms</t>
  </si>
  <si>
    <t>Do Androids Dream of Electric Sheep?</t>
  </si>
  <si>
    <t>From the Shadows: The Ultimate Insider's Story of Five Presidents and How They Won the Cold War</t>
  </si>
  <si>
    <t>The Double-Cross System: The Incredible True Story of How Nazi Spies Were Turned into Double Agents</t>
  </si>
  <si>
    <t>Poliquin Principles: Successful Methods for Strength and Mass Development</t>
  </si>
  <si>
    <t>The Death Of Expertise: The Campaign Against Established Knowledge and Why it Matters</t>
  </si>
  <si>
    <t>The Memory Police</t>
  </si>
  <si>
    <t>The Windup Girl</t>
  </si>
  <si>
    <t>The Cats of Ulthar</t>
  </si>
  <si>
    <t>The Swimmer</t>
  </si>
  <si>
    <t>A Little Woman</t>
  </si>
  <si>
    <t>A Clean Well Lighted Place</t>
  </si>
  <si>
    <t>The Dead</t>
  </si>
  <si>
    <t>The Long Walk</t>
  </si>
  <si>
    <t>Personal Knowledge</t>
  </si>
  <si>
    <t>The Cask of Amontillado - an Edgar Allan Poe Short Story</t>
  </si>
  <si>
    <t>Energy: A Human History</t>
  </si>
  <si>
    <t>The Perfectionists: How Precision Engineers Created the Modern World</t>
  </si>
  <si>
    <t>Firefighting: The Financial Crisis and Its Lessons</t>
  </si>
  <si>
    <t>The Cigarette: A Political History</t>
  </si>
  <si>
    <t>The Courage to Act: A Memoir of a Crisis and Its Aftermath</t>
  </si>
  <si>
    <t>The Lost World (Professor Challenger #1)</t>
  </si>
  <si>
    <t>Wilderness Medicine: Beyond First Aid</t>
  </si>
  <si>
    <t>The Scout Mindset: Why Some People See Things Clearly and Others Don't</t>
  </si>
  <si>
    <t>The Machine That Changed the World: The Story of Lean Production-- Toyota's Secret Weapon in the Global Car Wars That Is Now Revolutionizing World Industry</t>
  </si>
  <si>
    <t>Mexico</t>
  </si>
  <si>
    <t>The Founding Myth: Why Christian Nationalism Is Un-American</t>
  </si>
  <si>
    <t>Models: Attract Women Through Honesty</t>
  </si>
  <si>
    <t>A Man Called Ove</t>
  </si>
  <si>
    <t>The Brothers Ashkenazi</t>
  </si>
  <si>
    <t>The Fruit Palace</t>
  </si>
  <si>
    <t>Captain Sir Richard Francis Burton: The Secret Agent Who Made the Pilgrimage to Mecca, Discovered the Kama Sutra and Brought the Arabian Nights to the West</t>
  </si>
  <si>
    <t>Darkness at Noon</t>
  </si>
  <si>
    <t>Johnny Got His Gun</t>
  </si>
  <si>
    <t>Endurance: Shackleton's Incredible Voyage</t>
  </si>
  <si>
    <t>The Politics of Mourning: Death and Honor in Arlington National Cemetery</t>
  </si>
  <si>
    <t>The Logic of Scientific Discovery</t>
  </si>
  <si>
    <t>Matterhorn</t>
  </si>
  <si>
    <t>The Glass Bead Game</t>
  </si>
  <si>
    <t>The Cancer Ward</t>
  </si>
  <si>
    <t>The Other Side of the Mountain: Mujahideen Tactics in the Soviet Afghan War</t>
  </si>
  <si>
    <t>The Bear Went Over the Mountain: Soviet Combat Tactics in Afghanistan</t>
  </si>
  <si>
    <t>Governing the Commons: The Evolution of Institutions for Collective Action</t>
  </si>
  <si>
    <t>Permaculture: A Designers' Manual</t>
  </si>
  <si>
    <t>Seven Days in May</t>
  </si>
  <si>
    <t>Rear Window</t>
  </si>
  <si>
    <t>The Thirty-Nine Steps</t>
  </si>
  <si>
    <t>Tarzan of the Apes (Tarzan, #1)</t>
  </si>
  <si>
    <t>The Pioneers (Leatherstocking Tales, #1)</t>
  </si>
  <si>
    <t>The Pathfinder (Leatherstocking Tales, #3)</t>
  </si>
  <si>
    <t>The Deerslayer (The Leatherstocking Tales, #1)</t>
  </si>
  <si>
    <t>The Last of the Mohicans (The Leatherstocking Tales #2)</t>
  </si>
  <si>
    <t>Feeling Good: The New Mood Therapy</t>
  </si>
  <si>
    <t>Selfish Reasons to Have More Kids: Why Being a Great Parent is Less Work and More Fun Than You Think</t>
  </si>
  <si>
    <t>Incidents Connected with the Life of Selim Aga, a Native of Central Africa</t>
  </si>
  <si>
    <t>Things Hidden Since the Foundation of the World</t>
  </si>
  <si>
    <t>Violence and the Sacred</t>
  </si>
  <si>
    <t>I See Satan Fall Like Lightning</t>
  </si>
  <si>
    <t>Deceit, Desire and the Novel: Self and Other in Literary Structure</t>
  </si>
  <si>
    <t>Code Warriors: NSA's Code Breakers and the Secret Intelligence War Against the Soviet Union</t>
  </si>
  <si>
    <t>Her Majesty's Spymaster: Elizabeth I, Sir Francis Walsingham, and the Birth of Modern Espionage</t>
  </si>
  <si>
    <t>Journey to the Edge of Reason: The Life of Kurt Gödel</t>
  </si>
  <si>
    <t>Broke in America: Seeing, Understanding, and Ending U.S. Poverty</t>
  </si>
  <si>
    <t>Energy and Civilization: A History</t>
  </si>
  <si>
    <t>Death in the Silent Places</t>
  </si>
  <si>
    <t>In Cold Blood</t>
  </si>
  <si>
    <t>Snow in the Kingdom: My Storm Years on Everest</t>
  </si>
  <si>
    <t>Meditations on Violence: A Comparison of Martial Arts Training &amp; Real World Violence</t>
  </si>
  <si>
    <t>Stranger in a Strange Land</t>
  </si>
  <si>
    <t>Designing Casinos To Dominate The Competition: The Friedman International Standards Of Casino Design</t>
  </si>
  <si>
    <t>Drink?: The New Science of Alcohol and Your Health</t>
  </si>
  <si>
    <t>Information Hunters: When Librarians, Soldiers, and Spies Banded Together in World War II Europe</t>
  </si>
  <si>
    <t>Forty Years a Gambler on the Mississippi</t>
  </si>
  <si>
    <t>The Boundless Sea: A Human History of the Oceans</t>
  </si>
  <si>
    <t>The Gambler</t>
  </si>
  <si>
    <t>Austerlitz</t>
  </si>
  <si>
    <t>Poor Charlie's Almanack: The Wit and Wisdom of Charles T. Munger</t>
  </si>
  <si>
    <t>No Two Alike: Human Nature and Human Individuality</t>
  </si>
  <si>
    <t>The Nurture Assumption: Why Children Turn Out the Way They Do</t>
  </si>
  <si>
    <t>The Prestige</t>
  </si>
  <si>
    <t>Middlemarch</t>
  </si>
  <si>
    <t>Spies in the Himalayas: Secret Missions and Perilous Climbs</t>
  </si>
  <si>
    <t>Isaac's Storm: A Man, a Time, and the Deadliest Hurricane in History</t>
  </si>
  <si>
    <t>Word on the Street: Debunking the Myth of "Pure" Standard English</t>
  </si>
  <si>
    <t>The Discovery of France: A Historical Geography from the Revolution to the First World War</t>
  </si>
  <si>
    <t>The Histories</t>
  </si>
  <si>
    <t>The Years of Rice and Salt</t>
  </si>
  <si>
    <t>See No Evil: The True Story of a Ground Soldier in the CIA's War on Terrorism</t>
  </si>
  <si>
    <t>If I Die Before I Wake</t>
  </si>
  <si>
    <t>Survivor, Volume 1</t>
  </si>
  <si>
    <t>Home Workshop Explosives</t>
  </si>
  <si>
    <t>The MAF Method: A Personalized Approach to Health and Fitness</t>
  </si>
  <si>
    <t>Shibumi</t>
  </si>
  <si>
    <t>Attempts: Essays on Fitness, Health, Longevity and Easy Strength</t>
  </si>
  <si>
    <t>Lost Africa: The Eyes Of Origin</t>
  </si>
  <si>
    <t>The War of the Worlds</t>
  </si>
  <si>
    <t>The Creature in the Map: A Journey to El Dorado</t>
  </si>
  <si>
    <t>Islands of Abandonment</t>
  </si>
  <si>
    <t>The Constant Gardener</t>
  </si>
  <si>
    <t>Speaker for the Dead (Ender's Saga, #2)</t>
  </si>
  <si>
    <t>11/22/63</t>
  </si>
  <si>
    <t>Beggars Ride (Sleepless, #3)</t>
  </si>
  <si>
    <t>Beggars and Choosers (Sleepless, #2)</t>
  </si>
  <si>
    <t>Beggars in Spain (Sleepless, #1)</t>
  </si>
  <si>
    <t>Collapse: Volume I</t>
  </si>
  <si>
    <t>Ender's Game</t>
  </si>
  <si>
    <t>The Beach</t>
  </si>
  <si>
    <t>Why We're Polarized</t>
  </si>
  <si>
    <t>Sapiens: A Brief History of Humankind</t>
  </si>
  <si>
    <t>Those Who Wish Me Dead</t>
  </si>
  <si>
    <t>Serendipity: Accidental Discoveries in Science</t>
  </si>
  <si>
    <t>Kettlebell Simple &amp; Sinister</t>
  </si>
  <si>
    <t>The Wim Hof Method: Own Your Mind, Master Your Biology, and Activate Your Full Human Potential</t>
  </si>
  <si>
    <t>Addiction by Design: Machine Gambling in Las Vegas</t>
  </si>
  <si>
    <t>The Greatest Knight: The Remarkable Life of William Marshal, The Power Behind Five English Thrones</t>
  </si>
  <si>
    <t>Black Flags, Blue Waters: The Epic History of America's Most Notorious Pirates</t>
  </si>
  <si>
    <t>The Great Leveler: Violence and the History of Inequality from the Stone Age to the Twenty-First Century</t>
  </si>
  <si>
    <t>Dancing in the Glory of Monsters: The Collapse of the Congo and the Great War of Africa</t>
  </si>
  <si>
    <t>Judgment in Moscow: Soviet Crimes and Western Complicity</t>
  </si>
  <si>
    <t>Two Arms and a Head: The Death of a Newly Paraplegic Philosopher</t>
  </si>
  <si>
    <t>Makers of Modern Strategy from Machiavelli to the Nuclear Age</t>
  </si>
  <si>
    <t>Just and Unjust Wars: A Moral Argument With Historical Illustrations</t>
  </si>
  <si>
    <t>Underwater Warfare in the Age of Sail</t>
  </si>
  <si>
    <t>The Way of the Ship: America's Maritime History Reenvisoned, 1600-2000</t>
  </si>
  <si>
    <t>Strategic Computing: DARPA and the Quest for Machine Intelligence, 1983-1993</t>
  </si>
  <si>
    <t>A Connecticut Yankee in King Arthur's Court</t>
  </si>
  <si>
    <t>Elegy for Kosovo: Stories</t>
  </si>
  <si>
    <t>Order Without Design: How Markets Shape Cities</t>
  </si>
  <si>
    <t>The Bell Curve: Intelligence and Class Structure in American Life</t>
  </si>
  <si>
    <t>Relentless Strike: The Secret History of Joint Special Operations Command</t>
  </si>
  <si>
    <t>Fluent Forever: How to Learn Any Language Fast and Never Forget It</t>
  </si>
  <si>
    <t>Saying Yes</t>
  </si>
  <si>
    <t>Drug Use for Grown-Ups: Chasing Liberty in the Land of Fear</t>
  </si>
  <si>
    <t>The Power of Sympathy</t>
  </si>
  <si>
    <t>The Tenth Man</t>
  </si>
  <si>
    <t>Ringworld (Ringworld, #1)</t>
  </si>
  <si>
    <t>No Place to Hide: Edward Snowden, the NSA, and the U.S. Surveillance State</t>
  </si>
  <si>
    <t>Bullshit Jobs: A Theory</t>
  </si>
  <si>
    <t>IQ and the Wealth of Nations</t>
  </si>
  <si>
    <t>You May Also Like: Taste in an Age of Endless Choice</t>
  </si>
  <si>
    <t>The Remains of the Day</t>
  </si>
  <si>
    <t>Waterlogged: The Serious Problem of Overhydration in Endurance Sports</t>
  </si>
  <si>
    <t>Sugar: The World Corrupted: From Slavery to Obesity</t>
  </si>
  <si>
    <t>Man on Fire (Creasy #1)</t>
  </si>
  <si>
    <t>Orient Express</t>
  </si>
  <si>
    <t>The Ministry of Fear</t>
  </si>
  <si>
    <t>The Heart of the Matter</t>
  </si>
  <si>
    <t>Brighton Rock</t>
  </si>
  <si>
    <t>The Destructors</t>
  </si>
  <si>
    <t>Stories of Your Life and Others</t>
  </si>
  <si>
    <t>An Inquiry into the Nature and Causes of the Wealth of Nations</t>
  </si>
  <si>
    <t>China: People, Place, Culture, History</t>
  </si>
  <si>
    <t>Becoming a Supple Leopard: The Ultimate Guide to Resolving Pain, Preventing Injury, and Optimizing Athletic Performance</t>
  </si>
  <si>
    <t>Back Mechanic</t>
  </si>
  <si>
    <t>Silent Death</t>
  </si>
  <si>
    <t>Practical LSD Manufacture</t>
  </si>
  <si>
    <t>Creating Future People: The Ethics of Genetic Enhancement</t>
  </si>
  <si>
    <t>The Mom Test: How to talk to customers &amp; learn if your business is a good idea when everyone is lying to you</t>
  </si>
  <si>
    <t>Deep Work: Rules for Focused Success in a Distracted World</t>
  </si>
  <si>
    <t>Thirteen Moons</t>
  </si>
  <si>
    <t>Dune</t>
  </si>
  <si>
    <t>How to Hide an Empire: A History of the Greater United States</t>
  </si>
  <si>
    <t>Shah of Shahs</t>
  </si>
  <si>
    <t>The Looting Machine: Warlords, Oligarchs, Corporations, Smugglers, and the Theft of Africa's Wealth</t>
  </si>
  <si>
    <t>Treasure Islands: Uncovering the Damage of Offshore Banking and Tax Havens</t>
  </si>
  <si>
    <t>Barefoot Strong: Unlock the Secrets to Movement Longevity</t>
  </si>
  <si>
    <t>High-Tech Cycling</t>
  </si>
  <si>
    <t>Hallucinations</t>
  </si>
  <si>
    <t>Thought as a System</t>
  </si>
  <si>
    <t>The Island of the Day Before</t>
  </si>
  <si>
    <t>The Lives of Dwarfs: Their Journey from Public Curiosity toward Social Liberation</t>
  </si>
  <si>
    <t>Island</t>
  </si>
  <si>
    <t>The Ministry for the Future</t>
  </si>
  <si>
    <t>We Keep the Dead Close: A Murder at Harvard and a Half Century of Silence</t>
  </si>
  <si>
    <t>Life in a 17th Century Coffee Shop (Sutton Life)</t>
  </si>
  <si>
    <t>Bankside: London's Original District of Sin</t>
  </si>
  <si>
    <t>Stiff: The Curious Lives of Human Cadavers</t>
  </si>
  <si>
    <t>The Immortal Life of Henrietta Lacks</t>
  </si>
  <si>
    <t>State Secrets: An Insider's Chronicle of the Russian Chemical Weapons Program</t>
  </si>
  <si>
    <t>Toxic Terror: Assessing Terrorist Use of Chemical and Biological Weapons</t>
  </si>
  <si>
    <t>War of Nerves: Chemical Warfare from World War I to Al-Qaeda</t>
  </si>
  <si>
    <t>Practical Shooting: Beyond Fundamentals</t>
  </si>
  <si>
    <t>Midnight in Peking: How the Murder of a Young Englishwoman Haunted the Last Days of Old China</t>
  </si>
  <si>
    <t>Nightwork: A History of Hacks and Pranks at MIT</t>
  </si>
  <si>
    <t>Compassion, by the Pound: The Economics of Farm Animal Welfare</t>
  </si>
  <si>
    <t>Dreadnought</t>
  </si>
  <si>
    <t>Them: Adventures with Extremists</t>
  </si>
  <si>
    <t>The 99% Invisible City: A Field Guide to the Hidden World of Everyday Design</t>
  </si>
  <si>
    <t>Thatcher’s Spy: My Life as an MI5 Agent Inside Sinn Féin</t>
  </si>
  <si>
    <t>The King in Yellow</t>
  </si>
  <si>
    <t>The New Bill James Historical Baseball Abstract</t>
  </si>
  <si>
    <t>The Spectral Arctic: A History of Ghosts and Dreams in Polar Exploration</t>
  </si>
  <si>
    <t>The Metropolitan Man</t>
  </si>
  <si>
    <t>The Merchant and the Alchemist's Gate</t>
  </si>
  <si>
    <t>The Queen's Gambit</t>
  </si>
  <si>
    <t>The Revenant</t>
  </si>
  <si>
    <t>Splinter Cell (Tom Clancy's Splinter Cell, #1)</t>
  </si>
  <si>
    <t>The Pattern Seekers: How Autism Drives Human Invention</t>
  </si>
  <si>
    <t>Animal Behavior: An Evolutionary Approach</t>
  </si>
  <si>
    <t>The Martyrdom of Man</t>
  </si>
  <si>
    <t>Around the World on a Bicycle</t>
  </si>
  <si>
    <t>Gravity's Rainbow</t>
  </si>
  <si>
    <t>Infinite Jest</t>
  </si>
  <si>
    <t>2666</t>
  </si>
  <si>
    <t>The Culture of Narcissism: American Life in An Age of Diminishing Expectations</t>
  </si>
  <si>
    <t>One Flew Over the Cuckoo's Nest</t>
  </si>
  <si>
    <t>Medical Monopoly: Intellectual Property Rights and the Origins of the Modern Pharmaceutical Industry</t>
  </si>
  <si>
    <t>When to Rob a Bank</t>
  </si>
  <si>
    <t>Secondhand Time: The Last of the Soviets</t>
  </si>
  <si>
    <t>Cain's Jawbone</t>
  </si>
  <si>
    <t>The Magic Mountain</t>
  </si>
  <si>
    <t>Atomic Habits: An Easy &amp; Proven Way to Build Good Habits &amp; Break Bad Ones</t>
  </si>
  <si>
    <t>Active Measures: The Secret History of Disinformation and Political Warfare</t>
  </si>
  <si>
    <t>A Void</t>
  </si>
  <si>
    <t>Training With Cerutty</t>
  </si>
  <si>
    <t>History Has Begun</t>
  </si>
  <si>
    <t>Regret: The Persistence of the Possible</t>
  </si>
  <si>
    <t>Don't Sleep, There Are Snakes: Life and Language in the Amazonian Jungle</t>
  </si>
  <si>
    <t>Hidden Valley Road: Inside the Mind of an American Family</t>
  </si>
  <si>
    <t>Seal Team Six: Memoirs of an Elite Navy Seal Sniper</t>
  </si>
  <si>
    <t>Brothers in Arms: The Kennedys, the Castros, and the Politics of Murder</t>
  </si>
  <si>
    <t>Cosmos</t>
  </si>
  <si>
    <t>A Brief History of Time</t>
  </si>
  <si>
    <t>The Information: A History, a Theory, a Flood</t>
  </si>
  <si>
    <t>Moonwalking with Einstein: The Art and Science of Remembering Everything</t>
  </si>
  <si>
    <t>A Short History of Nearly Everything</t>
  </si>
  <si>
    <t>The Contested Plains: Indians, Goldseekers, and the Rush to Colorado</t>
  </si>
  <si>
    <t>The Greatest Show on Earth: The Evidence for Evolution</t>
  </si>
  <si>
    <t>The Warrior Elite: The Forging of SEAL Class 228</t>
  </si>
  <si>
    <t>The 48 Laws of Power</t>
  </si>
  <si>
    <t>Lions of Kandahar: The Story of a Fight Against All Odds</t>
  </si>
  <si>
    <t>Inside Delta Force: The Story of America's Elite Counterterrorist Unit</t>
  </si>
  <si>
    <t>Relax &amp; Win: Championship Performance in Whatever You Do</t>
  </si>
  <si>
    <t>Outliers: The Story of Success</t>
  </si>
  <si>
    <t>Anger: Wisdom for Cooling the Flames</t>
  </si>
  <si>
    <t>Man's Search for Meaning</t>
  </si>
  <si>
    <t>The Search</t>
  </si>
  <si>
    <t>First In: An Insider's Account of How the CIA Spearheaded the War on Terror in Afghanistan</t>
  </si>
  <si>
    <t>America the Beautiful: Rediscovering What Made This Nation Great</t>
  </si>
  <si>
    <t>Isaac Newton</t>
  </si>
  <si>
    <t>The Scarlet Letter</t>
  </si>
  <si>
    <t>The Stranger</t>
  </si>
  <si>
    <t>Crime and Punishment</t>
  </si>
  <si>
    <t>Demons</t>
  </si>
  <si>
    <t>Fast Food Nation: The Dark Side of the All-American Meal</t>
  </si>
  <si>
    <t>Meditations</t>
  </si>
  <si>
    <t>The Power and the Glory</t>
  </si>
  <si>
    <t>To a God Unknown</t>
  </si>
  <si>
    <t>1984</t>
  </si>
  <si>
    <t>Lord of the Flies</t>
  </si>
  <si>
    <t>Wooden: A Lifetime of Observations and Reflections On and Off the Court</t>
  </si>
  <si>
    <t>The Tao of Pooh</t>
  </si>
  <si>
    <t>Dark Pools: The Rise of Artificially Intelligent Trading Machines and the Looming Threat to Wall Street</t>
  </si>
  <si>
    <t>The Hitchhiker's Guide to the Galaxy (Hitchhiker's Guide to the Galaxy, #1)</t>
  </si>
  <si>
    <t>The Black Swan: The Impact of the Highly Improbable</t>
  </si>
  <si>
    <t>Antifragile: Things That Gain from Disorder</t>
  </si>
  <si>
    <t>Fooled by Randomness: The Hidden Role of Chance in Life and in the Markets</t>
  </si>
  <si>
    <t>Gates of Fire</t>
  </si>
  <si>
    <t>The Chosen (Reuven Malther #1)</t>
  </si>
  <si>
    <t>Childhood's End</t>
  </si>
  <si>
    <t>The Alchemist</t>
  </si>
  <si>
    <t>Black Hawk Down: A Story of Modern War</t>
  </si>
  <si>
    <t>The Tracker</t>
  </si>
  <si>
    <t>The Operator: Firing the Shots that Killed Osama bin Laden and My Years as a SEAL Team Warrior</t>
  </si>
  <si>
    <t>Phineas Gage: A Gruesome but True Story About Brain Science</t>
  </si>
  <si>
    <t>Gödel, Escher, Bach: An Eternal Golden Braid</t>
  </si>
  <si>
    <t>The Pentagon's Brain: An Uncensored History of DARPA, America's Top-Secret Military Research Agency</t>
  </si>
  <si>
    <t>Cold Zero: Inside the FBI  Hostage Rescue Team</t>
  </si>
  <si>
    <t>Rainbow Six (John Clark, #2; Jack Ryan Universe, #10)</t>
  </si>
  <si>
    <t>Without Remorse (John Clark, #1; Jack Ryan Universe Publication Order #6)</t>
  </si>
  <si>
    <t>Mathematics and the Physical World</t>
  </si>
  <si>
    <t>Introduction to Artificial Intelligence</t>
  </si>
  <si>
    <t>The Art of Intelligence</t>
  </si>
  <si>
    <t>Tools of Titans: The Tactics, Routines, and Habits of Billionaires, Icons, and World-Class Performers</t>
  </si>
  <si>
    <t>The Book Thief</t>
  </si>
  <si>
    <t>Code: The Hidden Language of Computer Hardware and Software</t>
  </si>
  <si>
    <t>A Man for All Markets</t>
  </si>
  <si>
    <t>The Brothers: John Foster Dulles, Allen Dulles &amp; Their Secret World War</t>
  </si>
  <si>
    <t>The Smartest Guys in the Room: The Amazing Rise and Scandalous Fall of Enron</t>
  </si>
  <si>
    <t>Left of Boom: How a Young CIA Case Officer Penetrated the Taliban and Al-Qaeda</t>
  </si>
  <si>
    <t>Being Mortal: Medicine and What Matters in the End</t>
  </si>
  <si>
    <t>The Way of the Knife: The CIA, a Secret Army, and a War at the Ends of the Earth</t>
  </si>
  <si>
    <t>The Lost City of the Monkey God: A True Story</t>
  </si>
  <si>
    <t>A Separate Peace</t>
  </si>
  <si>
    <t>Mere Christianity</t>
  </si>
  <si>
    <t>Anna Karenina</t>
  </si>
  <si>
    <t>Heart of Darkness</t>
  </si>
  <si>
    <t>Black Flags: The Rise of ISIS</t>
  </si>
  <si>
    <t>The Road</t>
  </si>
  <si>
    <t>Things Fall Apart (The African Trilogy, #1)</t>
  </si>
  <si>
    <t>The Kite Runner</t>
  </si>
  <si>
    <t>American Kingpin: The Epic Hunt for the Criminal Mastermind Behind the Silk Road</t>
  </si>
  <si>
    <t>Fair Play: The Moral Dilemmas of Spying</t>
  </si>
  <si>
    <t>The Brothers Karamazov</t>
  </si>
  <si>
    <t>The Old Man and the Sea</t>
  </si>
  <si>
    <t>Midnight in Chernobyl: The Untold Story of the World's Greatest Nuclear Disaster</t>
  </si>
  <si>
    <t>A Small Corner of Hell: Dispatches from Chechnya</t>
  </si>
  <si>
    <t>The Diary of a Young Girl</t>
  </si>
  <si>
    <t>Surprise, Kill, Vanish: The Secret History Of CIA Paramilitary Armies, Operators, And Assassins</t>
  </si>
  <si>
    <t>The Adventures of Sherlock Holmes</t>
  </si>
  <si>
    <t>The Fountainhead</t>
  </si>
  <si>
    <t>Atlas Shrugged</t>
  </si>
  <si>
    <t>Anthem</t>
  </si>
  <si>
    <t>Dracula</t>
  </si>
  <si>
    <t>How to Become a Straight-A Student</t>
  </si>
  <si>
    <t>The Gatekeepers: How the White House Chiefs of Staff Define Every Presidency</t>
  </si>
  <si>
    <t>Blood Meridian, or the Evening Redness in the West</t>
  </si>
  <si>
    <t>City of Thieves</t>
  </si>
  <si>
    <t>An American Sickness: How Healthcare Became Big Business and How You Can Take It Back</t>
  </si>
  <si>
    <t>Fearless: The Undaunted Courage and Ultimate Sacrifice of Navy SEAL Team SIX Operator Adam Brown</t>
  </si>
  <si>
    <t>How Google Works</t>
  </si>
  <si>
    <t>The Trial</t>
  </si>
  <si>
    <t>The House of the Dead</t>
  </si>
  <si>
    <t>Notes from Underground</t>
  </si>
  <si>
    <t>The Richest Man in Babylon</t>
  </si>
  <si>
    <t>Animal Farm</t>
  </si>
  <si>
    <t>The Quiet American</t>
  </si>
  <si>
    <t>Factfulness: Ten Reasons We're Wrong About the World – and Why Things Are Better Than You Think</t>
  </si>
  <si>
    <t>To Kill a Mockingbird</t>
  </si>
  <si>
    <t>The Island of Dr. Moreau</t>
  </si>
  <si>
    <t>Casino Royale (James Bond, #1)</t>
  </si>
  <si>
    <t>A Long Way Gone: Memoirs of a Boy Soldier</t>
  </si>
  <si>
    <t>The Hobbit</t>
  </si>
  <si>
    <t>Lost Horizon</t>
  </si>
  <si>
    <t>The Pearl</t>
  </si>
  <si>
    <t>The Mysterious Island</t>
  </si>
  <si>
    <t>Twenty Thousand Leagues Under the Sea</t>
  </si>
  <si>
    <t>The Notebook of Leonardo Da Vinci</t>
  </si>
  <si>
    <t>On Killing: The Psychological Cost of Learning to Kill in War and Society</t>
  </si>
  <si>
    <t>Born to Run: A Hidden Tribe, Superathletes, and the Greatest Race the World Has Never Seen</t>
  </si>
  <si>
    <t>The Boy in the Striped Pajamas</t>
  </si>
  <si>
    <t>Fahrenheit 451</t>
  </si>
  <si>
    <t>Tactical Barbell II: Conditioning</t>
  </si>
  <si>
    <t>Tactical Barbell: Definitive Strength Training for the Operational Athlete</t>
  </si>
  <si>
    <t>A Tale of Two Cities</t>
  </si>
  <si>
    <t>Ficciones</t>
  </si>
  <si>
    <t>The Tartar Steppe</t>
  </si>
  <si>
    <t>A Study in Scarlet (Sherlock Holmes, #1)</t>
  </si>
  <si>
    <t>The Hound of the Baskervilles (Sherlock Holmes, #5)</t>
  </si>
  <si>
    <t>The Essential Calvin and Hobbes: A Calvin and Hobbes Treasury</t>
  </si>
  <si>
    <t>A Balcony in the Forest</t>
  </si>
  <si>
    <t>The Eye of the World (The Wheel of Time, #1)</t>
  </si>
  <si>
    <t>The Devil in a Forest</t>
  </si>
  <si>
    <t>Castleview</t>
  </si>
  <si>
    <t>The Last Samurai</t>
  </si>
  <si>
    <t>Where Is My Flying Car?: A Memoir of Future Past</t>
  </si>
  <si>
    <t>Wizard's First Rule (Sword of Truth, #1)</t>
  </si>
  <si>
    <t>The Book of Disquiet</t>
  </si>
  <si>
    <t>Casebook for the Foundation: A Great American Secret</t>
  </si>
  <si>
    <t>Averno</t>
  </si>
  <si>
    <t>The Wild Iris</t>
  </si>
  <si>
    <t>Coming Apart: The State of White America, 1960-2010</t>
  </si>
  <si>
    <t>Bowling Alone: The Collapse and Revival of American Community</t>
  </si>
  <si>
    <t>Beowulf</t>
  </si>
  <si>
    <t>The Time Traveler's Wife</t>
  </si>
  <si>
    <t>A Christmas Carol</t>
  </si>
  <si>
    <t>The Catcher in the Rye</t>
  </si>
  <si>
    <t>The Perks of Being a Wallflower</t>
  </si>
  <si>
    <t>Wuthering Heights</t>
  </si>
  <si>
    <t>The Picture of Dorian Gray</t>
  </si>
  <si>
    <t>Jane Eyre</t>
  </si>
  <si>
    <t>The Bell Jar</t>
  </si>
  <si>
    <t>The Great Gatsby</t>
  </si>
  <si>
    <t>Pride and Prejudice</t>
  </si>
  <si>
    <t>Why Evolution Is True</t>
  </si>
  <si>
    <t>The Death of Ivan Ilyich and Confession</t>
  </si>
  <si>
    <t>The Power Broker: Robert Moses and the Fall of New York</t>
  </si>
  <si>
    <t>Grit: The Power of Passion and Perseverance</t>
  </si>
  <si>
    <t>The Gift of Fear: Survival Signals That Protect Us from Violence</t>
  </si>
  <si>
    <t>The Other Side of History : Daily Life in the Ancient World</t>
  </si>
  <si>
    <t>The World Aflame: The Long War 1914 - 1945</t>
  </si>
  <si>
    <t>The Last of the Mountain Men: The True Story of an Idaho Solitary</t>
  </si>
  <si>
    <t>The Last of the Mountain Men</t>
  </si>
  <si>
    <t>Virtual Cities: An Atlas and Exploration of Video Game Cities</t>
  </si>
  <si>
    <t>Zen and the Art of Motorcycle Maintenance: An Inquiry Into Values (Phaedrus, #1)</t>
  </si>
  <si>
    <t>Red Sparrow (Red Sparrow Trilogy, #1)</t>
  </si>
  <si>
    <t>88 Days to Kandahar: A CIA Diary</t>
  </si>
  <si>
    <t>Beyond Good and Evil</t>
  </si>
  <si>
    <t>Wild Bill Donovan: The Spymaster Who Created the OSS and Modern American Espionage</t>
  </si>
  <si>
    <t>You Can't Be Neutral on a Moving Train: A Personal History of Our Times</t>
  </si>
  <si>
    <t>Kon-Tiki</t>
  </si>
  <si>
    <t>The Accidental Superpower: The Next Generation of American Preeminence and the Coming Global Disorder</t>
  </si>
  <si>
    <t>Science Fictions: The Epidemic of Fraud, Bias, Negligence and Hype in Science</t>
  </si>
  <si>
    <t>Death and the Dervish</t>
  </si>
  <si>
    <t>The Ape That Understood the Universe: How the Mind and Culture Evolve</t>
  </si>
  <si>
    <t>The Unicorn's Shadow: Combating the Dangerous Myths that Hold Back Startups, Founders, and Investors</t>
  </si>
  <si>
    <t>Cognitive Therapy of Depression</t>
  </si>
  <si>
    <t>Cognitive Therapy: Basics and Beyond</t>
  </si>
  <si>
    <t>Nanosystems: Molecular Machinery, Manufacturing, and Computation</t>
  </si>
  <si>
    <t>Moral Mazes: The World of Corporate Managers</t>
  </si>
  <si>
    <t>Vagabonding: An Uncommon Guide to the Art of Long-Term World Travel</t>
  </si>
  <si>
    <t>On The Shortness Of Life</t>
  </si>
  <si>
    <t>The Witness</t>
  </si>
  <si>
    <t>The Count of Monte Cristo</t>
  </si>
  <si>
    <t>Harry Potter and the Methods of Rationality</t>
  </si>
  <si>
    <t>Unsong</t>
  </si>
  <si>
    <t>Hunting the Jackal: A Special Forces and CIA Soldier's Fifty Years on the Frontlines of the War Against Terrorism</t>
  </si>
  <si>
    <t>Of Human Bondage</t>
  </si>
  <si>
    <t>The Idiot</t>
  </si>
  <si>
    <t>Robinson Crusoe (Robinson Crusoe, #1)</t>
  </si>
  <si>
    <t>The Arabian Nights</t>
  </si>
  <si>
    <t>Gone with the Wind</t>
  </si>
  <si>
    <t>An Introduction to Statistical Learning: With Applications in R</t>
  </si>
  <si>
    <t>Just 2 Seconds</t>
  </si>
  <si>
    <t>Notre-Dame de Paris | The Hunchback of Notre-Dame</t>
  </si>
  <si>
    <t>The Square and the Tower: Networks and Power, from the Freemasons to Facebook</t>
  </si>
  <si>
    <t>The Truth About Employee Engagement: A Fable About Addressing the Three Root Causes of Job Misery</t>
  </si>
  <si>
    <t>Trainspotting (Mark Renton #2)</t>
  </si>
  <si>
    <t>The Fellowship of the Ring (The Lord of the Rings, #1)</t>
  </si>
  <si>
    <t>The Sexual Cycle of Human Warfare</t>
  </si>
  <si>
    <t>Afghanistan: A Cultural and Political History</t>
  </si>
  <si>
    <t>Le Ton beau de Marot: In Praise of the Music of Language</t>
  </si>
  <si>
    <t>In Xanadu: A Quest</t>
  </si>
  <si>
    <t>Sleights of Mind: What the Neuroscience of Magic Reveals about Our Everyday Deceptions</t>
  </si>
  <si>
    <t>Whiz Mob: A Correlation of the Technical Argot of Pickpockets with Their Behavior Pattern</t>
  </si>
  <si>
    <t>Rats: Observations on the History &amp; Habitat of the City's Most Unwanted Inhabitants</t>
  </si>
  <si>
    <t>Special Forces Berlin: Clandestine Cold War Operations of the U.S. Army's Elite, 1956-1990</t>
  </si>
  <si>
    <t>The Road to Oxiana</t>
  </si>
  <si>
    <t>Gone Girl</t>
  </si>
  <si>
    <t>Letters from a Stoic</t>
  </si>
  <si>
    <t>The Park Chung Hee Era: The Transformation of South Korea</t>
  </si>
  <si>
    <t>Tactical Barbell: Mass Protocol</t>
  </si>
  <si>
    <t>The Story of 0: Prostitutes and Other Good-For-Nothings in the Renaissance</t>
  </si>
  <si>
    <t>The Charterhouse of Parma</t>
  </si>
  <si>
    <t>Misbehaving: The Making of Behavioral Economics</t>
  </si>
  <si>
    <t>Democracy in America</t>
  </si>
  <si>
    <t>Death of a Hero</t>
  </si>
  <si>
    <t>The Big Short: Inside the Doomsday Machine</t>
  </si>
  <si>
    <t>Flash Boys: A Wall Street Revolt</t>
  </si>
  <si>
    <t>Boys Adrift: The Five Factors Driving the Growing Epidemic of Unmotivated Boys and Underachieving Young Men</t>
  </si>
  <si>
    <t>Reflections in a Silver Spoon: A Memoir</t>
  </si>
  <si>
    <t>The Stuff of Thought: Language as a Window into Human Nature</t>
  </si>
  <si>
    <t>One Hundred Years of Solitude</t>
  </si>
  <si>
    <t>Valkyrie: The Story of the Plot to Kill Hitler, by Its Last Member</t>
  </si>
  <si>
    <t>Peak: Secrets from the New Science of Expertise</t>
  </si>
  <si>
    <t>Civilization and Capitalism 15th-18th Century, Vol. 3: The Perspective of the World</t>
  </si>
  <si>
    <t>Civilization and Capitalism 15th-18th Century, Vol 2: The Wheels of Commerce</t>
  </si>
  <si>
    <t>Civilization and Capitalism 15th-18th Century, Vol. 1: The Structures of Everyday Life</t>
  </si>
  <si>
    <t>Super Thinking: The Big Book of Mental Models</t>
  </si>
  <si>
    <t>The Lathe of Heaven</t>
  </si>
  <si>
    <t>"Surely You're Joking, Mr. Feynman!": Adventures of a Curious Character</t>
  </si>
  <si>
    <t>Mountaineering Essays</t>
  </si>
  <si>
    <t>A Primate's Memoir: A Neuroscientist's Unconventional Life Among the Baboons</t>
  </si>
  <si>
    <t>Life of Pi</t>
  </si>
  <si>
    <t>Doing the Best I Can: Fatherhood in the Inner City</t>
  </si>
  <si>
    <t>The Art of Doing Science and Engineering: Learning to Learn</t>
  </si>
  <si>
    <t>Open Borders: The Science and Ethics of Immigration</t>
  </si>
  <si>
    <t>A Conflict of Visions: Ideological Origins of Political Struggles</t>
  </si>
  <si>
    <t>Virtue Signaling: Essays on Darwinian Politics &amp; Free Speech</t>
  </si>
  <si>
    <t>My Journey to Lhasa: The Classic Story of the Only Western Woman Who Succeeded in Entering the Forbidden City</t>
  </si>
  <si>
    <t>Without You, There Is No Us: My Time with the Sons of North Korea's Elite</t>
  </si>
  <si>
    <t>The Easy Way to Stop Smoking: Join the Millions Who Have Become Nonsmokers Using the Easyway Method</t>
  </si>
  <si>
    <t>Killer Elite: The Inside Story of America's Most Secret Special Operations Team</t>
  </si>
  <si>
    <t>In the Beginning...Was the Command Line</t>
  </si>
  <si>
    <t>Jarhead : A Marine's Chronicle of the Gulf War and Other Battles</t>
  </si>
  <si>
    <t>100 Suns</t>
  </si>
  <si>
    <t>The Better Angels of Our Nature: Why Violence Has Declined</t>
  </si>
  <si>
    <t>Raise a Genius!</t>
  </si>
  <si>
    <t>Travels in Siberia</t>
  </si>
  <si>
    <t>Return of a King: The Battle for Afghanistan</t>
  </si>
  <si>
    <t>City of Djinns: A Year in Delhi</t>
  </si>
  <si>
    <t>Flowers for Algernon</t>
  </si>
  <si>
    <t>The Outsiders</t>
  </si>
  <si>
    <t>The Sound of Mountain Water</t>
  </si>
  <si>
    <t>A Farewell to Alms: A Brief Economic History of the World</t>
  </si>
  <si>
    <t>Class: A Guide Through the American Status System</t>
  </si>
  <si>
    <t>Rationality: From AI to Zombies</t>
  </si>
  <si>
    <t>The Devil in the White City: Murder, Magic, and Madness at the Fair That Changed America</t>
  </si>
  <si>
    <t>Enter the Zone</t>
  </si>
  <si>
    <t>The Power of Time Perception</t>
  </si>
  <si>
    <t>A User's Guide to Vacuum Technology</t>
  </si>
  <si>
    <t>Slim's Table: Race, Respectability, and Masculinity</t>
  </si>
  <si>
    <t>Ghetto: The Invention of a Place, the History of an Idea</t>
  </si>
  <si>
    <t>Sidewalk</t>
  </si>
  <si>
    <t>A General History of the Pyrates</t>
  </si>
  <si>
    <t>The Ph.D. Grind: A Ph.D. Student Memoir</t>
  </si>
  <si>
    <t>A Message to Garcia</t>
  </si>
  <si>
    <t>The Crimean War: A History</t>
  </si>
  <si>
    <t>The Western Canon: The Books and School of the Ages</t>
  </si>
  <si>
    <t>Because Internet: Understanding the New Rules of Language</t>
  </si>
  <si>
    <t>The Kill Chain: How Emerging Technologies Threaten America's Military Dominance</t>
  </si>
  <si>
    <t>Repair Revolution: How Fixers Are Transforming Our Throwaway Culture</t>
  </si>
  <si>
    <t>The Media Lab: Inventing the Future at M.I.T.</t>
  </si>
  <si>
    <t>Extreme Alpinism: Climbing Light, Fast, and High</t>
  </si>
  <si>
    <t>Violence of Action: The Untold Stories of the 75th Ranger Regiment in the War on Terror</t>
  </si>
  <si>
    <t>From Eros to Gaia (Science)</t>
  </si>
  <si>
    <t>The Last Chronicle of Barset (Chronicles of Barsetshire #6)</t>
  </si>
  <si>
    <t>The Small House at Allington (Chronicles of Barsetshire, #5)</t>
  </si>
  <si>
    <t>Framley Parsonage (Chronicles of Barsetshire #4)</t>
  </si>
  <si>
    <t>Dr. Thorne (Chronicles of Barsetshire #3)</t>
  </si>
  <si>
    <t>The Warden (Chronicles of Barsetshire, #1)</t>
  </si>
  <si>
    <t>Barchester Towers</t>
  </si>
  <si>
    <t>Death of a Salesman</t>
  </si>
  <si>
    <t>Much Ado About Nothing</t>
  </si>
  <si>
    <t>The Crucible</t>
  </si>
  <si>
    <t>The Metamorphosis</t>
  </si>
  <si>
    <t>Macbeth</t>
  </si>
  <si>
    <t>Romeo and Juliet</t>
  </si>
  <si>
    <t>Einstein: His Life and Universe</t>
  </si>
  <si>
    <t>Steve Jobs</t>
  </si>
  <si>
    <t>The Silent World</t>
  </si>
  <si>
    <t>The Snakehead: An Epic Tale of the Chinatown Underworld and the American Dream</t>
  </si>
  <si>
    <t>The Feynman Lectures on Physics</t>
  </si>
  <si>
    <t>Human Accomplishment: The Pursuit of Excellence in the Arts and Sciences, 800 B.C. to 1950</t>
  </si>
  <si>
    <t>Never Eat Alone: And Other Secrets to Success, One Relationship at a Time</t>
  </si>
  <si>
    <t>Bring Up Genius! (Nevelj zsenit!)</t>
  </si>
  <si>
    <t>A Thousand Plateaus: Capitalism and Schizophrenia</t>
  </si>
  <si>
    <t>Anti-Oedipus: Capitalism and Schizophrenia</t>
  </si>
  <si>
    <t>Why Men Rule: A Theory of Male Dominance</t>
  </si>
  <si>
    <t>The Inevitability of Patriarchy</t>
  </si>
  <si>
    <t>The Name of the Rose</t>
  </si>
  <si>
    <t>Foucault's Pendulum</t>
  </si>
  <si>
    <t>The Prospect of Immortality</t>
  </si>
  <si>
    <t>The Demon-Haunted World: Science as a Candle in the Dark</t>
  </si>
  <si>
    <t>The Elephant in the Brain: Hidden Motives in Everyday Life</t>
  </si>
  <si>
    <t>House of Leaves</t>
  </si>
  <si>
    <t>Manual Of Freediving: Underwater On A Single Breath</t>
  </si>
  <si>
    <t>Carnage and Culture: Landmark Battles in the Rise of Western Power</t>
  </si>
  <si>
    <t>Tribe: On Homecoming and Belonging</t>
  </si>
  <si>
    <t>Requiem for a Dream</t>
  </si>
  <si>
    <t>The General Theory of Employment, Interest, and Money</t>
  </si>
  <si>
    <t>The Arab of the Future: A Childhood in the Middle East, 1978-1984</t>
  </si>
  <si>
    <t>Edward Hopper</t>
  </si>
  <si>
    <t>Arabian Sands</t>
  </si>
  <si>
    <t>Murder on the Orient Express (Hercule Poirot, #9)</t>
  </si>
  <si>
    <t>Influence: The Psychology of Persuasion</t>
  </si>
  <si>
    <t>Soldier Five: The Real Truth About The Bravo Two Zero Mission</t>
  </si>
  <si>
    <t>Say Nothing: A True Story of Murder and Memory in Northern Ireland</t>
  </si>
  <si>
    <t>Rebel Code: Linux and the Open Source Revolution</t>
  </si>
  <si>
    <t>The Broken Road: From the Iron Gates to Mount Athos</t>
  </si>
  <si>
    <t>Between the Woods and the Water (Trilogy, #2)</t>
  </si>
  <si>
    <t>Les Trois Mousquetaires | The Three Musketeers (The D'Artagnan Romances, #1)</t>
  </si>
  <si>
    <t>The Odyssey</t>
  </si>
  <si>
    <t>Chatter: Dispatches from the Secret World of Global Eavesdropping</t>
  </si>
  <si>
    <t>RAZE Anthology: A Fistfight with Human Nature</t>
  </si>
  <si>
    <t>The Snow Leopard</t>
  </si>
  <si>
    <t>Travels with Charley: In Search of America</t>
  </si>
  <si>
    <t>Windows on Nature: The Great Habitat Dioramas of the American Museum of Natural History</t>
  </si>
  <si>
    <t>Fight Club</t>
  </si>
  <si>
    <t>Making the Soviet Intelligentsia: Universities and Intellectual Life under Stalin and Khrushchev (New Studies in European History)</t>
  </si>
  <si>
    <t>The One Device: The Secret History of the iPhone</t>
  </si>
  <si>
    <t>The Taking of K-129: How the CIA Used Howard Hughes to Steal a Russian Sub in the Most Daring Covert Operation in History</t>
  </si>
  <si>
    <t>The Sabres of Paradise: Conquest and Vengeance in the Caucasus</t>
  </si>
  <si>
    <t>Only a Little Planet</t>
  </si>
  <si>
    <t>King Solomon's Mines (Allan Quatermain, #1)</t>
  </si>
  <si>
    <t>Following the Equator</t>
  </si>
  <si>
    <t>The Tomb of Tutankhamen</t>
  </si>
  <si>
    <t>For the Love of Physics: From the End of the Rainbow to the Edge of Time - A Journey Through the Wonders of Physics</t>
  </si>
  <si>
    <t>A Distant Mirror:  The Calamitous 14th Century</t>
  </si>
  <si>
    <t>Guardian: Life in the Crosshairs of the CIA's War on Terror</t>
  </si>
  <si>
    <t>Gig: Americans Talk about Their Jobs</t>
  </si>
  <si>
    <t>The Man in the High Castle</t>
  </si>
  <si>
    <t>The Seven Wonders of the Ancient World</t>
  </si>
  <si>
    <t>Flawless: Inside the Largest Diamond Heist in History</t>
  </si>
  <si>
    <t>Their Eyes Were Watching God</t>
  </si>
  <si>
    <t>Into Thin Air: A Personal Account of the Mount Everest Disaster</t>
  </si>
  <si>
    <t>Goldman Sachs: The Culture Of Success</t>
  </si>
  <si>
    <t>Cartridges of the World: A Complete and Illustrated Reference for Over 1500 Cartridges</t>
  </si>
  <si>
    <t>Around the World in Eighty Days</t>
  </si>
  <si>
    <t>Resurrection Man</t>
  </si>
  <si>
    <t>Blind Man's Bluff: The Untold Story of American Submarine Espionage</t>
  </si>
  <si>
    <t>Four Ball, One Tracer: Commanding Executive Outcomes in Angola and Sierra Leone</t>
  </si>
  <si>
    <t>Midnight Express</t>
  </si>
  <si>
    <t>Fantastic Mr. Fox</t>
  </si>
  <si>
    <t>James and the Giant Peach</t>
  </si>
  <si>
    <t>The BFG</t>
  </si>
  <si>
    <t>Matilda</t>
  </si>
  <si>
    <t>Harrison Bergeron</t>
  </si>
  <si>
    <t>Tuck Everlasting</t>
  </si>
  <si>
    <t>In the Garden of Beasts: Love, Terror, and an American Family in Hitler's Berlin</t>
  </si>
  <si>
    <t>Our Man in Havana</t>
  </si>
  <si>
    <t>Marley and Me: Life and Love With the World's Worst Dog</t>
  </si>
  <si>
    <t>What If? Serious Scientific Answers to Absurd Hypothetical Questions (What If?, #1)</t>
  </si>
  <si>
    <t>Into the Wild</t>
  </si>
  <si>
    <t>Unbroken: A World War II Story of Survival, Resilience and Redemption</t>
  </si>
  <si>
    <t>Team of Rivals: The Political Genius of Abraham Lincoln</t>
  </si>
  <si>
    <t>The Great Silence: Science and Philosophy of Fermi's Paradox</t>
  </si>
  <si>
    <t>Moby-Dick or, the Whale</t>
  </si>
  <si>
    <t>Uncle Tom's Cabin</t>
  </si>
  <si>
    <t>2001: A Space Odyssey</t>
  </si>
  <si>
    <t>The Martian</t>
  </si>
  <si>
    <t>The Jungle Book</t>
  </si>
  <si>
    <t>Game Changer: AlphaZero's Groundbreaking Chess Strategies and the Promise of AI</t>
  </si>
  <si>
    <t>Thinking, Fast and Slow</t>
  </si>
  <si>
    <t>Kiss or Kill: Confessions of a Serial Climber</t>
  </si>
  <si>
    <t>Operators and Things: The Inner Life of a Schizophrenic</t>
  </si>
  <si>
    <t>Why I Am Not a Christian</t>
  </si>
  <si>
    <t>The Gay Science</t>
  </si>
  <si>
    <t>The Sun Also Rises</t>
  </si>
  <si>
    <t>A Farewell to Arms</t>
  </si>
  <si>
    <t>For Whom the Bell Tolls</t>
  </si>
  <si>
    <t>The First World War: A Complete History</t>
  </si>
  <si>
    <t>The A to Z of Sexspionage</t>
  </si>
  <si>
    <t>Years of Renewal (Henry Kissinger's Memoirs #3)</t>
  </si>
  <si>
    <t>Years of Upheaval</t>
  </si>
  <si>
    <t>The White House Years</t>
  </si>
  <si>
    <t>Frankenstein: The 1818 Text</t>
  </si>
  <si>
    <t>Censored: Distraction and Diversion Inside China's Great Firewall</t>
  </si>
  <si>
    <t>The Great Firewall of China: How to Build and Control an Alternative Version of the Internet</t>
  </si>
  <si>
    <t>The Prince</t>
  </si>
  <si>
    <t>I Am Legend</t>
  </si>
  <si>
    <t>Engines of Creation: The Coming Era of Nanotechnology</t>
  </si>
  <si>
    <t>The Mysterious Affair at Styles (Hercule Poirot, #1)</t>
  </si>
  <si>
    <t>On Combat: The Psychology and Physiology of Deadly Conflict in War and in Peace</t>
  </si>
  <si>
    <t>Nothing to Envy: Ordinary Lives in North Korea</t>
  </si>
  <si>
    <t>Tuesdays with Morrie</t>
  </si>
  <si>
    <t>The End of History and the Last Man</t>
  </si>
  <si>
    <t>Collapse: How Societies Choose to Fail or Succeed</t>
  </si>
  <si>
    <t>Educated</t>
  </si>
  <si>
    <t>Guns, Germs, and Steel: The Fates of Human Societies</t>
  </si>
  <si>
    <t>Freakonomics: A Rogue Economist Explores the Hidden Side of Everything</t>
  </si>
  <si>
    <t>Catch-22</t>
  </si>
  <si>
    <t>The Cleanest Race: How North Koreans See Themselves and Why It Matters</t>
  </si>
  <si>
    <t>The Amber Spyglass (His Dark Materials, #3)</t>
  </si>
  <si>
    <t>The Golden Compass (His Dark Materials, #1)</t>
  </si>
  <si>
    <t>Son (The Giver, #4)</t>
  </si>
  <si>
    <t>Gossamer</t>
  </si>
  <si>
    <t>Dopesick: Dealers, Doctors, and the Drug Company that Addicted America</t>
  </si>
  <si>
    <t>Soldiers Of Reason: The RAND Corporation And The Rise Of The American Empire</t>
  </si>
  <si>
    <t>Deng Xiaoping and the Transformation of China</t>
  </si>
  <si>
    <t>Countdown to Zero Day: Stuxnet and the Launch of the World's First Digital Weapon</t>
  </si>
  <si>
    <t>Narconomics: How to Run a Drug Cartel</t>
  </si>
  <si>
    <t>Inside U.S.A</t>
  </si>
  <si>
    <t>Inside South America</t>
  </si>
  <si>
    <t>Inside Africa</t>
  </si>
  <si>
    <t>Inside Europe (War Edition)</t>
  </si>
  <si>
    <t>Inside Asia</t>
  </si>
  <si>
    <t>To the Islands</t>
  </si>
  <si>
    <t>The City in History: Its Origins, Its Transformations, and Its Prospects</t>
  </si>
  <si>
    <t>Strong Towns: A Bottom-Up Revolution to Rebuild American Prosperity</t>
  </si>
  <si>
    <t>Number the Stars</t>
  </si>
  <si>
    <t>The Tale of Despereaux</t>
  </si>
  <si>
    <t>The City of Ember (Book of Ember, #1)</t>
  </si>
  <si>
    <t>Excuse Me Sir, Would You Like to Buy a Kilo of Isopropyl Bromide?</t>
  </si>
  <si>
    <t>Heaven and Hell</t>
  </si>
  <si>
    <t>Why Taiwan Matters: Small Island, Global Powerhouse</t>
  </si>
  <si>
    <t>Barbarian Days: A Surfing Life</t>
  </si>
  <si>
    <t>Devil Take the Hindmost: A History of Financial Speculation</t>
  </si>
  <si>
    <t>One Day in the Life of Ivan Denisovich</t>
  </si>
  <si>
    <t>Manhunt: The 12-Day Chase for Lincoln's Killer</t>
  </si>
  <si>
    <t>Being Peace (Being Peace, #1)</t>
  </si>
  <si>
    <t>The Sound and the Fury</t>
  </si>
  <si>
    <t>Brave New World</t>
  </si>
  <si>
    <t>Lone Survivor: The Eyewitness Account of Operation Redwing and the Lost Heroes of SEAL Team 10</t>
  </si>
  <si>
    <t>The Godfather (The Godfather, #1)</t>
  </si>
  <si>
    <t>Radioactivity: A History of a Mysterious Science</t>
  </si>
  <si>
    <t>8 weeks to SEALFIT</t>
  </si>
  <si>
    <t>The Adventures of Huckleberry Finn</t>
  </si>
  <si>
    <t>Jurassic Park (Jurassic Park, #1)</t>
  </si>
  <si>
    <t>The Lost World (Jurassic Park #2)</t>
  </si>
  <si>
    <t>Game Theory: A Nontechnical Introduction</t>
  </si>
  <si>
    <t>Skin in the Game: The Hidden Asymmetries in Daily Life</t>
  </si>
  <si>
    <t>Hunting Eichmann: How a Band of Survivors and a Young Spy Agency Chased Down the World's Most Notorious Nazi</t>
  </si>
  <si>
    <t>Dead Souls</t>
  </si>
  <si>
    <t>A Time of Gifts (Trilogy, #1)</t>
  </si>
  <si>
    <t>GPS</t>
  </si>
  <si>
    <t>A Time to Betray: The Astonishing Double Life of a CIA Agent Inside the Revolutionary Guards of Iran</t>
  </si>
  <si>
    <t>The Concise Mastery</t>
  </si>
  <si>
    <t>Treasure Island</t>
  </si>
  <si>
    <t>Nonzero: The Logic of Human Destiny</t>
  </si>
  <si>
    <t>Stretching Scientifically: A Guide to Flexibility Training</t>
  </si>
  <si>
    <t>Stanley: The Impossible Life of Africa's Greatest Explorer</t>
  </si>
  <si>
    <t>Clear and Present Danger (Jack Ryan, #5; Jack Ryan Universe, #6)</t>
  </si>
  <si>
    <t>Debt of Honor (Jack Ryan, #7)</t>
  </si>
  <si>
    <t>Les Misérables</t>
  </si>
  <si>
    <t>Leonardo da Vinci</t>
  </si>
  <si>
    <t>Among the Mountains: Travels Through Asia</t>
  </si>
  <si>
    <t>A Burglar's Guide to the City</t>
  </si>
  <si>
    <t>The Sand Pebbles</t>
  </si>
  <si>
    <t>Confessions of a Master Jewel Thief</t>
  </si>
  <si>
    <t>Magic and Mystery in Tibet</t>
  </si>
  <si>
    <t>The Secret Garden</t>
  </si>
  <si>
    <t>Little Soldiers: An American Boy, a Chinese School, and the Global Race to Achieve</t>
  </si>
  <si>
    <t>The Beginning of Infinity: Explanations That Transform the World</t>
  </si>
  <si>
    <t>Microsoft Secrets: How the World's Most Powerful Software Company Creates Technology, Shapes Markets, and Manages People</t>
  </si>
  <si>
    <t>Violence of Mind: Training and Preparation for Extreme Violence</t>
  </si>
  <si>
    <t>Dreamland: The True Tale of America's Opiate Epidemic</t>
  </si>
  <si>
    <t>Inside Terrorism</t>
  </si>
  <si>
    <t>The Idea Factory: Bell Labs and the Great Age of American Innovation</t>
  </si>
  <si>
    <t>Smoke and Mirrors: The War on Drugs and the Politics of Failure</t>
  </si>
  <si>
    <t>Japanese Agent in Tibet</t>
  </si>
  <si>
    <t>Tracks: A Woman's Solo Trek Across 1700 Miles of Australian Outback</t>
  </si>
  <si>
    <t>Eastern Approaches</t>
  </si>
  <si>
    <t>Love and War in the Apennines</t>
  </si>
  <si>
    <t>Two Against the Sahara: On Camelback from Nouakchott to the Nile</t>
  </si>
  <si>
    <t>Wall Street: A History</t>
  </si>
  <si>
    <t>The Unconventional Close Protection Training Manual: Learn how to defend yourself and protect others</t>
  </si>
  <si>
    <t>The Missing Peace: The Inside Story of the Fight for Middle East Peace</t>
  </si>
  <si>
    <t>The First 20 Hours: How to Learn Anything...Fast</t>
  </si>
  <si>
    <t>The Umbrella Conspiracy (Resident Evil, #1)</t>
  </si>
  <si>
    <t>City of the Dead (Resident Evil, #3)</t>
  </si>
  <si>
    <t>Nemesis (Resident Evil, #5)</t>
  </si>
  <si>
    <t>Caliban Cove (Resident Evil, #2)</t>
  </si>
  <si>
    <t>Underworld  (Resident Evil, #4)</t>
  </si>
  <si>
    <t>Code: Veronica  (Resident Evil, #6)</t>
  </si>
  <si>
    <t>Zero Hour (Resident Evil, #0)</t>
  </si>
  <si>
    <t>The Ascent of Money: A Financial History of the World</t>
  </si>
  <si>
    <t>Thing Explainer: Complicated Stuff in Simple Words</t>
  </si>
  <si>
    <t>On Bullshit</t>
  </si>
  <si>
    <t>How We Got Here: The 1970s: The Decade That Brought You Modern Life (for Better Or Worse)</t>
  </si>
  <si>
    <t>Impro: Improvisation and the Theatre</t>
  </si>
  <si>
    <t>Evicted: Poverty and Profit in the American City</t>
  </si>
  <si>
    <t>The Old Ways: A Journey on Foot</t>
  </si>
  <si>
    <t>On War</t>
  </si>
  <si>
    <t>Travels into the Interior of Africa</t>
  </si>
  <si>
    <t>Seven Pillars of Wisdom: A Triumph</t>
  </si>
  <si>
    <t>Worlds Hidden in Plain Sight: The Evolving Idea of Complexity at the Santa Fe Institute, 1984–2019</t>
  </si>
  <si>
    <t>The Travels of Marco Polo - Volume 2</t>
  </si>
  <si>
    <t>The Travels of Marco Polo - Volume 1</t>
  </si>
  <si>
    <t>Seven Years in Tibet</t>
  </si>
  <si>
    <t>Automate This: How Algorithms Came to Rule Our World</t>
  </si>
  <si>
    <t>Fentanyl, Inc.: How Rogue Chemists Are Creating the Deadliest Wave of the Opioid Epidemic</t>
  </si>
  <si>
    <t>Design and Analysis of Experiments</t>
  </si>
  <si>
    <t>False Impressions: The Hunt for Big-Time Art Fakes</t>
  </si>
  <si>
    <t>The Fractal Geometry of Nature</t>
  </si>
  <si>
    <t>The Misbehavior of Markets: A Fractal View of Financial Turbulence</t>
  </si>
  <si>
    <t>A Few Lessons from Sherlock Holmes</t>
  </si>
  <si>
    <t>Perilous Interventions: The Security Council and the Politics of Chaos</t>
  </si>
  <si>
    <t>Gödel's Proof</t>
  </si>
  <si>
    <t>I Am a Strange Loop</t>
  </si>
  <si>
    <t>My Life as an Explorer</t>
  </si>
  <si>
    <t>News From Tartary</t>
  </si>
  <si>
    <t>A Short Walk in the Hindu Kush</t>
  </si>
  <si>
    <t>Future Cities: Architecture and the Imagination</t>
  </si>
  <si>
    <t>Hormesis</t>
  </si>
  <si>
    <t>The Swiss Family Robinson</t>
  </si>
  <si>
    <t>The Spy and the Traitor: The Greatest Espionage Story of the Cold War</t>
  </si>
  <si>
    <t>An Introduction to Genetic Engineering</t>
  </si>
  <si>
    <t>Dead Mountain: The Untold True Story of the Dyatlov Pass Incident</t>
  </si>
  <si>
    <t>Underground: A Human History of the Worlds Beneath Our Feet</t>
  </si>
  <si>
    <t>CIA's Secret War in Tibet</t>
  </si>
  <si>
    <t>The Sign and the Seal: The Quest for the Lost Ark of the Covenant</t>
  </si>
  <si>
    <t>The Gulag Archipelago 1918–1956 (Abridged)</t>
  </si>
  <si>
    <t>Hell's Angels</t>
  </si>
  <si>
    <t>Fear and Loathing in Las Vegas</t>
  </si>
  <si>
    <t>The Stranger in the Woods: The Extraordinary Story of the Last True Hermit</t>
  </si>
  <si>
    <t>A Terrible Country</t>
  </si>
  <si>
    <t>Curveball: Spies, Lies, and the Man Behind Them: How America Went to War in Iraq</t>
  </si>
  <si>
    <t>The New Penguin History of The World</t>
  </si>
  <si>
    <t>The Republic of Pirates: Being the True and Surprising Story of the Caribbean Pirates and the Man Who Brought Them Down</t>
  </si>
  <si>
    <t>Lady Death: The Memoirs of Stalin's Sniper</t>
  </si>
  <si>
    <t>Soviet Women in Combat: A History of Violence on the Eastern Front</t>
  </si>
  <si>
    <t>She: A History of Adventure (She, #1)</t>
  </si>
  <si>
    <t>Narcolepsy: A Funny Disorder That's No Laughing Matter</t>
  </si>
  <si>
    <t>The Scout Mindset: The Perils of Defensive Thinking and How to Be Right More Often</t>
  </si>
  <si>
    <t>The Nazi War on Cancer</t>
  </si>
  <si>
    <t>The Assassins: A Radical Sect in Islam</t>
  </si>
  <si>
    <t>Rise and Kill First: The Secret History of Israel's Targeted Assassinations</t>
  </si>
  <si>
    <t>Genome: the Autobiography of a Species in 23 Chapters</t>
  </si>
  <si>
    <t>Why We Nap: Evolution, Chronobiology, And Functions Of Polyphasic And Ultrashort Sleep</t>
  </si>
  <si>
    <t>The Science of Addiction: From Neurobiology to Treatment</t>
  </si>
  <si>
    <t>Gulliver's Travels: Travels into Several Remote Nations of the World.</t>
  </si>
  <si>
    <t>The Travels of Dean Mahomet: An Eighteenth-Century Journey through India</t>
  </si>
  <si>
    <t>Framing the Social Security Debate: Values, Politics, and Economics</t>
  </si>
  <si>
    <t>The Inhuman Land</t>
  </si>
  <si>
    <t>True Grit</t>
  </si>
  <si>
    <t>The Age of Cryptocurrency: How Bitcoin and Digital Money Are Challenging the Global Economic Order</t>
  </si>
  <si>
    <t>Civilian Warriors: The Inside Story of Blackwater and the Unsung Heroes of the War on Terror</t>
  </si>
  <si>
    <t>Empires of Light: Edison, Tesla, Westinghouse, and the Race to Electrify the World</t>
  </si>
  <si>
    <t>Gulag: A History</t>
  </si>
  <si>
    <t>All Quiet on the Western Front</t>
  </si>
  <si>
    <t>Cod: A Biography of the Fish that Changed the World</t>
  </si>
  <si>
    <t>Salt: A World History</t>
  </si>
  <si>
    <t>The Politics of Heroin: CIA Complicity in the Global Drug Trade</t>
  </si>
  <si>
    <t>Brodeck</t>
  </si>
  <si>
    <t>Northland: A 4,000-Mile Journey Along America's Forgotten Border</t>
  </si>
  <si>
    <t>The Opposing Shore</t>
  </si>
  <si>
    <t>Army of None: Autonomous Weapons and the Future of War</t>
  </si>
  <si>
    <t>The Making of the Atomic Bomb</t>
  </si>
  <si>
    <t>The German Genius: Europe's Third Renaissance, the Second Scientific Revolution, and the Twentieth Century</t>
  </si>
  <si>
    <t>Caribbean</t>
  </si>
  <si>
    <t>The Myth of the Rational Voter: Why Democracies Choose Bad Policies</t>
  </si>
  <si>
    <t>The Case Against Education: Why the Education System Is a Waste of Time and Money</t>
  </si>
  <si>
    <t>Expert Political Judgment: How Good Is It? How Can We Know?</t>
  </si>
  <si>
    <t>Kafka on the Shore</t>
  </si>
  <si>
    <t>Siddartha</t>
  </si>
  <si>
    <t>The Filthy Thirteen: From the Dustbowl to Hitler's Eagle's Nest - The True Story of the 101st Airborne's Most Legendary Squad of Combat Paratroopers</t>
  </si>
  <si>
    <t>The Looming Tower: Al-Qaeda and the Road to 9/11</t>
  </si>
  <si>
    <t>Reconciliation: Islam, Democracy, and the West</t>
  </si>
  <si>
    <t>Journey to the Center of the Earth</t>
  </si>
  <si>
    <t>The 900 Days: The Siege of Leningrad</t>
  </si>
  <si>
    <t>Bringing Down the House: The Inside Story of Six M.I.T. Students Who Took Vegas for Millions</t>
  </si>
  <si>
    <t>A Gentleman in Moscow</t>
  </si>
  <si>
    <t>The Last Castle: The Epic Story of Love, Loss, and American Royalty in the Nation's Largest Home</t>
  </si>
  <si>
    <t>The Captive Mind</t>
  </si>
  <si>
    <t>The Reaper: Autobiography of One of the Deadliest Special Ops Snipers</t>
  </si>
  <si>
    <t>The Only Thing Worth Dying For: How Eleven Green Berets Forged a New Afghanistan</t>
  </si>
  <si>
    <t>Chaos: Making a New Science</t>
  </si>
  <si>
    <t>Atlas Obscura: An Explorer's Guide to the World's Hidden Wonders</t>
  </si>
  <si>
    <t>Quantum Computing Since Democritus</t>
  </si>
  <si>
    <t>The Mythical Man-Month: Essays on Software Engineering</t>
  </si>
  <si>
    <t>The Adventures of Tom Sawyer</t>
  </si>
  <si>
    <t>Blink: The Power of Thinking Without Thinking</t>
  </si>
  <si>
    <t>Gathering Blue (The Giver, #2)</t>
  </si>
  <si>
    <t>Messenger (The Giver, #3)</t>
  </si>
  <si>
    <t>I Am the Messenger</t>
  </si>
  <si>
    <t>The House of Twenty Thousand Books</t>
  </si>
  <si>
    <t>Harry Potter and the Deathly Hallows (Harry Potter, #7)</t>
  </si>
  <si>
    <t>Harry Potter and the Half-Blood Prince (Harry Potter, #6)</t>
  </si>
  <si>
    <t>Harry Potter and the Order of the Phoenix (Harry Potter, #5)</t>
  </si>
  <si>
    <t>Harry Potter and the Goblet of Fire (Harry Potter, #4)</t>
  </si>
  <si>
    <t>Harry Potter and the Chamber of Secrets (Harry Potter, #2)</t>
  </si>
  <si>
    <t>Harry Potter and the Prisoner of Azkaban (Harry Potter, #3)</t>
  </si>
  <si>
    <t>Harry Potter and the Sorcerer's Stone (Harry Potter, #1)</t>
  </si>
  <si>
    <t>The Giver (The Giver, #1)</t>
  </si>
  <si>
    <t>Patriot Games (Jack Ryan, #1)</t>
  </si>
  <si>
    <t>The Fourth Dimension: A Guided Tour of the Higher Universes</t>
  </si>
  <si>
    <t>A Midsummer Night's Dream</t>
  </si>
  <si>
    <t>The Grapes of Wrath</t>
  </si>
  <si>
    <t>East of Eden</t>
  </si>
  <si>
    <t>A Lesson Before Dying</t>
  </si>
  <si>
    <t>The Wisdom of Crowds</t>
  </si>
  <si>
    <t>The Art of Deception: Controlling the Human Element of Security</t>
  </si>
  <si>
    <t>Failing Forward: Turning Mistakes Into Stepping Stones for Success</t>
  </si>
  <si>
    <t>Mark Twight</t>
  </si>
  <si>
    <t>Douglas Murray</t>
  </si>
  <si>
    <t>Mihaly Csikszentmihalyi</t>
  </si>
  <si>
    <t>Tim O'Brien</t>
  </si>
  <si>
    <t>Jim Thompson</t>
  </si>
  <si>
    <t>Tim Kreider</t>
  </si>
  <si>
    <t>William Dorset Fellowes</t>
  </si>
  <si>
    <t>Andy Weir</t>
  </si>
  <si>
    <t>Vasily Grossman</t>
  </si>
  <si>
    <t>Baoshu</t>
  </si>
  <si>
    <t>Julia Ebner</t>
  </si>
  <si>
    <t>Kai Strittmatter</t>
  </si>
  <si>
    <t>Ray Bradbury</t>
  </si>
  <si>
    <t>Tyler Cowen</t>
  </si>
  <si>
    <t>Graham Greene</t>
  </si>
  <si>
    <t>Robert Kegan</t>
  </si>
  <si>
    <t>Chet Holmes</t>
  </si>
  <si>
    <t>Leo Tolstoy</t>
  </si>
  <si>
    <t>Hank Green</t>
  </si>
  <si>
    <t>David D. Friedman</t>
  </si>
  <si>
    <t>James P. Carse</t>
  </si>
  <si>
    <t>Chris Arnade</t>
  </si>
  <si>
    <t>Bernard Brodie</t>
  </si>
  <si>
    <t>Scott D. Sagan</t>
  </si>
  <si>
    <t>Carl E. Akely</t>
  </si>
  <si>
    <t>Bjørn Thomassen</t>
  </si>
  <si>
    <t>James C. Scott</t>
  </si>
  <si>
    <t>Nick Bostrom</t>
  </si>
  <si>
    <t>Hamilton Gregory</t>
  </si>
  <si>
    <t>Peter Singer</t>
  </si>
  <si>
    <t>John Steinbeck</t>
  </si>
  <si>
    <t>Ludwig von Mises</t>
  </si>
  <si>
    <t>David Talbot</t>
  </si>
  <si>
    <t>Kevin  Kelly</t>
  </si>
  <si>
    <t>Bruce Alberts</t>
  </si>
  <si>
    <t>Chris Voss</t>
  </si>
  <si>
    <t>John Cheever</t>
  </si>
  <si>
    <t>Philip Singerman</t>
  </si>
  <si>
    <t>David Abramson</t>
  </si>
  <si>
    <t>Joseph Campbell</t>
  </si>
  <si>
    <t>James Salter</t>
  </si>
  <si>
    <t>Janet Malcolm</t>
  </si>
  <si>
    <t>Benjamin Peters</t>
  </si>
  <si>
    <t>Ji Xianlin</t>
  </si>
  <si>
    <t>George Orwell</t>
  </si>
  <si>
    <t>Don DeLillo</t>
  </si>
  <si>
    <t>Joey Anuff</t>
  </si>
  <si>
    <t>Kevin Kelly</t>
  </si>
  <si>
    <t>Paul  Jarvis</t>
  </si>
  <si>
    <t>José Ortega y Gasset</t>
  </si>
  <si>
    <t>The New Yorker</t>
  </si>
  <si>
    <t>Rick Perlstein</t>
  </si>
  <si>
    <t>National Association of City Transportation Officials</t>
  </si>
  <si>
    <t>Institute of Transportation Engineers</t>
  </si>
  <si>
    <t>Nicholas Felton</t>
  </si>
  <si>
    <t>Janette Sadik-Khan</t>
  </si>
  <si>
    <t>Robin Hanson</t>
  </si>
  <si>
    <t>John L. Gustafson</t>
  </si>
  <si>
    <t>Danny Meyer</t>
  </si>
  <si>
    <t>Yvon Chouinard</t>
  </si>
  <si>
    <t>Elizabeth L. Eisenstein</t>
  </si>
  <si>
    <t>Otto L. Bettmann</t>
  </si>
  <si>
    <t>Italo Calvino</t>
  </si>
  <si>
    <t>Olaf Stapledon</t>
  </si>
  <si>
    <t>Shaun Tan</t>
  </si>
  <si>
    <t>Natan Sharansky</t>
  </si>
  <si>
    <t>Owen J. Flanagan</t>
  </si>
  <si>
    <t>Paul Seabright</t>
  </si>
  <si>
    <t>Rebecca Goldstein</t>
  </si>
  <si>
    <t>Isaac Bashevis Singer</t>
  </si>
  <si>
    <t>Mark Leibovich</t>
  </si>
  <si>
    <t>Edward A. Feigenbaum</t>
  </si>
  <si>
    <t>Angus Deaton</t>
  </si>
  <si>
    <t>William W. Lewis</t>
  </si>
  <si>
    <t>Elting E. Morison</t>
  </si>
  <si>
    <t>H.W. Brands</t>
  </si>
  <si>
    <t>Jacob Bronowski</t>
  </si>
  <si>
    <t>Karl Popper</t>
  </si>
  <si>
    <t>Simon Winchester</t>
  </si>
  <si>
    <t>Robert J. Gordon</t>
  </si>
  <si>
    <t>Flying Magazine</t>
  </si>
  <si>
    <t>Donald Kagan</t>
  </si>
  <si>
    <t>Richard A. Posner</t>
  </si>
  <si>
    <t>Irene M. Pepperberg</t>
  </si>
  <si>
    <t>Vernor Vinge</t>
  </si>
  <si>
    <t>David Graeber</t>
  </si>
  <si>
    <t>Christopher W. Alexander</t>
  </si>
  <si>
    <t>Justin Fenton</t>
  </si>
  <si>
    <t>Mikhail Sholokhov</t>
  </si>
  <si>
    <t>Andrew Solomon</t>
  </si>
  <si>
    <t>Andrew J. Cherlin</t>
  </si>
  <si>
    <t>Steven Mintz</t>
  </si>
  <si>
    <t>John  Williams</t>
  </si>
  <si>
    <t>William Lutz</t>
  </si>
  <si>
    <t>William D. Lutz</t>
  </si>
  <si>
    <t>Henry David Thoreau</t>
  </si>
  <si>
    <t>Norman Mailer</t>
  </si>
  <si>
    <t>Joseph Conrad</t>
  </si>
  <si>
    <t>Richard  Adams</t>
  </si>
  <si>
    <t>Jim Harrison</t>
  </si>
  <si>
    <t>LessWrong</t>
  </si>
  <si>
    <t>Robert Roberts</t>
  </si>
  <si>
    <t>Jonathan  Pope</t>
  </si>
  <si>
    <t>Henepola Gunaratana</t>
  </si>
  <si>
    <t>Ernest Cline</t>
  </si>
  <si>
    <t>Annie Dillard</t>
  </si>
  <si>
    <t>Stanley McChrystal</t>
  </si>
  <si>
    <t>Eliot Higgins</t>
  </si>
  <si>
    <t>Stephan Guyenet</t>
  </si>
  <si>
    <t>Morgan Housel</t>
  </si>
  <si>
    <t>Laurence Gonzales</t>
  </si>
  <si>
    <t>Arnold Bennett</t>
  </si>
  <si>
    <t>Bianca Bosker</t>
  </si>
  <si>
    <t>John  Bartlett</t>
  </si>
  <si>
    <t>Cal Newport</t>
  </si>
  <si>
    <t>G.J. Meyer</t>
  </si>
  <si>
    <t>Thomas Sowell</t>
  </si>
  <si>
    <t>Charles M. Hudson</t>
  </si>
  <si>
    <t>Tom Standage</t>
  </si>
  <si>
    <t>Robert A. Heinlein</t>
  </si>
  <si>
    <t>Mark Manson</t>
  </si>
  <si>
    <t>Cormac McCarthy</t>
  </si>
  <si>
    <t>Eliyahu M. Goldratt</t>
  </si>
  <si>
    <t>Haruki Murakami</t>
  </si>
  <si>
    <t>John Berger</t>
  </si>
  <si>
    <t>Steven Johnson</t>
  </si>
  <si>
    <t>China Miéville</t>
  </si>
  <si>
    <t>James Paul Gee</t>
  </si>
  <si>
    <t>Trevor A. Kletz</t>
  </si>
  <si>
    <t>David Alan  Grier</t>
  </si>
  <si>
    <t>Tim Powers</t>
  </si>
  <si>
    <t>Ian Mortimer</t>
  </si>
  <si>
    <t>Dava Sobel</t>
  </si>
  <si>
    <t>John Hersey</t>
  </si>
  <si>
    <t>Barbara W. Tuchman</t>
  </si>
  <si>
    <t>Elie Wiesel</t>
  </si>
  <si>
    <t>William L. Shirer</t>
  </si>
  <si>
    <t>Ben Goldacre</t>
  </si>
  <si>
    <t>Rachel Greenwald</t>
  </si>
  <si>
    <t>Dan Simmons</t>
  </si>
  <si>
    <t>Liu Cixin</t>
  </si>
  <si>
    <t>Ken Liu</t>
  </si>
  <si>
    <t>Oksana Zabuzhko</t>
  </si>
  <si>
    <t>John Dos Passos</t>
  </si>
  <si>
    <t>Richard   Preston</t>
  </si>
  <si>
    <t>Don Kladstrup</t>
  </si>
  <si>
    <t>Wesley K. Clark</t>
  </si>
  <si>
    <t>Richard M. Barnhart</t>
  </si>
  <si>
    <t>Michael Lesy</t>
  </si>
  <si>
    <t>John W. Robbins</t>
  </si>
  <si>
    <t>Casey Miller</t>
  </si>
  <si>
    <t>Charles Bukowski</t>
  </si>
  <si>
    <t>Roger Hall</t>
  </si>
  <si>
    <t>Tim Weiner</t>
  </si>
  <si>
    <t>Roy Porter</t>
  </si>
  <si>
    <t>Andy Oram</t>
  </si>
  <si>
    <t>Lynn Saxon</t>
  </si>
  <si>
    <t>Kevin Dutton</t>
  </si>
  <si>
    <t>Rollo Tomassi</t>
  </si>
  <si>
    <t>A. Roger Ekirch</t>
  </si>
  <si>
    <t>William P. Alford</t>
  </si>
  <si>
    <t>Valen E. Johnson</t>
  </si>
  <si>
    <t>Napoleon A. Chagnon</t>
  </si>
  <si>
    <t>Donald Keene</t>
  </si>
  <si>
    <t>Hugh Gusterson</t>
  </si>
  <si>
    <t>Delmore Schwartz</t>
  </si>
  <si>
    <t>Morten Jerven</t>
  </si>
  <si>
    <t>Marc Levinson</t>
  </si>
  <si>
    <t>Thomas Piketty</t>
  </si>
  <si>
    <t>Jang Jin-sung</t>
  </si>
  <si>
    <t>Ken Alibek</t>
  </si>
  <si>
    <t>Arthur M. Melzer</t>
  </si>
  <si>
    <t>Peter Hunt Welch</t>
  </si>
  <si>
    <t>Julia Lovell</t>
  </si>
  <si>
    <t>Prakash Gorroochurn</t>
  </si>
  <si>
    <t>Alain Robbe-Grillet</t>
  </si>
  <si>
    <t>Jean Favier</t>
  </si>
  <si>
    <t>Frank T. Vertosick Jr.</t>
  </si>
  <si>
    <t>Andrew Huang</t>
  </si>
  <si>
    <t>Brooke Harrington</t>
  </si>
  <si>
    <t>Thomas Ligotti</t>
  </si>
  <si>
    <t>Bill Porter</t>
  </si>
  <si>
    <t>Michael Light</t>
  </si>
  <si>
    <t>Ian Lambot</t>
  </si>
  <si>
    <t>Kate Cole-Adams</t>
  </si>
  <si>
    <t>Menno Schilthuizen</t>
  </si>
  <si>
    <t>Robert Muir-Wood</t>
  </si>
  <si>
    <t>James Richardson</t>
  </si>
  <si>
    <t>Andy  Clark</t>
  </si>
  <si>
    <t>Eric Kurlander</t>
  </si>
  <si>
    <t>Richard Lloyd Parry</t>
  </si>
  <si>
    <t>Ralph Alger Bagnold</t>
  </si>
  <si>
    <t>Chandler Burr</t>
  </si>
  <si>
    <t>Robert Musil</t>
  </si>
  <si>
    <t>Stephen E. Ambrose</t>
  </si>
  <si>
    <t>Adam Frank</t>
  </si>
  <si>
    <t>Ursula K. Le Guin</t>
  </si>
  <si>
    <t>Luo Guanzhong</t>
  </si>
  <si>
    <t>Philip K. Dick</t>
  </si>
  <si>
    <t>Robert M. Gates</t>
  </si>
  <si>
    <t>J.C. Masterman</t>
  </si>
  <si>
    <t>Charles Poliquin</t>
  </si>
  <si>
    <t>Thomas M. Nichols</t>
  </si>
  <si>
    <t>Yōko Ogawa</t>
  </si>
  <si>
    <t>Paolo Bacigalupi</t>
  </si>
  <si>
    <t>H.P. Lovecraft</t>
  </si>
  <si>
    <t>Franz Kafka</t>
  </si>
  <si>
    <t>Ernest Hemingway</t>
  </si>
  <si>
    <t>James Joyce</t>
  </si>
  <si>
    <t>Richard Bachman</t>
  </si>
  <si>
    <t>Michael Polanyi</t>
  </si>
  <si>
    <t>Edgar Allan Poe</t>
  </si>
  <si>
    <t>Richard Rhodes</t>
  </si>
  <si>
    <t>Ben S. Bernanke</t>
  </si>
  <si>
    <t>Sarah Milov</t>
  </si>
  <si>
    <t>Arthur Conan Doyle</t>
  </si>
  <si>
    <t>William W. Forgey</t>
  </si>
  <si>
    <t>Julia Galef</t>
  </si>
  <si>
    <t>James P. Womack</t>
  </si>
  <si>
    <t>James A. Michener</t>
  </si>
  <si>
    <t>Andrew L. Seidel</t>
  </si>
  <si>
    <t>Fredrik Backman</t>
  </si>
  <si>
    <t>Israel J. Singer</t>
  </si>
  <si>
    <t>Charles Nicholl</t>
  </si>
  <si>
    <t>Edward Rice</t>
  </si>
  <si>
    <t>Arthur Koestler</t>
  </si>
  <si>
    <t>Dalton Trumbo</t>
  </si>
  <si>
    <t>Alfred Lansing</t>
  </si>
  <si>
    <t>Micki McElya</t>
  </si>
  <si>
    <t>Karl Marlantes</t>
  </si>
  <si>
    <t>Hermann Hesse</t>
  </si>
  <si>
    <t>Aleksandr Solzhenitsyn</t>
  </si>
  <si>
    <t>Ali Ahmad Jalali</t>
  </si>
  <si>
    <t>Lester W. Grau</t>
  </si>
  <si>
    <t>Elinor Ostrom</t>
  </si>
  <si>
    <t>Bill Mollison</t>
  </si>
  <si>
    <t>Fletcher Knebel</t>
  </si>
  <si>
    <t>Cornell Woolrich</t>
  </si>
  <si>
    <t>John Buchan</t>
  </si>
  <si>
    <t>Edgar Rice Burroughs</t>
  </si>
  <si>
    <t>James Fenimore Cooper</t>
  </si>
  <si>
    <t>David D. Burns</t>
  </si>
  <si>
    <t>Bryan Caplan</t>
  </si>
  <si>
    <t>Selim Aga</t>
  </si>
  <si>
    <t>René Girard</t>
  </si>
  <si>
    <t>Stephen Budiansky</t>
  </si>
  <si>
    <t>Joanne Samuel Goldblum</t>
  </si>
  <si>
    <t>Vaclav Smil</t>
  </si>
  <si>
    <t>Peter Hathaway Capstick</t>
  </si>
  <si>
    <t>Truman Capote</t>
  </si>
  <si>
    <t>Ed Webster</t>
  </si>
  <si>
    <t>Rory Miller</t>
  </si>
  <si>
    <t>Bill Friedman</t>
  </si>
  <si>
    <t>David J. Nutt</t>
  </si>
  <si>
    <t>Kathy Peiss</t>
  </si>
  <si>
    <t>George H. Devol</t>
  </si>
  <si>
    <t>David Abulafia</t>
  </si>
  <si>
    <t>Fyodor Dostoevsky</t>
  </si>
  <si>
    <t>W.G. Sebald</t>
  </si>
  <si>
    <t>Charles T. Munger</t>
  </si>
  <si>
    <t>Judith Rich Harris</t>
  </si>
  <si>
    <t>Christopher Priest</t>
  </si>
  <si>
    <t>George Eliot</t>
  </si>
  <si>
    <t>M.S. Kohli</t>
  </si>
  <si>
    <t>Erik Larson</t>
  </si>
  <si>
    <t>John McWhorter</t>
  </si>
  <si>
    <t>Graham Robb</t>
  </si>
  <si>
    <t>Herodotus</t>
  </si>
  <si>
    <t>Kim Stanley Robinson</t>
  </si>
  <si>
    <t>Robert B. Baer</t>
  </si>
  <si>
    <t>Sherwood King</t>
  </si>
  <si>
    <t>Kurt Saxon</t>
  </si>
  <si>
    <t>Uncle Fester</t>
  </si>
  <si>
    <t>Philip Maffetone</t>
  </si>
  <si>
    <t>Trevanian</t>
  </si>
  <si>
    <t>Dan John</t>
  </si>
  <si>
    <t>Cyril Christo</t>
  </si>
  <si>
    <t>H.G. Wells</t>
  </si>
  <si>
    <t>Cal Flyn</t>
  </si>
  <si>
    <t>John le Carré</t>
  </si>
  <si>
    <t>Orson Scott Card</t>
  </si>
  <si>
    <t>Stephen King</t>
  </si>
  <si>
    <t>Nancy Kress</t>
  </si>
  <si>
    <t>Robin Mackay</t>
  </si>
  <si>
    <t>Alex Garland</t>
  </si>
  <si>
    <t>Ezra Klein</t>
  </si>
  <si>
    <t>Yuval Noah Harari</t>
  </si>
  <si>
    <t>Michael Koryta</t>
  </si>
  <si>
    <t>Royston M. Roberts</t>
  </si>
  <si>
    <t>Pavel Tsatsouline</t>
  </si>
  <si>
    <t>Wim Hof</t>
  </si>
  <si>
    <t>Natasha Dow Schüll</t>
  </si>
  <si>
    <t>Thomas Asbridge</t>
  </si>
  <si>
    <t>Eric Jay Dolin</t>
  </si>
  <si>
    <t>Walter Scheidel</t>
  </si>
  <si>
    <t>Jason K. Stearns</t>
  </si>
  <si>
    <t>Vladimir Bukovsky</t>
  </si>
  <si>
    <t>Clayton Atreus</t>
  </si>
  <si>
    <t>Peter Paret</t>
  </si>
  <si>
    <t>Michael Walzer</t>
  </si>
  <si>
    <t>Alex Roland</t>
  </si>
  <si>
    <t>Mark Twain</t>
  </si>
  <si>
    <t>Ismail Kadare</t>
  </si>
  <si>
    <t>Alain Bertaud</t>
  </si>
  <si>
    <t>Richard J. Herrnstein</t>
  </si>
  <si>
    <t>Sean Naylor</t>
  </si>
  <si>
    <t>Gabriel Wyner</t>
  </si>
  <si>
    <t>Jacob Sullum</t>
  </si>
  <si>
    <t>Carl L. Hart</t>
  </si>
  <si>
    <t>William Hill Brown</t>
  </si>
  <si>
    <t>Larry Niven</t>
  </si>
  <si>
    <t>Glenn Greenwald</t>
  </si>
  <si>
    <t>Richard Lynn</t>
  </si>
  <si>
    <t>Tom Vanderbilt</t>
  </si>
  <si>
    <t>Kazuo Ishiguro</t>
  </si>
  <si>
    <t>Tim Noakes</t>
  </si>
  <si>
    <t>James Walvin</t>
  </si>
  <si>
    <t>A.J. Quinnell</t>
  </si>
  <si>
    <t>Ted Chiang</t>
  </si>
  <si>
    <t>Adam Smith</t>
  </si>
  <si>
    <t>Alison Bailey</t>
  </si>
  <si>
    <t>Kelly Starrett</t>
  </si>
  <si>
    <t>Stuart McGill</t>
  </si>
  <si>
    <t>Jonathon Anomaly</t>
  </si>
  <si>
    <t>Rob  Fitzpatrick</t>
  </si>
  <si>
    <t>Charles Frazier</t>
  </si>
  <si>
    <t>Frank Herbert</t>
  </si>
  <si>
    <t>Daniel Immerwahr</t>
  </si>
  <si>
    <t>Ryszard Kapuściński</t>
  </si>
  <si>
    <t>Tom Burgis</t>
  </si>
  <si>
    <t>Nicholas Shaxson</t>
  </si>
  <si>
    <t>Emily Splichal</t>
  </si>
  <si>
    <t>Edmund R. Burke</t>
  </si>
  <si>
    <t>Oliver Sacks</t>
  </si>
  <si>
    <t>David Bohm</t>
  </si>
  <si>
    <t>Umberto Eco</t>
  </si>
  <si>
    <t>Betty M. Adelson</t>
  </si>
  <si>
    <t>Aldous Huxley</t>
  </si>
  <si>
    <t>Becky Cooper</t>
  </si>
  <si>
    <t>David Brandon</t>
  </si>
  <si>
    <t>Mary Roach</t>
  </si>
  <si>
    <t>Rebecca Skloot</t>
  </si>
  <si>
    <t>Vil S. Mirzayanov</t>
  </si>
  <si>
    <t>Jonathan B. Tucker</t>
  </si>
  <si>
    <t>Jonathan Tucker</t>
  </si>
  <si>
    <t>Brian Enos</t>
  </si>
  <si>
    <t>Paul   French</t>
  </si>
  <si>
    <t>T.F. Peterson</t>
  </si>
  <si>
    <t>F. Bailey Norwood</t>
  </si>
  <si>
    <t>Robert K. Massie</t>
  </si>
  <si>
    <t>Jon Ronson</t>
  </si>
  <si>
    <t>Roman Mars</t>
  </si>
  <si>
    <t>Willie Carlin</t>
  </si>
  <si>
    <t>Robert W. Chambers</t>
  </si>
  <si>
    <t>Bill James</t>
  </si>
  <si>
    <t>Shane McCorristine</t>
  </si>
  <si>
    <t>Alexander Wales</t>
  </si>
  <si>
    <t>Walter Tevis</t>
  </si>
  <si>
    <t>Michael Punke</t>
  </si>
  <si>
    <t>David  Michaels</t>
  </si>
  <si>
    <t>Simon Baron-Cohen</t>
  </si>
  <si>
    <t>John Alcock</t>
  </si>
  <si>
    <t>William Winwood Reade</t>
  </si>
  <si>
    <t>Fred A. Birchmore</t>
  </si>
  <si>
    <t>Thomas Pynchon</t>
  </si>
  <si>
    <t>David Foster Wallace</t>
  </si>
  <si>
    <t>Roberto Bolaño</t>
  </si>
  <si>
    <t>Christopher Lasch</t>
  </si>
  <si>
    <t>Ken Kesey</t>
  </si>
  <si>
    <t>Joseph M. Gabriel</t>
  </si>
  <si>
    <t>Steven D. Levitt</t>
  </si>
  <si>
    <t>Svetlana Alexievich</t>
  </si>
  <si>
    <t>E. Powys Mathers</t>
  </si>
  <si>
    <t>Thomas Mann</t>
  </si>
  <si>
    <t>James Clear</t>
  </si>
  <si>
    <t>Thomas Rid</t>
  </si>
  <si>
    <t>Georges Perec</t>
  </si>
  <si>
    <t>Larry Myers</t>
  </si>
  <si>
    <t>Bruno Maçães</t>
  </si>
  <si>
    <t>Janet Landman</t>
  </si>
  <si>
    <t>Daniel L. Everett</t>
  </si>
  <si>
    <t>Robert Kolker</t>
  </si>
  <si>
    <t>Howard E. Wasdin</t>
  </si>
  <si>
    <t>Gus Russo</t>
  </si>
  <si>
    <t>Carl Sagan</t>
  </si>
  <si>
    <t>Stephen Hawking</t>
  </si>
  <si>
    <t>James Gleick</t>
  </si>
  <si>
    <t>Joshua Foer</t>
  </si>
  <si>
    <t>Bill Bryson</t>
  </si>
  <si>
    <t>Elliott West</t>
  </si>
  <si>
    <t>Richard Dawkins</t>
  </si>
  <si>
    <t>Dick Couch</t>
  </si>
  <si>
    <t>Robert Greene</t>
  </si>
  <si>
    <t>Rusty Bradley</t>
  </si>
  <si>
    <t>Eric L. Haney</t>
  </si>
  <si>
    <t>Bud Winter</t>
  </si>
  <si>
    <t>Malcolm Gladwell</t>
  </si>
  <si>
    <t>Thich Nhat Hanh</t>
  </si>
  <si>
    <t>Viktor E. Frankl</t>
  </si>
  <si>
    <t>Tom Brown Jr.</t>
  </si>
  <si>
    <t>Gary Schroen</t>
  </si>
  <si>
    <t>Ben Carson</t>
  </si>
  <si>
    <t>Nathaniel Hawthorne</t>
  </si>
  <si>
    <t>Albert Camus</t>
  </si>
  <si>
    <t>Eric Schlosser</t>
  </si>
  <si>
    <t>Marcus Aurelius</t>
  </si>
  <si>
    <t>William Golding</t>
  </si>
  <si>
    <t>John Wooden</t>
  </si>
  <si>
    <t>Benjamin Hoff</t>
  </si>
  <si>
    <t>Scott Patterson</t>
  </si>
  <si>
    <t>Douglas Adams</t>
  </si>
  <si>
    <t>Nassim Nicholas Taleb</t>
  </si>
  <si>
    <t>Steven Pressfield</t>
  </si>
  <si>
    <t>Chaim Potok</t>
  </si>
  <si>
    <t>Arthur C. Clarke</t>
  </si>
  <si>
    <t>Paulo Coelho</t>
  </si>
  <si>
    <t>Mark Bowden</t>
  </si>
  <si>
    <t>Robert  O'Neill</t>
  </si>
  <si>
    <t>John Fleischman</t>
  </si>
  <si>
    <t>Douglas R. Hofstadter</t>
  </si>
  <si>
    <t>Annie Jacobsen</t>
  </si>
  <si>
    <t>Christopher Whitcomb</t>
  </si>
  <si>
    <t>Tom Clancy</t>
  </si>
  <si>
    <t>Morris Kline</t>
  </si>
  <si>
    <t>Philip C. Jackson Jr.</t>
  </si>
  <si>
    <t>Henry A. Crumpton</t>
  </si>
  <si>
    <t>Timothy Ferriss</t>
  </si>
  <si>
    <t>Markus Zusak</t>
  </si>
  <si>
    <t>Charles Petzold</t>
  </si>
  <si>
    <t>Edward O. Thorp</t>
  </si>
  <si>
    <t>Stephen Kinzer</t>
  </si>
  <si>
    <t>Bethany McLean</t>
  </si>
  <si>
    <t>Douglas Laux</t>
  </si>
  <si>
    <t>Atul Gawande</t>
  </si>
  <si>
    <t>Mark Mazzetti</t>
  </si>
  <si>
    <t>Douglas Preston</t>
  </si>
  <si>
    <t>John Knowles</t>
  </si>
  <si>
    <t>C.S. Lewis</t>
  </si>
  <si>
    <t>Joby Warrick</t>
  </si>
  <si>
    <t>Chinua Achebe</t>
  </si>
  <si>
    <t>Khaled Hosseini</t>
  </si>
  <si>
    <t>Nick Bilton</t>
  </si>
  <si>
    <t>James M. Olson</t>
  </si>
  <si>
    <t>Adam Higginbotham</t>
  </si>
  <si>
    <t>Anna Politkovskaya</t>
  </si>
  <si>
    <t>Anne Frank</t>
  </si>
  <si>
    <t>Ayn Rand</t>
  </si>
  <si>
    <t>Bram Stoker</t>
  </si>
  <si>
    <t>Chris Whipple</t>
  </si>
  <si>
    <t>David Benioff</t>
  </si>
  <si>
    <t>Elisabeth Rosenthal</t>
  </si>
  <si>
    <t>Eric Blehm</t>
  </si>
  <si>
    <t>Eric Schmidt</t>
  </si>
  <si>
    <t>George S. Clason</t>
  </si>
  <si>
    <t>Hans Rosling</t>
  </si>
  <si>
    <t>Harper Lee</t>
  </si>
  <si>
    <t>Ian Fleming</t>
  </si>
  <si>
    <t>Ishmael Beah</t>
  </si>
  <si>
    <t>J.R.R. Tolkien</t>
  </si>
  <si>
    <t>James Hilton</t>
  </si>
  <si>
    <t>Jules Verne</t>
  </si>
  <si>
    <t>Dave Grossman</t>
  </si>
  <si>
    <t>Christopher McDougall</t>
  </si>
  <si>
    <t>John Boyne</t>
  </si>
  <si>
    <t>K. Black</t>
  </si>
  <si>
    <t>K Black</t>
  </si>
  <si>
    <t>Charles Dickens</t>
  </si>
  <si>
    <t>Jorge Luis Borges</t>
  </si>
  <si>
    <t>Dino Buzzati</t>
  </si>
  <si>
    <t>Bill Watterson</t>
  </si>
  <si>
    <t>Julien Gracq</t>
  </si>
  <si>
    <t>Robert Jordan</t>
  </si>
  <si>
    <t>Gene Wolfe</t>
  </si>
  <si>
    <t>Helen DeWitt</t>
  </si>
  <si>
    <t>J. Storrs Hall</t>
  </si>
  <si>
    <t>Terry Goodkind</t>
  </si>
  <si>
    <t>Fernando Pessoa</t>
  </si>
  <si>
    <t>Joel L. Fleishman</t>
  </si>
  <si>
    <t>Louise Glück</t>
  </si>
  <si>
    <t>Charles Murray</t>
  </si>
  <si>
    <t>Robert D. Putnam</t>
  </si>
  <si>
    <t>Unknown</t>
  </si>
  <si>
    <t>Audrey Niffenegger</t>
  </si>
  <si>
    <t>J.D. Salinger</t>
  </si>
  <si>
    <t>Stephen Chbosky</t>
  </si>
  <si>
    <t>Emily Brontë</t>
  </si>
  <si>
    <t>Oscar Wilde</t>
  </si>
  <si>
    <t>Charlotte Brontë</t>
  </si>
  <si>
    <t>Sylvia Plath</t>
  </si>
  <si>
    <t>F. Scott Fitzgerald</t>
  </si>
  <si>
    <t>Jane Austen</t>
  </si>
  <si>
    <t>Jerry A. Coyne</t>
  </si>
  <si>
    <t>Robert A. Caro</t>
  </si>
  <si>
    <t>Angela Duckworth</t>
  </si>
  <si>
    <t>Gavin de Becker</t>
  </si>
  <si>
    <t>Robert Garland</t>
  </si>
  <si>
    <t>Dan Jones</t>
  </si>
  <si>
    <t>Sylvan Hart</t>
  </si>
  <si>
    <t>Harold Peterson</t>
  </si>
  <si>
    <t>Konstantinos Dimopoulos</t>
  </si>
  <si>
    <t>Robert M. Pirsig</t>
  </si>
  <si>
    <t>Jason  Matthews</t>
  </si>
  <si>
    <t>Robert L. Grenier</t>
  </si>
  <si>
    <t>Friedrich Nietzsche</t>
  </si>
  <si>
    <t>Douglas C. Waller</t>
  </si>
  <si>
    <t>Howard Zinn</t>
  </si>
  <si>
    <t>Thor Heyerdahl</t>
  </si>
  <si>
    <t>Peter Zeihan</t>
  </si>
  <si>
    <t>Stuart Ritchie</t>
  </si>
  <si>
    <t>Meša Selimović</t>
  </si>
  <si>
    <t>Steve Stewart-Williams</t>
  </si>
  <si>
    <t>Ethan Mollick</t>
  </si>
  <si>
    <t>Aaron T. Beck</t>
  </si>
  <si>
    <t>Judith S. Beck</t>
  </si>
  <si>
    <t>K. Eric Drexler</t>
  </si>
  <si>
    <t>Robert Jackall</t>
  </si>
  <si>
    <t>Rolf Potts</t>
  </si>
  <si>
    <t>Seneca</t>
  </si>
  <si>
    <t>Juan José Saer</t>
  </si>
  <si>
    <t>Alexandre Dumas</t>
  </si>
  <si>
    <t>Eliezer Yudkowsky</t>
  </si>
  <si>
    <t>Scott   Alexander</t>
  </si>
  <si>
    <t>Billy Waugh</t>
  </si>
  <si>
    <t>W. Somerset Maugham</t>
  </si>
  <si>
    <t>Daniel Defoe</t>
  </si>
  <si>
    <t>Anonymous</t>
  </si>
  <si>
    <t>Margaret Mitchell</t>
  </si>
  <si>
    <t>Gareth James</t>
  </si>
  <si>
    <t>Victor Hugo</t>
  </si>
  <si>
    <t>Niall Ferguson</t>
  </si>
  <si>
    <t>Patrick Lencioni</t>
  </si>
  <si>
    <t>Irvine Welsh</t>
  </si>
  <si>
    <t>Norman Walter</t>
  </si>
  <si>
    <t>Thomas Barfield</t>
  </si>
  <si>
    <t>William Dalrymple</t>
  </si>
  <si>
    <t>Stephen L. Macknik</t>
  </si>
  <si>
    <t>David W. Maurer</t>
  </si>
  <si>
    <t>Robert Sullivan</t>
  </si>
  <si>
    <t>James Stejskal</t>
  </si>
  <si>
    <t>Robert Byron</t>
  </si>
  <si>
    <t>Gillian Flynn</t>
  </si>
  <si>
    <t>Byung-Kook Kim</t>
  </si>
  <si>
    <t>Michele Sharon Jaffe</t>
  </si>
  <si>
    <t>Stendhal</t>
  </si>
  <si>
    <t>Richard H. Thaler</t>
  </si>
  <si>
    <t>Alexis de Tocqueville</t>
  </si>
  <si>
    <t>Richard Aldington</t>
  </si>
  <si>
    <t>Michael   Lewis</t>
  </si>
  <si>
    <t>Leonard Sax</t>
  </si>
  <si>
    <t>Paul Mellon</t>
  </si>
  <si>
    <t>Steven Pinker</t>
  </si>
  <si>
    <t>Gabriel García Márquez</t>
  </si>
  <si>
    <t>Philipp Freiherr von Boeselager</t>
  </si>
  <si>
    <t>K. Anders Ericsson</t>
  </si>
  <si>
    <t>Fernand Braudel</t>
  </si>
  <si>
    <t>Gabriel Weinberg</t>
  </si>
  <si>
    <t>Richard P. Feynman</t>
  </si>
  <si>
    <t>John Muir</t>
  </si>
  <si>
    <t>Robert M. Sapolsky</t>
  </si>
  <si>
    <t>Yann Martel</t>
  </si>
  <si>
    <t>Kathryn J. Edin</t>
  </si>
  <si>
    <t>Richard Hamming</t>
  </si>
  <si>
    <t>Geoffrey Miller</t>
  </si>
  <si>
    <t>Alexandra David-Néel</t>
  </si>
  <si>
    <t>Suki Kim</t>
  </si>
  <si>
    <t>Allen Carr</t>
  </si>
  <si>
    <t>Michael          Smith</t>
  </si>
  <si>
    <t>Neal Stephenson</t>
  </si>
  <si>
    <t>Anthony Swofford</t>
  </si>
  <si>
    <t>László Polgár</t>
  </si>
  <si>
    <t>Ian Frazier</t>
  </si>
  <si>
    <t>Daniel Keyes</t>
  </si>
  <si>
    <t>S.E. Hinton</t>
  </si>
  <si>
    <t>Wallace Stegner</t>
  </si>
  <si>
    <t>Gregory Clark</t>
  </si>
  <si>
    <t>Paul Fussell</t>
  </si>
  <si>
    <t>Barry Sears</t>
  </si>
  <si>
    <t>Jean Paul Zogby</t>
  </si>
  <si>
    <t>John F. O'Hanlon</t>
  </si>
  <si>
    <t>Mitchell Duneier</t>
  </si>
  <si>
    <t>Nathaniel Mist</t>
  </si>
  <si>
    <t>Philip J. Guo</t>
  </si>
  <si>
    <t>Elbert Hubbard</t>
  </si>
  <si>
    <t>Orlando Figes</t>
  </si>
  <si>
    <t>Harold Bloom</t>
  </si>
  <si>
    <t>Gretchen McCulloch</t>
  </si>
  <si>
    <t>Christian Brose</t>
  </si>
  <si>
    <t>John Wackman</t>
  </si>
  <si>
    <t>Stewart Brand</t>
  </si>
  <si>
    <t>Marty Skovlund Jr.</t>
  </si>
  <si>
    <t>Freeman Dyson</t>
  </si>
  <si>
    <t>Anthony Trollope</t>
  </si>
  <si>
    <t>Arthur  Miller</t>
  </si>
  <si>
    <t>William Shakespeare</t>
  </si>
  <si>
    <t>Walter Isaacson</t>
  </si>
  <si>
    <t>Jacques-Yves Cousteau</t>
  </si>
  <si>
    <t>Patrick Radden Keefe</t>
  </si>
  <si>
    <t>Keith Ferrazzi</t>
  </si>
  <si>
    <t>Gilles Deleuze</t>
  </si>
  <si>
    <t>Steven Goldberg</t>
  </si>
  <si>
    <t>Robert C.W. Ettinger</t>
  </si>
  <si>
    <t>Kevin Simler</t>
  </si>
  <si>
    <t>Mark Z. Danielewski</t>
  </si>
  <si>
    <t>Umberto Pelizzari</t>
  </si>
  <si>
    <t>Victor Davis Hanson</t>
  </si>
  <si>
    <t>Sebastian Junger</t>
  </si>
  <si>
    <t>Hubert Selby Jr.</t>
  </si>
  <si>
    <t>John Maynard Keynes</t>
  </si>
  <si>
    <t>Riad Sattouf</t>
  </si>
  <si>
    <t>Lloyd Goodrich</t>
  </si>
  <si>
    <t>Wilfred Thesiger</t>
  </si>
  <si>
    <t>Agatha Christie</t>
  </si>
  <si>
    <t>Robert B. Cialdini</t>
  </si>
  <si>
    <t>Mike Coburn</t>
  </si>
  <si>
    <t>Glyn Moody</t>
  </si>
  <si>
    <t>Patrick Leigh Fermor</t>
  </si>
  <si>
    <t>Homer</t>
  </si>
  <si>
    <t>Peter Matthiessen</t>
  </si>
  <si>
    <t>Stephen Christopher Quinn</t>
  </si>
  <si>
    <t>Chuck Palahniuk</t>
  </si>
  <si>
    <t>Benjamin Tromly</t>
  </si>
  <si>
    <t>Brian Merchant</t>
  </si>
  <si>
    <t>Josh Dean</t>
  </si>
  <si>
    <t>Lesley Blanch</t>
  </si>
  <si>
    <t>David Brower</t>
  </si>
  <si>
    <t>H. Rider Haggard</t>
  </si>
  <si>
    <t>Howard Carter</t>
  </si>
  <si>
    <t>Walter Lewin</t>
  </si>
  <si>
    <t>Thomas Pecora</t>
  </si>
  <si>
    <t>John Bowe</t>
  </si>
  <si>
    <t>Peter A. Clayton</t>
  </si>
  <si>
    <t>Scott Andrew Selby</t>
  </si>
  <si>
    <t>Zora Neale Hurston</t>
  </si>
  <si>
    <t>Jon Krakauer</t>
  </si>
  <si>
    <t>Lisa Endlich</t>
  </si>
  <si>
    <t>Frank C. Barnes</t>
  </si>
  <si>
    <t>Eoin McNamee</t>
  </si>
  <si>
    <t>Sherry Sontag</t>
  </si>
  <si>
    <t>Roelf Van Heerden</t>
  </si>
  <si>
    <t>Billy Hayes</t>
  </si>
  <si>
    <t>Roald Dahl</t>
  </si>
  <si>
    <t>Kurt Vonnegut Jr.</t>
  </si>
  <si>
    <t>Natalie Babbitt</t>
  </si>
  <si>
    <t>John Grogan</t>
  </si>
  <si>
    <t>Randall Munroe</t>
  </si>
  <si>
    <t>Laura Hillenbrand</t>
  </si>
  <si>
    <t>Doris Kearns Goodwin</t>
  </si>
  <si>
    <t>Milan M. Ćirković</t>
  </si>
  <si>
    <t>Herman Melville</t>
  </si>
  <si>
    <t>Harriet Beecher Stowe</t>
  </si>
  <si>
    <t>Rudyard Kipling</t>
  </si>
  <si>
    <t>Matthew Sadler</t>
  </si>
  <si>
    <t>Daniel Kahneman</t>
  </si>
  <si>
    <t>Barbara  O'Brien</t>
  </si>
  <si>
    <t>Bertrand Russell</t>
  </si>
  <si>
    <t>Martin  Gilbert</t>
  </si>
  <si>
    <t>Nigel West</t>
  </si>
  <si>
    <t>Henry Kissinger</t>
  </si>
  <si>
    <t>Mary Wollstonecraft Shelley</t>
  </si>
  <si>
    <t>Margaret E. Roberts</t>
  </si>
  <si>
    <t>James  Griffiths</t>
  </si>
  <si>
    <t>Niccolò Machiavelli</t>
  </si>
  <si>
    <t>Richard Matheson</t>
  </si>
  <si>
    <t>Barbara Demick</t>
  </si>
  <si>
    <t>Mitch Albom</t>
  </si>
  <si>
    <t>Francis Fukuyama</t>
  </si>
  <si>
    <t>Jared Diamond</t>
  </si>
  <si>
    <t>Tara Westover</t>
  </si>
  <si>
    <t>Joseph Heller</t>
  </si>
  <si>
    <t>B.R. Myers</t>
  </si>
  <si>
    <t>Philip Pullman</t>
  </si>
  <si>
    <t>Lois Lowry</t>
  </si>
  <si>
    <t>Beth Macy</t>
  </si>
  <si>
    <t>Alex Abella</t>
  </si>
  <si>
    <t>Ezra F. Vogel</t>
  </si>
  <si>
    <t>Kim Zetter</t>
  </si>
  <si>
    <t>Tom Wainwright</t>
  </si>
  <si>
    <t>John Gunther</t>
  </si>
  <si>
    <t>Randolph Stow</t>
  </si>
  <si>
    <t>Lewis Mumford</t>
  </si>
  <si>
    <t>Charles L. Marohn Jr.</t>
  </si>
  <si>
    <t>Kate DiCamillo</t>
  </si>
  <si>
    <t>Jeanne DuPrau</t>
  </si>
  <si>
    <t>Max G. Gergel</t>
  </si>
  <si>
    <t>Emanuel Swedenborg</t>
  </si>
  <si>
    <t>Shelley Rigger</t>
  </si>
  <si>
    <t>William Finnegan</t>
  </si>
  <si>
    <t>Edward Chancellor</t>
  </si>
  <si>
    <t>James L. Swanson</t>
  </si>
  <si>
    <t>William Faulkner</t>
  </si>
  <si>
    <t>Marcus Luttrell</t>
  </si>
  <si>
    <t>Mario Puzo</t>
  </si>
  <si>
    <t>Marjorie C. Malley</t>
  </si>
  <si>
    <t>Mark Divine</t>
  </si>
  <si>
    <t>Michael Crichton</t>
  </si>
  <si>
    <t>Morton D. Davis</t>
  </si>
  <si>
    <t>Neal Bascomb</t>
  </si>
  <si>
    <t>Nikolai Gogol</t>
  </si>
  <si>
    <t>Paul E. Ceruzzi</t>
  </si>
  <si>
    <t>Reza Kahlili</t>
  </si>
  <si>
    <t>Robert Louis Stevenson</t>
  </si>
  <si>
    <t>Robert Wright</t>
  </si>
  <si>
    <t>Thomas Kurz</t>
  </si>
  <si>
    <t>Tim Jeal</t>
  </si>
  <si>
    <t>Geoff Manaugh</t>
  </si>
  <si>
    <t>Richard McKenna</t>
  </si>
  <si>
    <t>Bill Mason</t>
  </si>
  <si>
    <t>Frances Hodgson Burnett</t>
  </si>
  <si>
    <t>Lenora Chu</t>
  </si>
  <si>
    <t>David Deutsch</t>
  </si>
  <si>
    <t>Michael A. Cusumano</t>
  </si>
  <si>
    <t>Varg Freeborn</t>
  </si>
  <si>
    <t>Sam Quinones</t>
  </si>
  <si>
    <t>Bruce Hoffman</t>
  </si>
  <si>
    <t>Jon Gertner</t>
  </si>
  <si>
    <t>Dan Baum</t>
  </si>
  <si>
    <t>Hisao Kimura</t>
  </si>
  <si>
    <t>Robyn Davidson</t>
  </si>
  <si>
    <t>Fitzroy Maclean</t>
  </si>
  <si>
    <t>Eric Newby</t>
  </si>
  <si>
    <t>Michael Asher</t>
  </si>
  <si>
    <t>Charles R. Geisst</t>
  </si>
  <si>
    <t>Robert Scali</t>
  </si>
  <si>
    <t>Dennis Ross</t>
  </si>
  <si>
    <t>Josh Kaufman</t>
  </si>
  <si>
    <t>S.D. Perry</t>
  </si>
  <si>
    <t>Harry G. Frankfurt</t>
  </si>
  <si>
    <t>David Frum</t>
  </si>
  <si>
    <t>Keith Johnstone</t>
  </si>
  <si>
    <t>Matthew Desmond</t>
  </si>
  <si>
    <t>Robert Macfarlane</t>
  </si>
  <si>
    <t>Carl von Clausewitz</t>
  </si>
  <si>
    <t>Mungo Park</t>
  </si>
  <si>
    <t>T.E. Lawrence</t>
  </si>
  <si>
    <t>David C. Krakauer</t>
  </si>
  <si>
    <t>Marco Polo</t>
  </si>
  <si>
    <t>Heinrich Harrer</t>
  </si>
  <si>
    <t>Christopher Steiner</t>
  </si>
  <si>
    <t>Ben Westhoff</t>
  </si>
  <si>
    <t>Douglas C. Montgomery</t>
  </si>
  <si>
    <t>Thomas Hoving</t>
  </si>
  <si>
    <t>Benoît B. Mandelbrot</t>
  </si>
  <si>
    <t>Peter Bevelin</t>
  </si>
  <si>
    <t>Hardeep Singh Puri</t>
  </si>
  <si>
    <t>Ernest Nagel</t>
  </si>
  <si>
    <t>Sven Hedin</t>
  </si>
  <si>
    <t>Peter  Fleming</t>
  </si>
  <si>
    <t>Paul Dobraszczyk</t>
  </si>
  <si>
    <t>Mark P. Mattson</t>
  </si>
  <si>
    <t>Johann David Wyss</t>
  </si>
  <si>
    <t>Ben Macintyre</t>
  </si>
  <si>
    <t>Desmond S.T. Nicholl</t>
  </si>
  <si>
    <t>Donnie Eichar</t>
  </si>
  <si>
    <t>Will Hunt</t>
  </si>
  <si>
    <t>Kenneth J. Conboy</t>
  </si>
  <si>
    <t>Graham Hancock</t>
  </si>
  <si>
    <t>Hunter S. Thompson</t>
  </si>
  <si>
    <t>Michael Finkel</t>
  </si>
  <si>
    <t>Keith Gessen</t>
  </si>
  <si>
    <t>Bob Drogin</t>
  </si>
  <si>
    <t>J.M. Roberts</t>
  </si>
  <si>
    <t>Colin Woodard</t>
  </si>
  <si>
    <t>Lyudmila Pavlichenko</t>
  </si>
  <si>
    <t>Anna Krylova</t>
  </si>
  <si>
    <t>Marguerite J. Utley</t>
  </si>
  <si>
    <t>Robert N. Proctor</t>
  </si>
  <si>
    <t>Bernard Lewis</t>
  </si>
  <si>
    <t>Ronen Bergman</t>
  </si>
  <si>
    <t>Matt Ridley</t>
  </si>
  <si>
    <t>Claudio Stampi</t>
  </si>
  <si>
    <t>Carlton K. Erickson</t>
  </si>
  <si>
    <t>Jonathan Swift</t>
  </si>
  <si>
    <t>Dean Mahomet</t>
  </si>
  <si>
    <t>R. Douglas Arnold</t>
  </si>
  <si>
    <t>Józef Czapski</t>
  </si>
  <si>
    <t>Charles Portis</t>
  </si>
  <si>
    <t>Paul Vigna</t>
  </si>
  <si>
    <t>Erik Prince</t>
  </si>
  <si>
    <t>Jill Jonnes</t>
  </si>
  <si>
    <t>Anne Applebaum</t>
  </si>
  <si>
    <t>Erich Maria Remarque</t>
  </si>
  <si>
    <t>Mark Kurlansky</t>
  </si>
  <si>
    <t>Alfred W. McCoy</t>
  </si>
  <si>
    <t>Philippe Claudel</t>
  </si>
  <si>
    <t>Porter Fox</t>
  </si>
  <si>
    <t>Paul Scharre</t>
  </si>
  <si>
    <t>Peter Watson</t>
  </si>
  <si>
    <t>Philip E. Tetlock</t>
  </si>
  <si>
    <t>Richard Killblane</t>
  </si>
  <si>
    <t>Lawrence Wright</t>
  </si>
  <si>
    <t>Benazir Bhutto</t>
  </si>
  <si>
    <t>Harrison E. Salisbury</t>
  </si>
  <si>
    <t>Ben Mezrich</t>
  </si>
  <si>
    <t>Amor Towles</t>
  </si>
  <si>
    <t>Denise Kiernan</t>
  </si>
  <si>
    <t>Czesław Miłosz</t>
  </si>
  <si>
    <t>Nicholas Irving</t>
  </si>
  <si>
    <t>Scott Aaronson</t>
  </si>
  <si>
    <t>Frederick P. Brooks Jr.</t>
  </si>
  <si>
    <t>Sasha Abramsky</t>
  </si>
  <si>
    <t>J.K. Rowling</t>
  </si>
  <si>
    <t>Rudy Rucker</t>
  </si>
  <si>
    <t>Ernest J. Gaines</t>
  </si>
  <si>
    <t>James Surowiecki</t>
  </si>
  <si>
    <t>Kevin D. Mitnick</t>
  </si>
  <si>
    <t>John C. Maxwell</t>
  </si>
  <si>
    <t>Twight, Mark</t>
  </si>
  <si>
    <t>Murray, Douglas</t>
  </si>
  <si>
    <t>Csikszentmihalyi, Mihaly</t>
  </si>
  <si>
    <t>O'Brien, Tim</t>
  </si>
  <si>
    <t>Thompson, Jim</t>
  </si>
  <si>
    <t>Kreider, Tim</t>
  </si>
  <si>
    <t>Fellowes, William Dorset</t>
  </si>
  <si>
    <t>Weir, Andy</t>
  </si>
  <si>
    <t>Grossman, Vasily</t>
  </si>
  <si>
    <t>Baoshu, Baoshu</t>
  </si>
  <si>
    <t>Ebner, Julia</t>
  </si>
  <si>
    <t>Strittmatter, Kai</t>
  </si>
  <si>
    <t>Vinci, Leonardo da</t>
  </si>
  <si>
    <t>Bradbury, Ray</t>
  </si>
  <si>
    <t>Cowen, Tyler</t>
  </si>
  <si>
    <t>Greene, Graham</t>
  </si>
  <si>
    <t>Kegan, Robert</t>
  </si>
  <si>
    <t>Holmes, Chet</t>
  </si>
  <si>
    <t>Tolstoy, Leo</t>
  </si>
  <si>
    <t>Green, Hank</t>
  </si>
  <si>
    <t>Friedman, David D.</t>
  </si>
  <si>
    <t>Carse, James P.</t>
  </si>
  <si>
    <t>Arnade, Chris</t>
  </si>
  <si>
    <t>Brodie, Bernard</t>
  </si>
  <si>
    <t>Sagan, Scott D.</t>
  </si>
  <si>
    <t>Akely, Carl E.</t>
  </si>
  <si>
    <t>Thomassen, Bjørn</t>
  </si>
  <si>
    <t>Scott, James C.</t>
  </si>
  <si>
    <t>Bostrom, Nick</t>
  </si>
  <si>
    <t>Gregory, Hamilton</t>
  </si>
  <si>
    <t>Singer, Peter</t>
  </si>
  <si>
    <t>Steinbeck, John</t>
  </si>
  <si>
    <t>Mises, Ludwig von</t>
  </si>
  <si>
    <t>Talbot, David</t>
  </si>
  <si>
    <t>Kelly, Kevin</t>
  </si>
  <si>
    <t>Alberts, Bruce</t>
  </si>
  <si>
    <t>Voss, Chris</t>
  </si>
  <si>
    <t>Cheever, John</t>
  </si>
  <si>
    <t>Singerman, Philip</t>
  </si>
  <si>
    <t>Abramson, David</t>
  </si>
  <si>
    <t>Campbell, Joseph</t>
  </si>
  <si>
    <t>Salter, James</t>
  </si>
  <si>
    <t>Malcolm, Janet</t>
  </si>
  <si>
    <t>Peters, Benjamin</t>
  </si>
  <si>
    <t>Xianlin, Ji</t>
  </si>
  <si>
    <t>Orwell, George</t>
  </si>
  <si>
    <t>DeLillo, Don</t>
  </si>
  <si>
    <t>Anuff, Joey</t>
  </si>
  <si>
    <t>Jarvis, Paul</t>
  </si>
  <si>
    <t>Gasset, José Ortega y</t>
  </si>
  <si>
    <t>Yorker, The New</t>
  </si>
  <si>
    <t>Perlstein, Rick</t>
  </si>
  <si>
    <t>Officials, National Association of City Transportation</t>
  </si>
  <si>
    <t>Engineers, Institute of Transportation</t>
  </si>
  <si>
    <t>Felton, Nicholas</t>
  </si>
  <si>
    <t>Sadik-Khan, Janette</t>
  </si>
  <si>
    <t>Hanson, Robin</t>
  </si>
  <si>
    <t>Gustafson, John L.</t>
  </si>
  <si>
    <t>Meyer, Danny</t>
  </si>
  <si>
    <t>Chouinard, Yvon</t>
  </si>
  <si>
    <t>Eisenstein, Elizabeth L.</t>
  </si>
  <si>
    <t>Bettmann, Otto L.</t>
  </si>
  <si>
    <t>Calvino, Italo</t>
  </si>
  <si>
    <t>Stapledon, Olaf</t>
  </si>
  <si>
    <t>Tan, Shaun</t>
  </si>
  <si>
    <t>Sharansky, Natan</t>
  </si>
  <si>
    <t>Flanagan, Owen J.</t>
  </si>
  <si>
    <t>Seabright, Paul</t>
  </si>
  <si>
    <t>Goldstein, Rebecca</t>
  </si>
  <si>
    <t>Singer, Isaac Bashevis</t>
  </si>
  <si>
    <t>Leibovich, Mark</t>
  </si>
  <si>
    <t>Feigenbaum, Edward A.</t>
  </si>
  <si>
    <t>Deaton, Angus</t>
  </si>
  <si>
    <t>Lewis, William W.</t>
  </si>
  <si>
    <t>Morison, Elting E.</t>
  </si>
  <si>
    <t>Brands, H.W.</t>
  </si>
  <si>
    <t>Bronowski, Jacob</t>
  </si>
  <si>
    <t>Popper, Karl</t>
  </si>
  <si>
    <t>Winchester, Simon</t>
  </si>
  <si>
    <t>Gordon, Robert J.</t>
  </si>
  <si>
    <t>Magazine, Flying</t>
  </si>
  <si>
    <t>Kagan, Donald</t>
  </si>
  <si>
    <t>Posner, Richard A.</t>
  </si>
  <si>
    <t>Pepperberg, Irene M.</t>
  </si>
  <si>
    <t>Vinge, Vernor</t>
  </si>
  <si>
    <t>Graeber, David</t>
  </si>
  <si>
    <t>Alexander, Christopher W.</t>
  </si>
  <si>
    <t>Fenton, Justin</t>
  </si>
  <si>
    <t>Sholokhov, Mikhail</t>
  </si>
  <si>
    <t>Solomon, Andrew</t>
  </si>
  <si>
    <t>Cherlin, Andrew J.</t>
  </si>
  <si>
    <t>Mintz, Steven</t>
  </si>
  <si>
    <t>Williams, John</t>
  </si>
  <si>
    <t>Lutz, William</t>
  </si>
  <si>
    <t>Lutz, William D.</t>
  </si>
  <si>
    <t>Thoreau, Henry David</t>
  </si>
  <si>
    <t>Mailer, Norman</t>
  </si>
  <si>
    <t>Conrad, Joseph</t>
  </si>
  <si>
    <t>Adams, Richard</t>
  </si>
  <si>
    <t>Harrison, Jim</t>
  </si>
  <si>
    <t>LessWrong, LessWrong</t>
  </si>
  <si>
    <t>Roberts, Robert</t>
  </si>
  <si>
    <t>Pope, Jonathan</t>
  </si>
  <si>
    <t>Gunaratana, Henepola</t>
  </si>
  <si>
    <t>Cline, Ernest</t>
  </si>
  <si>
    <t>Dillard, Annie</t>
  </si>
  <si>
    <t>McChrystal, Stanley</t>
  </si>
  <si>
    <t>Higgins, Eliot</t>
  </si>
  <si>
    <t>Guyenet, Stephan</t>
  </si>
  <si>
    <t>Housel, Morgan</t>
  </si>
  <si>
    <t>Gonzales, Laurence</t>
  </si>
  <si>
    <t>Bennett, Arnold</t>
  </si>
  <si>
    <t>Bosker, Bianca</t>
  </si>
  <si>
    <t>Bartlett, John</t>
  </si>
  <si>
    <t>Newport, Cal</t>
  </si>
  <si>
    <t>Meyer, G.J.</t>
  </si>
  <si>
    <t>Sowell, Thomas</t>
  </si>
  <si>
    <t>Hudson, Charles M.</t>
  </si>
  <si>
    <t>Standage, Tom</t>
  </si>
  <si>
    <t>Heinlein, Robert A.</t>
  </si>
  <si>
    <t>Manson, Mark</t>
  </si>
  <si>
    <t>McCarthy, Cormac</t>
  </si>
  <si>
    <t>Goldratt, Eliyahu M.</t>
  </si>
  <si>
    <t>Murakami, Haruki</t>
  </si>
  <si>
    <t>Berger, John</t>
  </si>
  <si>
    <t>Johnson, Steven</t>
  </si>
  <si>
    <t>Miéville, China</t>
  </si>
  <si>
    <t>Gee, James Paul</t>
  </si>
  <si>
    <t>Kletz, Trevor A.</t>
  </si>
  <si>
    <t>Grier, David Alan</t>
  </si>
  <si>
    <t>Powers, Tim</t>
  </si>
  <si>
    <t>Mortimer, Ian</t>
  </si>
  <si>
    <t>Sobel, Dava</t>
  </si>
  <si>
    <t>Hersey, John</t>
  </si>
  <si>
    <t>Tuchman, Barbara W.</t>
  </si>
  <si>
    <t>Wiesel, Elie</t>
  </si>
  <si>
    <t>Shirer, William L.</t>
  </si>
  <si>
    <t>Goldacre, Ben</t>
  </si>
  <si>
    <t>Greenwald, Rachel</t>
  </si>
  <si>
    <t>Simmons, Dan</t>
  </si>
  <si>
    <t>Cixin, Liu</t>
  </si>
  <si>
    <t>Liu, Ken</t>
  </si>
  <si>
    <t>Zabuzhko, Oksana</t>
  </si>
  <si>
    <t>Passos, John Dos</t>
  </si>
  <si>
    <t>Preston, Richard</t>
  </si>
  <si>
    <t>Kladstrup, Don</t>
  </si>
  <si>
    <t>Clark, Wesley K.</t>
  </si>
  <si>
    <t>Barnhart, Richard M.</t>
  </si>
  <si>
    <t>Lesy, Michael</t>
  </si>
  <si>
    <t>Robbins, John W.</t>
  </si>
  <si>
    <t>Miller, Casey</t>
  </si>
  <si>
    <t>Bukowski, Charles</t>
  </si>
  <si>
    <t>Hall, Roger</t>
  </si>
  <si>
    <t>Weiner, Tim</t>
  </si>
  <si>
    <t>Porter, Roy</t>
  </si>
  <si>
    <t>Oram, Andy</t>
  </si>
  <si>
    <t>Saxon, Lynn</t>
  </si>
  <si>
    <t>Dutton, Kevin</t>
  </si>
  <si>
    <t>Tomassi, Rollo</t>
  </si>
  <si>
    <t>Ekirch, A. Roger</t>
  </si>
  <si>
    <t>Alford, William P.</t>
  </si>
  <si>
    <t>Johnson, Valen E.</t>
  </si>
  <si>
    <t>Chagnon, Napoleon A.</t>
  </si>
  <si>
    <t>Keene, Donald</t>
  </si>
  <si>
    <t>Gusterson, Hugh</t>
  </si>
  <si>
    <t>Schwartz, Delmore</t>
  </si>
  <si>
    <t>Jerven, Morten</t>
  </si>
  <si>
    <t>Levinson, Marc</t>
  </si>
  <si>
    <t>Piketty, Thomas</t>
  </si>
  <si>
    <t>Jin-sung, Jang</t>
  </si>
  <si>
    <t>Alibek, Ken</t>
  </si>
  <si>
    <t>Melzer, Arthur M.</t>
  </si>
  <si>
    <t>Welch, Peter Hunt</t>
  </si>
  <si>
    <t>Lovell, Julia</t>
  </si>
  <si>
    <t>Gorroochurn, Prakash</t>
  </si>
  <si>
    <t>Robbe-Grillet, Alain</t>
  </si>
  <si>
    <t>Favier, Jean</t>
  </si>
  <si>
    <t>Jr., Frank T. Vertosick</t>
  </si>
  <si>
    <t>Huang, Andrew</t>
  </si>
  <si>
    <t>Harrington, Brooke</t>
  </si>
  <si>
    <t>Ligotti, Thomas</t>
  </si>
  <si>
    <t>Porter, Bill</t>
  </si>
  <si>
    <t>Light, Michael</t>
  </si>
  <si>
    <t>Lambot, Ian</t>
  </si>
  <si>
    <t>Cole-Adams, Kate</t>
  </si>
  <si>
    <t>Schilthuizen, Menno</t>
  </si>
  <si>
    <t>Muir-Wood, Robert</t>
  </si>
  <si>
    <t>Richardson, James</t>
  </si>
  <si>
    <t>Clark, Andy</t>
  </si>
  <si>
    <t>Kurlander, Eric</t>
  </si>
  <si>
    <t>Parry, Richard Lloyd</t>
  </si>
  <si>
    <t>Bagnold, Ralph Alger</t>
  </si>
  <si>
    <t>Burr, Chandler</t>
  </si>
  <si>
    <t>Musil, Robert</t>
  </si>
  <si>
    <t>Ambrose, Stephen E.</t>
  </si>
  <si>
    <t>Frank, Adam</t>
  </si>
  <si>
    <t>Guin, Ursula K. Le</t>
  </si>
  <si>
    <t>Guanzhong, Luo</t>
  </si>
  <si>
    <t>Dick, Philip K.</t>
  </si>
  <si>
    <t>Gates, Robert M.</t>
  </si>
  <si>
    <t>Masterman, J.C.</t>
  </si>
  <si>
    <t>Poliquin, Charles</t>
  </si>
  <si>
    <t>Nichols, Thomas M.</t>
  </si>
  <si>
    <t>Ogawa, Yōko</t>
  </si>
  <si>
    <t>Bacigalupi, Paolo</t>
  </si>
  <si>
    <t>Lovecraft, H.P.</t>
  </si>
  <si>
    <t>Kafka, Franz</t>
  </si>
  <si>
    <t>Hemingway, Ernest</t>
  </si>
  <si>
    <t>Joyce, James</t>
  </si>
  <si>
    <t>Bachman, Richard</t>
  </si>
  <si>
    <t>Polanyi, Michael</t>
  </si>
  <si>
    <t>Poe, Edgar Allan</t>
  </si>
  <si>
    <t>Rhodes, Richard</t>
  </si>
  <si>
    <t>Bernanke, Ben S.</t>
  </si>
  <si>
    <t>Milov, Sarah</t>
  </si>
  <si>
    <t>Doyle, Arthur Conan</t>
  </si>
  <si>
    <t>Forgey, William W.</t>
  </si>
  <si>
    <t>Galef, Julia</t>
  </si>
  <si>
    <t>Womack, James P.</t>
  </si>
  <si>
    <t>Michener, James A.</t>
  </si>
  <si>
    <t>Seidel, Andrew L.</t>
  </si>
  <si>
    <t>Backman, Fredrik</t>
  </si>
  <si>
    <t>Singer, Israel J.</t>
  </si>
  <si>
    <t>Nicholl, Charles</t>
  </si>
  <si>
    <t>Rice, Edward</t>
  </si>
  <si>
    <t>Koestler, Arthur</t>
  </si>
  <si>
    <t>Trumbo, Dalton</t>
  </si>
  <si>
    <t>Lansing, Alfred</t>
  </si>
  <si>
    <t>McElya, Micki</t>
  </si>
  <si>
    <t>Marlantes, Karl</t>
  </si>
  <si>
    <t>Hesse, Hermann</t>
  </si>
  <si>
    <t>Solzhenitsyn, Aleksandr</t>
  </si>
  <si>
    <t>Jalali, Ali Ahmad</t>
  </si>
  <si>
    <t>Grau, Lester W.</t>
  </si>
  <si>
    <t>Ostrom, Elinor</t>
  </si>
  <si>
    <t>Mollison, Bill</t>
  </si>
  <si>
    <t>Knebel, Fletcher</t>
  </si>
  <si>
    <t>Woolrich, Cornell</t>
  </si>
  <si>
    <t>Buchan, John</t>
  </si>
  <si>
    <t>Burroughs, Edgar Rice</t>
  </si>
  <si>
    <t>Cooper, James Fenimore</t>
  </si>
  <si>
    <t>Burns, David D.</t>
  </si>
  <si>
    <t>Caplan, Bryan</t>
  </si>
  <si>
    <t>Aga, Selim</t>
  </si>
  <si>
    <t>Girard, René</t>
  </si>
  <si>
    <t>Budiansky, Stephen</t>
  </si>
  <si>
    <t>Goldblum, Joanne Samuel</t>
  </si>
  <si>
    <t>Smil, Vaclav</t>
  </si>
  <si>
    <t>Capstick, Peter Hathaway</t>
  </si>
  <si>
    <t>Capote, Truman</t>
  </si>
  <si>
    <t>Webster, Ed</t>
  </si>
  <si>
    <t>Miller, Rory</t>
  </si>
  <si>
    <t>Friedman, Bill</t>
  </si>
  <si>
    <t>Nutt, David J.</t>
  </si>
  <si>
    <t>Peiss, Kathy</t>
  </si>
  <si>
    <t>Devol, George H.</t>
  </si>
  <si>
    <t>Abulafia, David</t>
  </si>
  <si>
    <t>Dostoevsky, Fyodor</t>
  </si>
  <si>
    <t>Sebald, W.G.</t>
  </si>
  <si>
    <t>Munger, Charles T.</t>
  </si>
  <si>
    <t>Harris, Judith Rich</t>
  </si>
  <si>
    <t>Priest, Christopher</t>
  </si>
  <si>
    <t>Eliot, George</t>
  </si>
  <si>
    <t>Kohli, M.S.</t>
  </si>
  <si>
    <t>Larson, Erik</t>
  </si>
  <si>
    <t>McWhorter, John</t>
  </si>
  <si>
    <t>Robb, Graham</t>
  </si>
  <si>
    <t>Herodotus, Herodotus</t>
  </si>
  <si>
    <t>Robinson, Kim Stanley</t>
  </si>
  <si>
    <t>Baer, Robert B.</t>
  </si>
  <si>
    <t>King, Sherwood</t>
  </si>
  <si>
    <t>Saxon, Kurt</t>
  </si>
  <si>
    <t>Fester, Uncle</t>
  </si>
  <si>
    <t>Maffetone, Philip</t>
  </si>
  <si>
    <t>Trevanian, Trevanian</t>
  </si>
  <si>
    <t>John, Dan</t>
  </si>
  <si>
    <t>Christo, Cyril</t>
  </si>
  <si>
    <t>Wells, H.G.</t>
  </si>
  <si>
    <t>Flyn, Cal</t>
  </si>
  <si>
    <t>Carré, John le</t>
  </si>
  <si>
    <t>Card, Orson Scott</t>
  </si>
  <si>
    <t>King, Stephen</t>
  </si>
  <si>
    <t>Kress, Nancy</t>
  </si>
  <si>
    <t>Mackay, Robin</t>
  </si>
  <si>
    <t>Garland, Alex</t>
  </si>
  <si>
    <t>Klein, Ezra</t>
  </si>
  <si>
    <t>Harari, Yuval Noah</t>
  </si>
  <si>
    <t>Koryta, Michael</t>
  </si>
  <si>
    <t>Roberts, Royston M.</t>
  </si>
  <si>
    <t>Tsatsouline, Pavel</t>
  </si>
  <si>
    <t>Hof, Wim</t>
  </si>
  <si>
    <t>Schüll, Natasha Dow</t>
  </si>
  <si>
    <t>Asbridge, Thomas</t>
  </si>
  <si>
    <t>Dolin, Eric Jay</t>
  </si>
  <si>
    <t>Scheidel, Walter</t>
  </si>
  <si>
    <t>Stearns, Jason K.</t>
  </si>
  <si>
    <t>Bukovsky, Vladimir</t>
  </si>
  <si>
    <t>Atreus, Clayton</t>
  </si>
  <si>
    <t>Paret, Peter</t>
  </si>
  <si>
    <t>Walzer, Michael</t>
  </si>
  <si>
    <t>Roland, Alex</t>
  </si>
  <si>
    <t>Twain, Mark</t>
  </si>
  <si>
    <t>Kadare, Ismail</t>
  </si>
  <si>
    <t>Bertaud, Alain</t>
  </si>
  <si>
    <t>Herrnstein, Richard J.</t>
  </si>
  <si>
    <t>Naylor, Sean</t>
  </si>
  <si>
    <t>Wyner, Gabriel</t>
  </si>
  <si>
    <t>Sullum, Jacob</t>
  </si>
  <si>
    <t>Hart, Carl L.</t>
  </si>
  <si>
    <t>Brown, William Hill</t>
  </si>
  <si>
    <t>Niven, Larry</t>
  </si>
  <si>
    <t>Greenwald, Glenn</t>
  </si>
  <si>
    <t>Lynn, Richard</t>
  </si>
  <si>
    <t>Vanderbilt, Tom</t>
  </si>
  <si>
    <t>Ishiguro, Kazuo</t>
  </si>
  <si>
    <t>Noakes, Tim</t>
  </si>
  <si>
    <t>Walvin, James</t>
  </si>
  <si>
    <t>Quinnell, A.J.</t>
  </si>
  <si>
    <t>Chiang, Ted</t>
  </si>
  <si>
    <t>Smith, Adam</t>
  </si>
  <si>
    <t>Bailey, Alison</t>
  </si>
  <si>
    <t>Starrett, Kelly</t>
  </si>
  <si>
    <t>McGill, Stuart</t>
  </si>
  <si>
    <t>Anomaly, Jonathon</t>
  </si>
  <si>
    <t>Fitzpatrick, Rob</t>
  </si>
  <si>
    <t>Frazier, Charles</t>
  </si>
  <si>
    <t>Herbert, Frank</t>
  </si>
  <si>
    <t>Immerwahr, Daniel</t>
  </si>
  <si>
    <t>Kapuściński, Ryszard</t>
  </si>
  <si>
    <t>Burgis, Tom</t>
  </si>
  <si>
    <t>Shaxson, Nicholas</t>
  </si>
  <si>
    <t>Splichal, Emily</t>
  </si>
  <si>
    <t>Burke, Edmund R.</t>
  </si>
  <si>
    <t>Sacks, Oliver</t>
  </si>
  <si>
    <t>Bohm, David</t>
  </si>
  <si>
    <t>Eco, Umberto</t>
  </si>
  <si>
    <t>Adelson, Betty M.</t>
  </si>
  <si>
    <t>Huxley, Aldous</t>
  </si>
  <si>
    <t>Cooper, Becky</t>
  </si>
  <si>
    <t>Brandon, David</t>
  </si>
  <si>
    <t>Roach, Mary</t>
  </si>
  <si>
    <t>Skloot, Rebecca</t>
  </si>
  <si>
    <t>Mirzayanov, Vil S.</t>
  </si>
  <si>
    <t>Tucker, Jonathan B.</t>
  </si>
  <si>
    <t>Tucker, Jonathan</t>
  </si>
  <si>
    <t>Enos, Brian</t>
  </si>
  <si>
    <t>French, Paul</t>
  </si>
  <si>
    <t>Peterson, T.F.</t>
  </si>
  <si>
    <t>Norwood, F. Bailey</t>
  </si>
  <si>
    <t>Massie, Robert K.</t>
  </si>
  <si>
    <t>Ronson, Jon</t>
  </si>
  <si>
    <t>Mars, Roman</t>
  </si>
  <si>
    <t>Carlin, Willie</t>
  </si>
  <si>
    <t>Chambers, Robert W.</t>
  </si>
  <si>
    <t>James, Bill</t>
  </si>
  <si>
    <t>McCorristine, Shane</t>
  </si>
  <si>
    <t>Wales, Alexander</t>
  </si>
  <si>
    <t>Tevis, Walter</t>
  </si>
  <si>
    <t>Punke, Michael</t>
  </si>
  <si>
    <t>Michaels, David</t>
  </si>
  <si>
    <t>Baron-Cohen, Simon</t>
  </si>
  <si>
    <t>Alcock, John</t>
  </si>
  <si>
    <t>Reade, William Winwood</t>
  </si>
  <si>
    <t>Birchmore, Fred A.</t>
  </si>
  <si>
    <t>Pynchon, Thomas</t>
  </si>
  <si>
    <t>Wallace, David Foster</t>
  </si>
  <si>
    <t>Bolaño, Roberto</t>
  </si>
  <si>
    <t>Lasch, Christopher</t>
  </si>
  <si>
    <t>Kesey, Ken</t>
  </si>
  <si>
    <t>Gabriel, Joseph M.</t>
  </si>
  <si>
    <t>Levitt, Steven D.</t>
  </si>
  <si>
    <t>Alexievich, Svetlana</t>
  </si>
  <si>
    <t>Mathers, E. Powys</t>
  </si>
  <si>
    <t>Mann, Thomas</t>
  </si>
  <si>
    <t>Clear, James</t>
  </si>
  <si>
    <t>Rid, Thomas</t>
  </si>
  <si>
    <t>Perec, Georges</t>
  </si>
  <si>
    <t>Myers, Larry</t>
  </si>
  <si>
    <t>Maçães, Bruno</t>
  </si>
  <si>
    <t>Landman, Janet</t>
  </si>
  <si>
    <t>Everett, Daniel L.</t>
  </si>
  <si>
    <t>Kolker, Robert</t>
  </si>
  <si>
    <t>Wasdin, Howard E.</t>
  </si>
  <si>
    <t>Russo, Gus</t>
  </si>
  <si>
    <t>Sagan, Carl</t>
  </si>
  <si>
    <t>Hawking, Stephen</t>
  </si>
  <si>
    <t>Gleick, James</t>
  </si>
  <si>
    <t>Foer, Joshua</t>
  </si>
  <si>
    <t>Bryson, Bill</t>
  </si>
  <si>
    <t>West, Elliott</t>
  </si>
  <si>
    <t>Dawkins, Richard</t>
  </si>
  <si>
    <t>Couch, Dick</t>
  </si>
  <si>
    <t>Greene, Robert</t>
  </si>
  <si>
    <t>Bradley, Rusty</t>
  </si>
  <si>
    <t>Haney, Eric L.</t>
  </si>
  <si>
    <t>Winter, Bud</t>
  </si>
  <si>
    <t>Gladwell, Malcolm</t>
  </si>
  <si>
    <t>Hanh, Thich Nhat</t>
  </si>
  <si>
    <t>Frankl, Viktor E.</t>
  </si>
  <si>
    <t>Jr., Tom Brown</t>
  </si>
  <si>
    <t>Schroen, Gary</t>
  </si>
  <si>
    <t>Carson, Ben</t>
  </si>
  <si>
    <t>Hawthorne, Nathaniel</t>
  </si>
  <si>
    <t>Camus, Albert</t>
  </si>
  <si>
    <t>Schlosser, Eric</t>
  </si>
  <si>
    <t>Aurelius, Marcus</t>
  </si>
  <si>
    <t>Golding, William</t>
  </si>
  <si>
    <t>Wooden, John</t>
  </si>
  <si>
    <t>Hoff, Benjamin</t>
  </si>
  <si>
    <t>Patterson, Scott</t>
  </si>
  <si>
    <t>Adams, Douglas</t>
  </si>
  <si>
    <t>Taleb, Nassim Nicholas</t>
  </si>
  <si>
    <t>Pressfield, Steven</t>
  </si>
  <si>
    <t>Potok, Chaim</t>
  </si>
  <si>
    <t>Clarke, Arthur C.</t>
  </si>
  <si>
    <t>Coelho, Paulo</t>
  </si>
  <si>
    <t>Bowden, Mark</t>
  </si>
  <si>
    <t>O'Neill, Robert</t>
  </si>
  <si>
    <t>Fleischman, John</t>
  </si>
  <si>
    <t>Hofstadter, Douglas R.</t>
  </si>
  <si>
    <t>Jacobsen, Annie</t>
  </si>
  <si>
    <t>Whitcomb, Christopher</t>
  </si>
  <si>
    <t>Clancy, Tom</t>
  </si>
  <si>
    <t>Kline, Morris</t>
  </si>
  <si>
    <t>Jr., Philip C. Jackson</t>
  </si>
  <si>
    <t>Crumpton, Henry A.</t>
  </si>
  <si>
    <t>Ferriss, Timothy</t>
  </si>
  <si>
    <t>Zusak, Markus</t>
  </si>
  <si>
    <t>Petzold, Charles</t>
  </si>
  <si>
    <t>Thorp, Edward O.</t>
  </si>
  <si>
    <t>Kinzer, Stephen</t>
  </si>
  <si>
    <t>McLean, Bethany</t>
  </si>
  <si>
    <t>Laux, Douglas</t>
  </si>
  <si>
    <t>Gawande, Atul</t>
  </si>
  <si>
    <t>Mazzetti, Mark</t>
  </si>
  <si>
    <t>Preston, Douglas</t>
  </si>
  <si>
    <t>Knowles, John</t>
  </si>
  <si>
    <t>Lewis, C.S.</t>
  </si>
  <si>
    <t>Warrick, Joby</t>
  </si>
  <si>
    <t>Achebe, Chinua</t>
  </si>
  <si>
    <t>Hosseini, Khaled</t>
  </si>
  <si>
    <t>Bilton, Nick</t>
  </si>
  <si>
    <t>Olson, James M.</t>
  </si>
  <si>
    <t>Higginbotham, Adam</t>
  </si>
  <si>
    <t>Politkovskaya, Anna</t>
  </si>
  <si>
    <t>Frank, Anne</t>
  </si>
  <si>
    <t>Rand, Ayn</t>
  </si>
  <si>
    <t>Stoker, Bram</t>
  </si>
  <si>
    <t>Whipple, Chris</t>
  </si>
  <si>
    <t>Benioff, David</t>
  </si>
  <si>
    <t>Rosenthal, Elisabeth</t>
  </si>
  <si>
    <t>Blehm, Eric</t>
  </si>
  <si>
    <t>Schmidt, Eric</t>
  </si>
  <si>
    <t>Clason, George S.</t>
  </si>
  <si>
    <t>Rosling, Hans</t>
  </si>
  <si>
    <t>Lee, Harper</t>
  </si>
  <si>
    <t>Fleming, Ian</t>
  </si>
  <si>
    <t>Beah, Ishmael</t>
  </si>
  <si>
    <t>Tolkien, J.R.R.</t>
  </si>
  <si>
    <t>Hilton, James</t>
  </si>
  <si>
    <t>Verne, Jules</t>
  </si>
  <si>
    <t>Grossman, Dave</t>
  </si>
  <si>
    <t>McDougall, Christopher</t>
  </si>
  <si>
    <t>Boyne, John</t>
  </si>
  <si>
    <t>Black, K.</t>
  </si>
  <si>
    <t>Black, K</t>
  </si>
  <si>
    <t>Dickens, Charles</t>
  </si>
  <si>
    <t>Borges, Jorge Luis</t>
  </si>
  <si>
    <t>Buzzati, Dino</t>
  </si>
  <si>
    <t>Watterson, Bill</t>
  </si>
  <si>
    <t>Gracq, Julien</t>
  </si>
  <si>
    <t>Jordan, Robert</t>
  </si>
  <si>
    <t>Wolfe, Gene</t>
  </si>
  <si>
    <t>DeWitt, Helen</t>
  </si>
  <si>
    <t>Hall, J. Storrs</t>
  </si>
  <si>
    <t>Goodkind, Terry</t>
  </si>
  <si>
    <t>Pessoa, Fernando</t>
  </si>
  <si>
    <t>Fleishman, Joel L.</t>
  </si>
  <si>
    <t>Glück, Louise</t>
  </si>
  <si>
    <t>Murray, Charles</t>
  </si>
  <si>
    <t>Putnam, Robert D.</t>
  </si>
  <si>
    <t>Unknown, Unknown</t>
  </si>
  <si>
    <t>Niffenegger, Audrey</t>
  </si>
  <si>
    <t>Salinger, J.D.</t>
  </si>
  <si>
    <t>Chbosky, Stephen</t>
  </si>
  <si>
    <t>Brontë, Emily</t>
  </si>
  <si>
    <t>Wilde, Oscar</t>
  </si>
  <si>
    <t>Brontë, Charlotte</t>
  </si>
  <si>
    <t>Plath, Sylvia</t>
  </si>
  <si>
    <t>Fitzgerald, F. Scott</t>
  </si>
  <si>
    <t>Austen, Jane</t>
  </si>
  <si>
    <t>Coyne, Jerry A.</t>
  </si>
  <si>
    <t>Caro, Robert A.</t>
  </si>
  <si>
    <t>Duckworth, Angela</t>
  </si>
  <si>
    <t>Becker, Gavin de</t>
  </si>
  <si>
    <t>Garland, Robert</t>
  </si>
  <si>
    <t>Jones, Dan</t>
  </si>
  <si>
    <t>Hart, Sylvan</t>
  </si>
  <si>
    <t>Peterson, Harold</t>
  </si>
  <si>
    <t>Dimopoulos, Konstantinos</t>
  </si>
  <si>
    <t>Pirsig, Robert M.</t>
  </si>
  <si>
    <t>Matthews, Jason</t>
  </si>
  <si>
    <t>Grenier, Robert L.</t>
  </si>
  <si>
    <t>Nietzsche, Friedrich</t>
  </si>
  <si>
    <t>Waller, Douglas C.</t>
  </si>
  <si>
    <t>Zinn, Howard</t>
  </si>
  <si>
    <t>Heyerdahl, Thor</t>
  </si>
  <si>
    <t>Zeihan, Peter</t>
  </si>
  <si>
    <t>Ritchie, Stuart</t>
  </si>
  <si>
    <t>Selimović, Meša</t>
  </si>
  <si>
    <t>Stewart-Williams, Steve</t>
  </si>
  <si>
    <t>Mollick, Ethan</t>
  </si>
  <si>
    <t>Beck, Aaron T.</t>
  </si>
  <si>
    <t>Beck, Judith S.</t>
  </si>
  <si>
    <t>Drexler, K. Eric</t>
  </si>
  <si>
    <t>Jackall, Robert</t>
  </si>
  <si>
    <t>Potts, Rolf</t>
  </si>
  <si>
    <t>Seneca, Seneca</t>
  </si>
  <si>
    <t>Saer, Juan José</t>
  </si>
  <si>
    <t>Dumas, Alexandre</t>
  </si>
  <si>
    <t>Yudkowsky, Eliezer</t>
  </si>
  <si>
    <t>Alexander, Scott</t>
  </si>
  <si>
    <t>Waugh, Billy</t>
  </si>
  <si>
    <t>Maugham, W. Somerset</t>
  </si>
  <si>
    <t>Defoe, Daniel</t>
  </si>
  <si>
    <t>Anonymous, Anonymous</t>
  </si>
  <si>
    <t>Mitchell, Margaret</t>
  </si>
  <si>
    <t>James, Gareth</t>
  </si>
  <si>
    <t>Hugo, Victor</t>
  </si>
  <si>
    <t>Ferguson, Niall</t>
  </si>
  <si>
    <t>Lencioni, Patrick</t>
  </si>
  <si>
    <t>Welsh, Irvine</t>
  </si>
  <si>
    <t>Walter, Norman</t>
  </si>
  <si>
    <t>Barfield, Thomas</t>
  </si>
  <si>
    <t>Dalrymple, William</t>
  </si>
  <si>
    <t>Macknik, Stephen L.</t>
  </si>
  <si>
    <t>Maurer, David W.</t>
  </si>
  <si>
    <t>Sullivan, Robert</t>
  </si>
  <si>
    <t>Stejskal, James</t>
  </si>
  <si>
    <t>Byron, Robert</t>
  </si>
  <si>
    <t>Flynn, Gillian</t>
  </si>
  <si>
    <t>Kim, Byung-Kook</t>
  </si>
  <si>
    <t>Jaffe, Michele Sharon</t>
  </si>
  <si>
    <t>Stendhal, Stendhal</t>
  </si>
  <si>
    <t>Thaler, Richard H.</t>
  </si>
  <si>
    <t>Tocqueville, Alexis de</t>
  </si>
  <si>
    <t>Aldington, Richard</t>
  </si>
  <si>
    <t>Lewis, Michael</t>
  </si>
  <si>
    <t>Sax, Leonard</t>
  </si>
  <si>
    <t>Mellon, Paul</t>
  </si>
  <si>
    <t>Pinker, Steven</t>
  </si>
  <si>
    <t>Márquez, Gabriel García</t>
  </si>
  <si>
    <t>Boeselager, Philipp Freiherr von</t>
  </si>
  <si>
    <t>Ericsson, K. Anders</t>
  </si>
  <si>
    <t>Braudel, Fernand</t>
  </si>
  <si>
    <t>Weinberg, Gabriel</t>
  </si>
  <si>
    <t>Feynman, Richard P.</t>
  </si>
  <si>
    <t>Muir, John</t>
  </si>
  <si>
    <t>Sapolsky, Robert M.</t>
  </si>
  <si>
    <t>Martel, Yann</t>
  </si>
  <si>
    <t>Edin, Kathryn J.</t>
  </si>
  <si>
    <t>Hamming, Richard</t>
  </si>
  <si>
    <t>Miller, Geoffrey</t>
  </si>
  <si>
    <t>David-Néel, Alexandra</t>
  </si>
  <si>
    <t>Kim, Suki</t>
  </si>
  <si>
    <t>Carr, Allen</t>
  </si>
  <si>
    <t>Smith, Michael</t>
  </si>
  <si>
    <t>Stephenson, Neal</t>
  </si>
  <si>
    <t>Swofford, Anthony</t>
  </si>
  <si>
    <t>Polgár, László</t>
  </si>
  <si>
    <t>Frazier, Ian</t>
  </si>
  <si>
    <t>Keyes, Daniel</t>
  </si>
  <si>
    <t>Hinton, S.E.</t>
  </si>
  <si>
    <t>Stegner, Wallace</t>
  </si>
  <si>
    <t>Clark, Gregory</t>
  </si>
  <si>
    <t>Fussell, Paul</t>
  </si>
  <si>
    <t>Sears, Barry</t>
  </si>
  <si>
    <t>Zogby, Jean Paul</t>
  </si>
  <si>
    <t>O'Hanlon, John F.</t>
  </si>
  <si>
    <t>Duneier, Mitchell</t>
  </si>
  <si>
    <t>Mist, Nathaniel</t>
  </si>
  <si>
    <t>Guo, Philip J.</t>
  </si>
  <si>
    <t>Hubbard, Elbert</t>
  </si>
  <si>
    <t>Figes, Orlando</t>
  </si>
  <si>
    <t>Bloom, Harold</t>
  </si>
  <si>
    <t>McCulloch, Gretchen</t>
  </si>
  <si>
    <t>Brose, Christian</t>
  </si>
  <si>
    <t>Wackman, John</t>
  </si>
  <si>
    <t>Brand, Stewart</t>
  </si>
  <si>
    <t>Jr., Marty Skovlund</t>
  </si>
  <si>
    <t>Dyson, Freeman</t>
  </si>
  <si>
    <t>Trollope, Anthony</t>
  </si>
  <si>
    <t>Miller, Arthur</t>
  </si>
  <si>
    <t>Shakespeare, William</t>
  </si>
  <si>
    <t>Isaacson, Walter</t>
  </si>
  <si>
    <t>Cousteau, Jacques-Yves</t>
  </si>
  <si>
    <t>Keefe, Patrick Radden</t>
  </si>
  <si>
    <t>Ferrazzi, Keith</t>
  </si>
  <si>
    <t>Deleuze, Gilles</t>
  </si>
  <si>
    <t>Goldberg, Steven</t>
  </si>
  <si>
    <t>Ettinger, Robert C.W.</t>
  </si>
  <si>
    <t>Simler, Kevin</t>
  </si>
  <si>
    <t>Danielewski, Mark Z.</t>
  </si>
  <si>
    <t>Pelizzari, Umberto</t>
  </si>
  <si>
    <t>Hanson, Victor Davis</t>
  </si>
  <si>
    <t>Junger, Sebastian</t>
  </si>
  <si>
    <t>Jr., Hubert Selby</t>
  </si>
  <si>
    <t>Keynes, John Maynard</t>
  </si>
  <si>
    <t>Sattouf, Riad</t>
  </si>
  <si>
    <t>Goodrich, Lloyd</t>
  </si>
  <si>
    <t>Thesiger, Wilfred</t>
  </si>
  <si>
    <t>Christie, Agatha</t>
  </si>
  <si>
    <t>Cialdini, Robert B.</t>
  </si>
  <si>
    <t>Coburn, Mike</t>
  </si>
  <si>
    <t>Moody, Glyn</t>
  </si>
  <si>
    <t>Fermor, Patrick Leigh</t>
  </si>
  <si>
    <t>Homer, Homer</t>
  </si>
  <si>
    <t>Matthiessen, Peter</t>
  </si>
  <si>
    <t>Quinn, Stephen Christopher</t>
  </si>
  <si>
    <t>Palahniuk, Chuck</t>
  </si>
  <si>
    <t>Tromly, Benjamin</t>
  </si>
  <si>
    <t>Merchant, Brian</t>
  </si>
  <si>
    <t>Dean, Josh</t>
  </si>
  <si>
    <t>Blanch, Lesley</t>
  </si>
  <si>
    <t>Brower, David</t>
  </si>
  <si>
    <t>Haggard, H. Rider</t>
  </si>
  <si>
    <t>Carter, Howard</t>
  </si>
  <si>
    <t>Lewin, Walter</t>
  </si>
  <si>
    <t>Pecora, Thomas</t>
  </si>
  <si>
    <t>Bowe, John</t>
  </si>
  <si>
    <t>Clayton, Peter A.</t>
  </si>
  <si>
    <t>Selby, Scott Andrew</t>
  </si>
  <si>
    <t>Hurston, Zora Neale</t>
  </si>
  <si>
    <t>Krakauer, Jon</t>
  </si>
  <si>
    <t>Endlich, Lisa</t>
  </si>
  <si>
    <t>Barnes, Frank C.</t>
  </si>
  <si>
    <t>McNamee, Eoin</t>
  </si>
  <si>
    <t>Sontag, Sherry</t>
  </si>
  <si>
    <t>Heerden, Roelf Van</t>
  </si>
  <si>
    <t>Hayes, Billy</t>
  </si>
  <si>
    <t>Dahl, Roald</t>
  </si>
  <si>
    <t>Jr., Kurt Vonnegut</t>
  </si>
  <si>
    <t>Babbitt, Natalie</t>
  </si>
  <si>
    <t>Grogan, John</t>
  </si>
  <si>
    <t>Munroe, Randall</t>
  </si>
  <si>
    <t>Hillenbrand, Laura</t>
  </si>
  <si>
    <t>Goodwin, Doris Kearns</t>
  </si>
  <si>
    <t>Ćirković, Milan M.</t>
  </si>
  <si>
    <t>Melville, Herman</t>
  </si>
  <si>
    <t>Stowe, Harriet Beecher</t>
  </si>
  <si>
    <t>Kipling, Rudyard</t>
  </si>
  <si>
    <t>Sadler, Matthew</t>
  </si>
  <si>
    <t>Kahneman, Daniel</t>
  </si>
  <si>
    <t>O'Brien, Barbara</t>
  </si>
  <si>
    <t>Russell, Bertrand</t>
  </si>
  <si>
    <t>Gilbert, Martin</t>
  </si>
  <si>
    <t>West, Nigel</t>
  </si>
  <si>
    <t>Kissinger, Henry</t>
  </si>
  <si>
    <t>Shelley, Mary Wollstonecraft</t>
  </si>
  <si>
    <t>Roberts, Margaret E.</t>
  </si>
  <si>
    <t>Griffiths, James</t>
  </si>
  <si>
    <t>Machiavelli, Niccolò</t>
  </si>
  <si>
    <t>Matheson, Richard</t>
  </si>
  <si>
    <t>Demick, Barbara</t>
  </si>
  <si>
    <t>Albom, Mitch</t>
  </si>
  <si>
    <t>Fukuyama, Francis</t>
  </si>
  <si>
    <t>Diamond, Jared</t>
  </si>
  <si>
    <t>Westover, Tara</t>
  </si>
  <si>
    <t>Heller, Joseph</t>
  </si>
  <si>
    <t>Myers, B.R.</t>
  </si>
  <si>
    <t>Pullman, Philip</t>
  </si>
  <si>
    <t>Lowry, Lois</t>
  </si>
  <si>
    <t>Macy, Beth</t>
  </si>
  <si>
    <t>Abella, Alex</t>
  </si>
  <si>
    <t>Vogel, Ezra F.</t>
  </si>
  <si>
    <t>Zetter, Kim</t>
  </si>
  <si>
    <t>Wainwright, Tom</t>
  </si>
  <si>
    <t>Gunther, John</t>
  </si>
  <si>
    <t>Stow, Randolph</t>
  </si>
  <si>
    <t>Mumford, Lewis</t>
  </si>
  <si>
    <t>Jr., Charles L. Marohn</t>
  </si>
  <si>
    <t>DiCamillo, Kate</t>
  </si>
  <si>
    <t>DuPrau, Jeanne</t>
  </si>
  <si>
    <t>Gergel, Max G.</t>
  </si>
  <si>
    <t>Swedenborg, Emanuel</t>
  </si>
  <si>
    <t>Rigger, Shelley</t>
  </si>
  <si>
    <t>Finnegan, William</t>
  </si>
  <si>
    <t>Chancellor, Edward</t>
  </si>
  <si>
    <t>Swanson, James L.</t>
  </si>
  <si>
    <t>Faulkner, William</t>
  </si>
  <si>
    <t>Luttrell, Marcus</t>
  </si>
  <si>
    <t>Puzo, Mario</t>
  </si>
  <si>
    <t>Malley, Marjorie C.</t>
  </si>
  <si>
    <t>Divine, Mark</t>
  </si>
  <si>
    <t>Crichton, Michael</t>
  </si>
  <si>
    <t>Davis, Morton D.</t>
  </si>
  <si>
    <t>Bascomb, Neal</t>
  </si>
  <si>
    <t>Gogol, Nikolai</t>
  </si>
  <si>
    <t>Ceruzzi, Paul E.</t>
  </si>
  <si>
    <t>Kahlili, Reza</t>
  </si>
  <si>
    <t>Stevenson, Robert Louis</t>
  </si>
  <si>
    <t>Wright, Robert</t>
  </si>
  <si>
    <t>Kurz, Thomas</t>
  </si>
  <si>
    <t>Jeal, Tim</t>
  </si>
  <si>
    <t>Manaugh, Geoff</t>
  </si>
  <si>
    <t>McKenna, Richard</t>
  </si>
  <si>
    <t>Mason, Bill</t>
  </si>
  <si>
    <t>Burnett, Frances Hodgson</t>
  </si>
  <si>
    <t>Chu, Lenora</t>
  </si>
  <si>
    <t>Deutsch, David</t>
  </si>
  <si>
    <t>Cusumano, Michael A.</t>
  </si>
  <si>
    <t>Freeborn, Varg</t>
  </si>
  <si>
    <t>Quinones, Sam</t>
  </si>
  <si>
    <t>Hoffman, Bruce</t>
  </si>
  <si>
    <t>Gertner, Jon</t>
  </si>
  <si>
    <t>Baum, Dan</t>
  </si>
  <si>
    <t>Kimura, Hisao</t>
  </si>
  <si>
    <t>Davidson, Robyn</t>
  </si>
  <si>
    <t>Maclean, Fitzroy</t>
  </si>
  <si>
    <t>Newby, Eric</t>
  </si>
  <si>
    <t>Asher, Michael</t>
  </si>
  <si>
    <t>Geisst, Charles R.</t>
  </si>
  <si>
    <t>Scali, Robert</t>
  </si>
  <si>
    <t>Ross, Dennis</t>
  </si>
  <si>
    <t>Kaufman, Josh</t>
  </si>
  <si>
    <t>Perry, S.D.</t>
  </si>
  <si>
    <t>Frankfurt, Harry G.</t>
  </si>
  <si>
    <t>Frum, David</t>
  </si>
  <si>
    <t>Johnstone, Keith</t>
  </si>
  <si>
    <t>Desmond, Matthew</t>
  </si>
  <si>
    <t>Macfarlane, Robert</t>
  </si>
  <si>
    <t>Clausewitz, Carl von</t>
  </si>
  <si>
    <t>Park, Mungo</t>
  </si>
  <si>
    <t>Lawrence, T.E.</t>
  </si>
  <si>
    <t>Krakauer, David C.</t>
  </si>
  <si>
    <t>Polo, Marco</t>
  </si>
  <si>
    <t>Harrer, Heinrich</t>
  </si>
  <si>
    <t>Steiner, Christopher</t>
  </si>
  <si>
    <t>Westhoff, Ben</t>
  </si>
  <si>
    <t>Montgomery, Douglas C.</t>
  </si>
  <si>
    <t>Hoving, Thomas</t>
  </si>
  <si>
    <t>Mandelbrot, Benoît B.</t>
  </si>
  <si>
    <t>Bevelin, Peter</t>
  </si>
  <si>
    <t>Puri, Hardeep Singh</t>
  </si>
  <si>
    <t>Nagel, Ernest</t>
  </si>
  <si>
    <t>Hedin, Sven</t>
  </si>
  <si>
    <t>Fleming, Peter</t>
  </si>
  <si>
    <t>Dobraszczyk, Paul</t>
  </si>
  <si>
    <t>Mattson, Mark P.</t>
  </si>
  <si>
    <t>Wyss, Johann David</t>
  </si>
  <si>
    <t>Macintyre, Ben</t>
  </si>
  <si>
    <t>Nicholl, Desmond S.T.</t>
  </si>
  <si>
    <t>Eichar, Donnie</t>
  </si>
  <si>
    <t>Hunt, Will</t>
  </si>
  <si>
    <t>Conboy, Kenneth J.</t>
  </si>
  <si>
    <t>Hancock, Graham</t>
  </si>
  <si>
    <t>Thompson, Hunter S.</t>
  </si>
  <si>
    <t>Finkel, Michael</t>
  </si>
  <si>
    <t>Gessen, Keith</t>
  </si>
  <si>
    <t>Drogin, Bob</t>
  </si>
  <si>
    <t>Roberts, J.M.</t>
  </si>
  <si>
    <t>Woodard, Colin</t>
  </si>
  <si>
    <t>Pavlichenko, Lyudmila</t>
  </si>
  <si>
    <t>Krylova, Anna</t>
  </si>
  <si>
    <t>Utley, Marguerite J.</t>
  </si>
  <si>
    <t>Proctor, Robert N.</t>
  </si>
  <si>
    <t>Lewis, Bernard</t>
  </si>
  <si>
    <t>Bergman, Ronen</t>
  </si>
  <si>
    <t>Ridley, Matt</t>
  </si>
  <si>
    <t>Stampi, Claudio</t>
  </si>
  <si>
    <t>Erickson, Carlton K.</t>
  </si>
  <si>
    <t>Swift, Jonathan</t>
  </si>
  <si>
    <t>Mahomet, Dean</t>
  </si>
  <si>
    <t>Arnold, R. Douglas</t>
  </si>
  <si>
    <t>Czapski, Józef</t>
  </si>
  <si>
    <t>Portis, Charles</t>
  </si>
  <si>
    <t>Vigna, Paul</t>
  </si>
  <si>
    <t>Prince, Erik</t>
  </si>
  <si>
    <t>Jonnes, Jill</t>
  </si>
  <si>
    <t>Applebaum, Anne</t>
  </si>
  <si>
    <t>Remarque, Erich Maria</t>
  </si>
  <si>
    <t>Kurlansky, Mark</t>
  </si>
  <si>
    <t>McCoy, Alfred W.</t>
  </si>
  <si>
    <t>Claudel, Philippe</t>
  </si>
  <si>
    <t>Fox, Porter</t>
  </si>
  <si>
    <t>Scharre, Paul</t>
  </si>
  <si>
    <t>Watson, Peter</t>
  </si>
  <si>
    <t>Tetlock, Philip E.</t>
  </si>
  <si>
    <t>Killblane, Richard</t>
  </si>
  <si>
    <t>Wright, Lawrence</t>
  </si>
  <si>
    <t>Bhutto, Benazir</t>
  </si>
  <si>
    <t>Salisbury, Harrison E.</t>
  </si>
  <si>
    <t>Mezrich, Ben</t>
  </si>
  <si>
    <t>Towles, Amor</t>
  </si>
  <si>
    <t>Kiernan, Denise</t>
  </si>
  <si>
    <t>Miłosz, Czesław</t>
  </si>
  <si>
    <t>Irving, Nicholas</t>
  </si>
  <si>
    <t>Aaronson, Scott</t>
  </si>
  <si>
    <t>Jr., Frederick P. Brooks</t>
  </si>
  <si>
    <t>Abramsky, Sasha</t>
  </si>
  <si>
    <t>Rowling, J.K.</t>
  </si>
  <si>
    <t>Rucker, Rudy</t>
  </si>
  <si>
    <t>Gaines, Ernest J.</t>
  </si>
  <si>
    <t>Surowiecki, James</t>
  </si>
  <si>
    <t>Mitnick, Kevin D.</t>
  </si>
  <si>
    <t>Maxwell, John C.</t>
  </si>
  <si>
    <t>Robert Chandler</t>
  </si>
  <si>
    <t>Robert Chandler, Elizabeth Chandler</t>
  </si>
  <si>
    <t>Ruth   Martin</t>
  </si>
  <si>
    <t>Ljerka Radović</t>
  </si>
  <si>
    <t>Lisa Laskow Lahey</t>
  </si>
  <si>
    <t>Jay Conrad Levinson, Michael E. Gerber</t>
  </si>
  <si>
    <t>Richard Pevear, Larissa Volokhonsky</t>
  </si>
  <si>
    <t>Peter T. Leeson, David Skarbek</t>
  </si>
  <si>
    <t>Harold E. Batson</t>
  </si>
  <si>
    <t>Alexander Johnson, Julian Lewis, Martin Raff, David O.  Morgan, Keith   Roberts, Paul Walter, Peter Walter, Ulrich Sch?fer</t>
  </si>
  <si>
    <t>Tahl Raz</t>
  </si>
  <si>
    <t>Rick Moody</t>
  </si>
  <si>
    <t>Michelle Schusterman</t>
  </si>
  <si>
    <t>Ian Jack</t>
  </si>
  <si>
    <t>Chenxing Jiang, Zha Jianying</t>
  </si>
  <si>
    <t>George Packer, Keith Gessen</t>
  </si>
  <si>
    <t>Keith Williams</t>
  </si>
  <si>
    <t>Henry Finder, David Remnick</t>
  </si>
  <si>
    <t>Renata Adler, Hannah Arendt, James Baldwin, Truman Capote, Henry Finder</t>
  </si>
  <si>
    <t>Henry Finder</t>
  </si>
  <si>
    <t>Sven Ehmann, Di Ozesanmuseum Bamberg, Robert Klanten</t>
  </si>
  <si>
    <t>Seth Solomonow</t>
  </si>
  <si>
    <t>William Weaver, Erwin Salim, ترانه یلدا</t>
  </si>
  <si>
    <t>Pamela McCorduck</t>
  </si>
  <si>
    <t>David       Miller, David Miller, Alexandra Stanciu, Brânduşa Palade, Gheorghe Flonta, Constantin Stoenescu, Sorina Neculaescu, Marc-Valentin Ulieriu, Dragoş Olaru, Cristina Moisa</t>
  </si>
  <si>
    <t>John McGahern</t>
  </si>
  <si>
    <t>Michelle Latiolais</t>
  </si>
  <si>
    <t>Sara Ishikawa, Murray Silverstein, Max  Jacobson, Ingrid Fiksdahl-King, Shlomo Angel</t>
  </si>
  <si>
    <t>Craig Weller</t>
  </si>
  <si>
    <t>Lauri Porceddu</t>
  </si>
  <si>
    <t>Shizuka N. Aoki</t>
  </si>
  <si>
    <t>Justin Kaplan</t>
  </si>
  <si>
    <t>Jeff Cox</t>
  </si>
  <si>
    <t>Philip Gabriel</t>
  </si>
  <si>
    <t>Neil Armstrong</t>
  </si>
  <si>
    <t>Marion Wiesel, François Mauriac</t>
  </si>
  <si>
    <t>Gary Ruddell, Gaetano Luigi Staffilano</t>
  </si>
  <si>
    <t>Nina Shevchuk-Murray, Оксана Забужко</t>
  </si>
  <si>
    <t>Maurice-Edgar Coindreau</t>
  </si>
  <si>
    <t>E.L. Doctorow</t>
  </si>
  <si>
    <t>Petie Kladstrup</t>
  </si>
  <si>
    <t>Warren Susman, Charles Van Schaik, Frank Cooper, George Cooper</t>
  </si>
  <si>
    <t>Kate Swift</t>
  </si>
  <si>
    <t>Greg Wilson, Jon L. Bentley, Brian W. Kernighan, Charles Petzold, Douglas Crockford, Henry S. Warren Jr., Ashish Gulhati, Lincoln Stein, Jim Kent, Jack Dongarra, Poitr Luszczek, Adam Kolawa, Greg Kroah-Hartman, Diomidis Spinellis, Andrew Kuchling, Travis E. Oliphant, Ronald Mak, Rogério Atem de Carvalho, Rafael Monnerat, Bryan Cantrill, Jeffrey Dean, Sanjay Ghemawat, Simon Peyton Jones, R. Kent Dybuig, William R. Otte, Douglas C. Schmidt, Andrew Patzer, Karl Fogel, Tim Bray, Elliotte Rusty Harold, Michael C. Feathers, Alberto Savoia</t>
  </si>
  <si>
    <t>James Atlas</t>
  </si>
  <si>
    <t>Arthur Goldhammer</t>
  </si>
  <si>
    <t>Stephen Handelman</t>
  </si>
  <si>
    <t>Richard Howard</t>
  </si>
  <si>
    <t>Caroline Higgitt</t>
  </si>
  <si>
    <t>Ray Brassier</t>
  </si>
  <si>
    <t>Red Pine</t>
  </si>
  <si>
    <t>Greg Girard</t>
  </si>
  <si>
    <t>Burton Pike, Solomon Apt, Sophie Wilkins, Маргарита Иванова</t>
  </si>
  <si>
    <t>Eisso Post, Joel Martinsen, Bruno Roubicek, Richard Heufkens</t>
  </si>
  <si>
    <t>Norman Holmes Pearson</t>
  </si>
  <si>
    <t>Kim Goss</t>
  </si>
  <si>
    <t>Stephen    Snyder</t>
  </si>
  <si>
    <t>B.J. Harrison</t>
  </si>
  <si>
    <t>Timothy F. Geithner, Henry M. Paulson Jr.</t>
  </si>
  <si>
    <t>Janet Metzger</t>
  </si>
  <si>
    <t>Daniel T. Jones, Daniel Roos</t>
  </si>
  <si>
    <t>Alexander Adams</t>
  </si>
  <si>
    <t>Susan Jacoby, Dan   Barker</t>
  </si>
  <si>
    <t>Henning Koch</t>
  </si>
  <si>
    <t>Irving Howe, Joseph Singer</t>
  </si>
  <si>
    <t>Daphne Hardy</t>
  </si>
  <si>
    <t>Richard Winston, Volker Michels, Герман Гессе, Clara Winston, Theodore Ziolkowski</t>
  </si>
  <si>
    <t>Rebecca Frank</t>
  </si>
  <si>
    <t>David M. Glantz</t>
  </si>
  <si>
    <t>Reny Mia Slay</t>
  </si>
  <si>
    <t>Charles W. Bailey II</t>
  </si>
  <si>
    <t>Vincent</t>
  </si>
  <si>
    <t>James D. Wallace</t>
  </si>
  <si>
    <t>Thomas Berger, John Stauffer</t>
  </si>
  <si>
    <t>Robert Tilton</t>
  </si>
  <si>
    <t>Stephen Bann, Michael Metteer</t>
  </si>
  <si>
    <t>Patrick Gregory</t>
  </si>
  <si>
    <t>James G. Williams</t>
  </si>
  <si>
    <t>Yvonne Freccero</t>
  </si>
  <si>
    <t>Colleen Shaddox</t>
  </si>
  <si>
    <t>James Warhola</t>
  </si>
  <si>
    <t>Constance Garnett, Fyodor Dostoevsky</t>
  </si>
  <si>
    <t>James  Wood</t>
  </si>
  <si>
    <t>Peter E. Kaufman</t>
  </si>
  <si>
    <t>Michel Faber, Doreen Roberts</t>
  </si>
  <si>
    <t>Herodotus, Aubrey de Sélincourt, Robin Waterfield, William Beloe, George Campbell Macaulay, John M. Marincola, Henry Creswicke Rawlinson</t>
  </si>
  <si>
    <t>Gisela Stege</t>
  </si>
  <si>
    <t>Arthur C. Clarke, Sean Simmans, Nicholas Grabowsky</t>
  </si>
  <si>
    <t>Alain Badiou</t>
  </si>
  <si>
    <t>Michael Page</t>
  </si>
  <si>
    <t>Odd Hassel</t>
  </si>
  <si>
    <t>Joel Richards</t>
  </si>
  <si>
    <t>Edward   Lucas, Alyona Kojevnikov</t>
  </si>
  <si>
    <t>Gordon A. Craig, Felix Gilbert</t>
  </si>
  <si>
    <t>Alexander Keyssar, W. Jeffrey Bolster</t>
  </si>
  <si>
    <t>Peter Constantine</t>
  </si>
  <si>
    <t>Michelle McMillian</t>
  </si>
  <si>
    <t>Tatu Vanhanen, M. Stuart</t>
  </si>
  <si>
    <t>Christopher Hitchens, Michael Maloney</t>
  </si>
  <si>
    <t>Alan Furst</t>
  </si>
  <si>
    <t>J.M. Coetzee</t>
  </si>
  <si>
    <t>Alan B. Krueger</t>
  </si>
  <si>
    <t>Ronald G. Knapp, Peter Neville-Hadley, J.A.G. Roberts, Nancy S. Steinhardt</t>
  </si>
  <si>
    <t>Glen Cordoza</t>
  </si>
  <si>
    <t>Donald B. Parker, Raymond Bosworth</t>
  </si>
  <si>
    <t>William R. Brand, Ljubica Rosić, Katarzyna Mroczkowska-Brand</t>
  </si>
  <si>
    <t>Lee Nichol</t>
  </si>
  <si>
    <t>Alan Brooke</t>
  </si>
  <si>
    <t>Kris Kunkler</t>
  </si>
  <si>
    <t>Jane Pickering</t>
  </si>
  <si>
    <t>Jayson Lusk</t>
  </si>
  <si>
    <t>Kurt Kohlstedt</t>
  </si>
  <si>
    <t>וולטר טוויס, דנה אלעזר-הלוי</t>
  </si>
  <si>
    <t>Raymond Benson, Tom Clancy</t>
  </si>
  <si>
    <t>Natasha Wimmer</t>
  </si>
  <si>
    <t>Vytautas Petrukaitis</t>
  </si>
  <si>
    <t>Stephen J. Dubner</t>
  </si>
  <si>
    <t>Bela Shayevich</t>
  </si>
  <si>
    <t>Torquemada</t>
  </si>
  <si>
    <t>John E. Woods</t>
  </si>
  <si>
    <t>Gilbert Adair, Eugen Helmlé</t>
  </si>
  <si>
    <t>Stephen Templin</t>
  </si>
  <si>
    <t>Stephen Molton</t>
  </si>
  <si>
    <t>Cliff Hollenbeck</t>
  </si>
  <si>
    <t>Joost Elffers</t>
  </si>
  <si>
    <t>Kevin Maurer</t>
  </si>
  <si>
    <t>Harold S. Kushner, Hólmfríður K. Gunnarsdóttir, William J. Winslade, Isle Lasch</t>
  </si>
  <si>
    <t>Thomas E. Connolly, Nina Baym, Dick Hill</t>
  </si>
  <si>
    <t>محمد آيت حنا, Matthew  Ward</t>
  </si>
  <si>
    <t>David McDuff, Constance Garnett, Nina Guerra, Filipe Guerra, اصغر رستگار, A.H. Tammsaare, حميدرضا آتش‌برآب, Joseph Frank</t>
  </si>
  <si>
    <t>Richard Pevear, Larissa Volokhonsky, Robert Maguire, Ronald Meyer, Robert Belknap</t>
  </si>
  <si>
    <t>George Long, Diskin Clay, Martin Hammond, Edwin Ginn, Duncan Steen</t>
  </si>
  <si>
    <t>John Updike</t>
  </si>
  <si>
    <t>Robert DeMott</t>
  </si>
  <si>
    <t>Erich Fromm, Nils Holmberg, Regina Silveira, Amazing Améziane, Marcelo Pen, Irving Howe, Golo Mann, Raymond Williams, Thomas Pynchon, Homi K. Bhabha, Martha C. Nussbaum, Bernard Crick, George Packer</t>
  </si>
  <si>
    <t>Steve Jamison</t>
  </si>
  <si>
    <t>Ernest H. Shepard</t>
  </si>
  <si>
    <t>David Chandler, Микола Климчук</t>
  </si>
  <si>
    <t>Alan R. Clarke</t>
  </si>
  <si>
    <t>William Jon Watkins</t>
  </si>
  <si>
    <t>David Dukes</t>
  </si>
  <si>
    <t>David Colacci</t>
  </si>
  <si>
    <t>Arnold Schwarzenegger</t>
  </si>
  <si>
    <t>Peter Elkind</t>
  </si>
  <si>
    <t>Ralph Pezzullo</t>
  </si>
  <si>
    <t>David Levithan</t>
  </si>
  <si>
    <t>Constance Garnett, Aylmer Maude, Louise Maude, Bruno Goetz, Lev Tolstoj, Léon Tolstoï, Dieter Wellershoff</t>
  </si>
  <si>
    <t>Aníbal Fernandes, Aniela Zagórska</t>
  </si>
  <si>
    <t>Richard Pevear, Larissa Volokhonsky, Borut Kraševec, Ива Николова</t>
  </si>
  <si>
    <t>Alexander Burry, Tatiana Tulchinsky, Georgi M. Derluguian</t>
  </si>
  <si>
    <t>Eleanor Roosevelt, Γιάννης Θωμόπουλος, Barbara Mooyaart-Doubleday, Otto H. Frank, Mirjam Pressler, Susan Massotty</t>
  </si>
  <si>
    <t>Leonard Peikoff</t>
  </si>
  <si>
    <t>Leonard Peikoff, Jan de Voogt</t>
  </si>
  <si>
    <t>Айн Рэнд</t>
  </si>
  <si>
    <t>Elizabeth Kostova, Rubén Toledo, Nina Auerbach, Joseph Valente, David J. Skal, Felix Hoffmann, Diana Gibson, Sam Ngo, John      Lee, Zeynep Akkuş</t>
  </si>
  <si>
    <t>Jonathan Rosenberg</t>
  </si>
  <si>
    <t>Max Brod, Willa Muir, Edwin Muir, Çağlar Tanyeri</t>
  </si>
  <si>
    <t>Constance Garnett, Marie Von Thilo</t>
  </si>
  <si>
    <t>Richard Pevear, Larissa Volokhonsky, Donald Fanger, فيودور دوستويفسكي</t>
  </si>
  <si>
    <t>Russell Baker, C.M. Woodhouse</t>
  </si>
  <si>
    <t>Robert  Stone</t>
  </si>
  <si>
    <t>Ola Rosling, Anna Rosling Rönnlund</t>
  </si>
  <si>
    <t>Alan Lightman</t>
  </si>
  <si>
    <t>Douglas A. Anderson, Michael Hague, Jemima Catlin</t>
  </si>
  <si>
    <t>Caleb Carr, Sestilio Montanelli, Jordan Stump</t>
  </si>
  <si>
    <t>Anthony Bonner</t>
  </si>
  <si>
    <t>Simon Schama, Richard Maxwell, نوشین ابراهیمی, Joshua Shelton, Brian Bartell</t>
  </si>
  <si>
    <t>Anthony Kerrigan, Anthony Bonner</t>
  </si>
  <si>
    <t>Stuart Hood</t>
  </si>
  <si>
    <t>Anne Perry, Lígia Junqueira, Mark Hallaq</t>
  </si>
  <si>
    <t>Роберт Джордан</t>
  </si>
  <si>
    <t>Richard Zenith</t>
  </si>
  <si>
    <t>Traber Burns</t>
  </si>
  <si>
    <t>William Morris, Seamus Heaney, Chauncey Brewster Tinker, Moriz Heyne, Alfred J. Wyatt, John Lesslie Hall</t>
  </si>
  <si>
    <t>Stephen Krensky, Miriam Margolyes, Joe L. Wheeler, Dean Morrissey, John Leech</t>
  </si>
  <si>
    <t>Ellen Karine Berg</t>
  </si>
  <si>
    <t>Pauline Nestor, Richard J. Dunn, Charlotte Brontë, John Bugg, Robert Heindel</t>
  </si>
  <si>
    <t>Jeffrey Eugenides, Douglas Tufano, Radu Tătărucă, Renata Tufano Ho</t>
  </si>
  <si>
    <t>Michael Mason, Margaret Smith, Grace Moore, Clara Eggink, Barnett Freedman, Wayne Josephson, F.H. Townsend, M. Von Borch, Alina Karaulli</t>
  </si>
  <si>
    <t>Vivien Jones, Anna Quindlen, Sergio Pitol, Charles Edmund Brock, Armando Lázaro y Ros</t>
  </si>
  <si>
    <t>Peter Carson, Mary Beard</t>
  </si>
  <si>
    <t>จารุจรรย์ คงมีสุข</t>
  </si>
  <si>
    <t>Marina Amaral</t>
  </si>
  <si>
    <t>R.J. Hollingdale, Michael Tanner</t>
  </si>
  <si>
    <t>Bogdan Rakić, Stephen M. Dickey</t>
  </si>
  <si>
    <t>A. John Rush, Brian F. Shaw, Gary Emery</t>
  </si>
  <si>
    <t>John W. Basore</t>
  </si>
  <si>
    <t>Margaret Jull Costa</t>
  </si>
  <si>
    <t>Tim Keown</t>
  </si>
  <si>
    <t>Benjamin DeMott, Maeve Binchy, Robert Calder</t>
  </si>
  <si>
    <t>Anna Brailovsky, Joseph Frank, Constance Garnett, Anne Hruska</t>
  </si>
  <si>
    <t>Virginia Woolf, Wolfgang Knape, Franciszek Mirandola, Samuli Suomalainen, Fatoş Kaya, Ute Thonissen</t>
  </si>
  <si>
    <t>A.S. Byatt, Richard Francis Burton</t>
  </si>
  <si>
    <t>Trevor Hastie, Robert Tibshirani, Daniela Witten</t>
  </si>
  <si>
    <t>Jeff Marquart</t>
  </si>
  <si>
    <t>Isabel Florence Hapgood, Walter J. Cobb, Lucie Konvičková</t>
  </si>
  <si>
    <t>Francis Ledoux, Maria Skibniewska</t>
  </si>
  <si>
    <t>Susana Martinez-Conde, Sandra Blakeslee</t>
  </si>
  <si>
    <t>Barnaby Edwards</t>
  </si>
  <si>
    <t>Robin Campbell</t>
  </si>
  <si>
    <t>Ezra F. Vogel, Chang Jae Baik, Jorge I. Domínguez, Yong-Sup Han, Sung Gul Hong, Paul D. Hutchcroft, Hyug Baeg Im, Byung-joon Jun, Eun Mee Kim, Hyung-A Kim, Joo Hong Kim, Taehyun Kim, Yong-Jick Kim, Jung-Hoon Lee, Min Yong Lee, Nae-Young Lee</t>
  </si>
  <si>
    <t>Arthur Schurig, Richard Howard, C.K. Scott Moncrieff, Robert Andrew Parker</t>
  </si>
  <si>
    <t>Isaac Kramnick, Gerald Bevan</t>
  </si>
  <si>
    <t>Chrisopher Ridgway</t>
  </si>
  <si>
    <t>John Baskett</t>
  </si>
  <si>
    <t>Gregory Rabassa, Jasna Mimica-Popović</t>
  </si>
  <si>
    <t>Florence Fehrenbach, Jerome Fehrenbach, Steven Rendall</t>
  </si>
  <si>
    <t>Robert Pool</t>
  </si>
  <si>
    <t>Siân Reynolds</t>
  </si>
  <si>
    <t>Siân Reynolds, 施康強、顧良</t>
  </si>
  <si>
    <t>Lauren McCann</t>
  </si>
  <si>
    <t>Timothy J. Nelson</t>
  </si>
  <si>
    <t>Zach Weinersmith</t>
  </si>
  <si>
    <t>Jozefo Horvath, Gordon Tisher</t>
  </si>
  <si>
    <t>Olivia Fraser</t>
  </si>
  <si>
    <t>Ovie Carter</t>
  </si>
  <si>
    <t>Ovie Carter, Hakim Hasan</t>
  </si>
  <si>
    <t>Daniel Defoe, Manuel Schonhorn, Charles   Johnson</t>
  </si>
  <si>
    <t>Elizabeth Knight</t>
  </si>
  <si>
    <t>James Martin, Michael Kennedy</t>
  </si>
  <si>
    <t>Charles Faint, Leo  Jenkins, Matthew Sanders, Mat Best</t>
  </si>
  <si>
    <t>Sophie Gilmartin</t>
  </si>
  <si>
    <t>Julian Thompson</t>
  </si>
  <si>
    <t>Ruth Rendell</t>
  </si>
  <si>
    <t>David Skilton, Louis Auchincloss, Robin Gilmour</t>
  </si>
  <si>
    <t>Kent Richmond, Henry Irving, Barbara A. Mowat, Henry Norman Hudson, Frederick S. Boas, Paul Werstine, Ebenezer Charlton Black, Robert          Jackson, Gail Kern Paster</t>
  </si>
  <si>
    <t>Harold Bloom, Christopher Bigsby</t>
  </si>
  <si>
    <t>Stanley Corngold</t>
  </si>
  <si>
    <t>Roger Rees, محمد فريد أبو حديد, Charles Wallace French, George        Smith</t>
  </si>
  <si>
    <t>Burton Raffel, Jonnie Patricia Mobley, Rod Espinosa, William Allan Neilson</t>
  </si>
  <si>
    <t>Frédéric Dumas</t>
  </si>
  <si>
    <t>Robert B. Leighton, Matthew L. Sands</t>
  </si>
  <si>
    <t>Félix Guattari, Brian Massumi</t>
  </si>
  <si>
    <t>Félix Guattari, Robert Hurley, Mark Seem, Helen R. Lane</t>
  </si>
  <si>
    <t>William Weaver</t>
  </si>
  <si>
    <t>William Weaver, Inga Tuliševskaitė</t>
  </si>
  <si>
    <t>Charles Tandy, R. Michael Perry</t>
  </si>
  <si>
    <t>Ann Druyan</t>
  </si>
  <si>
    <t>Stefano Tovaglieri</t>
  </si>
  <si>
    <t>Darren Aronofsky, Richard Price</t>
  </si>
  <si>
    <t>Jan Morris</t>
  </si>
  <si>
    <t>Richard Pevear, Philip Bates, William Barrow, August Zoller, Marisa Zini, Moshe Ukle, Pierre Toutain-Dorbec, John      Lee, Jacques Georges Clemenc Le Clercq, Natalie Montoto, S.M. Sheley, Daniel Rasmusson, Louis Jourdan, Walter Covell, Michael Page, Brett Helquist, Michael York, Sylvie Thorel-Cailleteau, Milo Winter, Bill Homewood, Arthur Paul John Charles James Gore Sudley, S.N. Rizvi, Giorgio Manganelli, William Robson, Isabel Ely Lord, Александр Дюма</t>
  </si>
  <si>
    <t>Robert Fagles, Andrew Lang, Alexander Pope, Allen Mandelbaum, George Chapman, Bernard Knox, Philip Stanhope Worsley, William Walter Merry, Ιάκωβος Πολυλάς, Otmar Vaňorný, Samuel Butler, Richard Hooper, Gilbert Wakefield</t>
  </si>
  <si>
    <t>Michael Blevins</t>
  </si>
  <si>
    <t>Lawrence Collins, Martin Schweitzer</t>
  </si>
  <si>
    <t>Alexandra Fuller</t>
  </si>
  <si>
    <t>Anthony Brandt</t>
  </si>
  <si>
    <t>Warren Goldstein</t>
  </si>
  <si>
    <t>Jon Land, Lindsay Preston</t>
  </si>
  <si>
    <t>Marisa Bowe, Sabin Streeter</t>
  </si>
  <si>
    <t>Martin J. Price</t>
  </si>
  <si>
    <t>Greg Campbell</t>
  </si>
  <si>
    <t>Stan Skinner</t>
  </si>
  <si>
    <t>Brian W. Aldiss, Bruce Sterling, Michael Glencross, Žiulis Vernas, Cornelia Marinescu, George M. Towle</t>
  </si>
  <si>
    <t>Christopher Drew, Annette Lawrence Drew</t>
  </si>
  <si>
    <t>Andrew Hudson</t>
  </si>
  <si>
    <t>William Hoffer</t>
  </si>
  <si>
    <t>Quentin Blake</t>
  </si>
  <si>
    <t>Johnny Heller</t>
  </si>
  <si>
    <t>Harold Bloom, Andrew Delbanco, Tom Quirk, Bill Bailey, William Hootkins, Rockwell Kent, Eric Scott Fisher, Amanda Lee, Anton Lomaev</t>
  </si>
  <si>
    <t>Hugh Williams, Buck Schirner</t>
  </si>
  <si>
    <t>Natasha Regan</t>
  </si>
  <si>
    <t>Simon Blackburn</t>
  </si>
  <si>
    <t>Walter Kaufmann</t>
  </si>
  <si>
    <t>هنري كيسنجر</t>
  </si>
  <si>
    <t>Charlotte Gordon</t>
  </si>
  <si>
    <t>William J. Connell, Rufus Goodwin, W.K. Marriott, Μαρία Κασωτάκη, Benjamin Martinez, Denis Daly</t>
  </si>
  <si>
    <t>George Clayton Johnson, Dan Simmons, Dennis Etchison</t>
  </si>
  <si>
    <t>Marvin Minsky</t>
  </si>
  <si>
    <t>Loren W. Christensen, Gavin de Becker</t>
  </si>
  <si>
    <t>Gordana Vučićević, Tatjana Bižić</t>
  </si>
  <si>
    <t>Torstein Bugge Høverstad</t>
  </si>
  <si>
    <t>Anthony J. Hassall</t>
  </si>
  <si>
    <t>Timothy Basil Ering</t>
  </si>
  <si>
    <t>George F. Dole, Bernhard Lang</t>
  </si>
  <si>
    <t>H.T. Willetts, Max Hayward, Ronald Hingley, Leopold Labedz</t>
  </si>
  <si>
    <t>Arnold Kotler</t>
  </si>
  <si>
    <t>Rasih Güran, Božidar Marković, Γουίλιαμ Φώκνερ, Τάκης Μενδράκος</t>
  </si>
  <si>
    <t>Patrick Robinson</t>
  </si>
  <si>
    <t>Robert Thompson, Peter Bart</t>
  </si>
  <si>
    <t>Guy Cardwell, E.W. Kemble, John Seelye, Walter Trier, Tom Wilson, William Little Hughes</t>
  </si>
  <si>
    <t>Robert A. Maguire, Isabel Florence Hapgood</t>
  </si>
  <si>
    <t>N.C. Wyeth, Kara Shallenberg, Mark F. Smith, Ειρήνη Παϊδούση, John D. Seelye, بیتا ابراهیمی, Βασίλης Γρίβας</t>
  </si>
  <si>
    <t>Norman MacAfee, Charles E. Wilbour, Lee Fahnestock, Isabel Florence Hapgood</t>
  </si>
  <si>
    <t>Lee Gruenfeld</t>
  </si>
  <si>
    <t>Amanda Lee, Susie Berneis</t>
  </si>
  <si>
    <t>Scott Berry</t>
  </si>
  <si>
    <t>Mariantonietta Peru</t>
  </si>
  <si>
    <t>Michael Eliot Howard, David Timson, James John Graham, Peter Paret, Lucy Scott</t>
  </si>
  <si>
    <t>Anthony Sattin</t>
  </si>
  <si>
    <t>Murray Gell-Mann, Kenneth Arrow, W. Brian Arthur, John H. Holland, Richard Lewontin, Harold Morowitz, Jessica C. Flack, Jennifer Dunne, Geoffrey West</t>
  </si>
  <si>
    <t>Rustichello da Pisa, Henry Yule</t>
  </si>
  <si>
    <t>Richard L. Hudson</t>
  </si>
  <si>
    <t>James Roy Newman, Douglas R. Hofstadter</t>
  </si>
  <si>
    <t>Evelyn Waugh</t>
  </si>
  <si>
    <t>Edward J. Calabrese</t>
  </si>
  <si>
    <t>Jon Scieszka, Scott McKowen, Tim Scoggins, Arthur Pober</t>
  </si>
  <si>
    <t>James Morrison</t>
  </si>
  <si>
    <t>Edward E. Ericson Jr.</t>
  </si>
  <si>
    <t>Sylvie Durastanti</t>
  </si>
  <si>
    <t>Ralph Steadman</t>
  </si>
  <si>
    <t>Mark Bramhall</t>
  </si>
  <si>
    <t>Martin Pegler</t>
  </si>
  <si>
    <t>William Dean Howells, Robert DeMaria Jr., Claude Julien Rawson, John Mitford, George Dennis, Sam Ngo, Joshua Shelton, Louis Rhead, Ian Higgins, William Taylor</t>
  </si>
  <si>
    <t>Michael Casey</t>
  </si>
  <si>
    <t>Brian Murdoch, Arthur Wesley Wheen</t>
  </si>
  <si>
    <t>John Cullen</t>
  </si>
  <si>
    <t>Jake McNiece</t>
  </si>
  <si>
    <t>Kim Stanley Robinson, David Colacci, سمیه شکرزاده, Julio Verne</t>
  </si>
  <si>
    <t>Jane Zielonko</t>
  </si>
  <si>
    <t>Gary Brozek</t>
  </si>
  <si>
    <t>Jason Amerine</t>
  </si>
  <si>
    <t>Dylan Thuras, Ella Morton, Maciej Potulny</t>
  </si>
  <si>
    <t>Guy Cardwell, Ivan Kušan, Amanda Lee, Mark Hallaq, Duygu Uğur, John Seelye</t>
  </si>
  <si>
    <t>Barry Fox, Irina Henegar</t>
  </si>
  <si>
    <t>Mary GrandPré</t>
  </si>
  <si>
    <t>Mary GrandPré, Jim Kay</t>
  </si>
  <si>
    <t>Mary GrandPré, Zita Marienė, Nijolė Lipeikaitė</t>
  </si>
  <si>
    <t>David Povilaitis, Martin Gardner</t>
  </si>
  <si>
    <t>Paul Werstine, Lucy Fitch Perkins, Arthur Rackham, Alan Durband, Roma Gill, Wolfgang Clemen, Barbara A. Mowat, حسن محمود, أنطوان مشاطي, Catherine Belsey, محمد شفيق غربال, محمد بدران</t>
  </si>
  <si>
    <t>Alfred Liebfeld</t>
  </si>
  <si>
    <t>William L. Simon, Steve Wozniak</t>
  </si>
  <si>
    <t>Bloomsbury Continuum</t>
  </si>
  <si>
    <t>Harper Perennial</t>
  </si>
  <si>
    <t>Broadway Books</t>
  </si>
  <si>
    <t>Vintage Crime/Black Lizard</t>
  </si>
  <si>
    <t>Free Press</t>
  </si>
  <si>
    <t>Ballantine Books</t>
  </si>
  <si>
    <t>Vintage Classics</t>
  </si>
  <si>
    <t>NYRB Classics</t>
  </si>
  <si>
    <t>Head of Zeus</t>
  </si>
  <si>
    <t>Bloomsbury Publishing</t>
  </si>
  <si>
    <t>Custom House</t>
  </si>
  <si>
    <t>Sheba Blake Publishing</t>
  </si>
  <si>
    <t>http://www.scaryforkids.com/</t>
  </si>
  <si>
    <t>Stripe Press</t>
  </si>
  <si>
    <t>Penguin Books</t>
  </si>
  <si>
    <t>Harvard Business Review Press</t>
  </si>
  <si>
    <t>Portfolio</t>
  </si>
  <si>
    <t>Knopf</t>
  </si>
  <si>
    <t>Dutton</t>
  </si>
  <si>
    <t>Sentinel</t>
  </si>
  <si>
    <t>Princeton University Press</t>
  </si>
  <si>
    <t>Ashgate</t>
  </si>
  <si>
    <t>Yale University Press</t>
  </si>
  <si>
    <t>Oxford University Press</t>
  </si>
  <si>
    <t>Infinity Publishing</t>
  </si>
  <si>
    <t>Cambridge University Press</t>
  </si>
  <si>
    <t>Liberty Fund Inc.</t>
  </si>
  <si>
    <t>Harper</t>
  </si>
  <si>
    <t>Taschen</t>
  </si>
  <si>
    <t>Garland Science</t>
  </si>
  <si>
    <t>Harper Business</t>
  </si>
  <si>
    <t>Harper Perennial Modern Classics</t>
  </si>
  <si>
    <t>Bloomsbury Publishing PLC</t>
  </si>
  <si>
    <t>Vintage</t>
  </si>
  <si>
    <t>Granta Books</t>
  </si>
  <si>
    <t>The MIT Press</t>
  </si>
  <si>
    <t>New York Review Books</t>
  </si>
  <si>
    <t>Houghton Mifflin Harcourt</t>
  </si>
  <si>
    <t>Picador</t>
  </si>
  <si>
    <t>Hardwired</t>
  </si>
  <si>
    <t>Viking</t>
  </si>
  <si>
    <t>Amberley Publishing</t>
  </si>
  <si>
    <t>W. W. Norton  Company</t>
  </si>
  <si>
    <t>Random House</t>
  </si>
  <si>
    <t>Hill &amp; Wang</t>
  </si>
  <si>
    <t>Island Press</t>
  </si>
  <si>
    <t>Gestalten</t>
  </si>
  <si>
    <t>Chapman and Hall/CRC</t>
  </si>
  <si>
    <t>Harcourt</t>
  </si>
  <si>
    <t>Dover Publications</t>
  </si>
  <si>
    <t>Lothian Books</t>
  </si>
  <si>
    <t>PublicAffairs</t>
  </si>
  <si>
    <t>MIT Press</t>
  </si>
  <si>
    <t>Signet</t>
  </si>
  <si>
    <t>Penguin Press</t>
  </si>
  <si>
    <t>Addison Wesley Publishing Co. (Reading, MA et al.)</t>
  </si>
  <si>
    <t>University of Chicago Press</t>
  </si>
  <si>
    <t>Doubleday Books</t>
  </si>
  <si>
    <t>Little Brown and Company</t>
  </si>
  <si>
    <t>McGraw-Hill Professional Publishing</t>
  </si>
  <si>
    <t>Cornell University Press</t>
  </si>
  <si>
    <t>Harvard University Press</t>
  </si>
  <si>
    <t>Collins</t>
  </si>
  <si>
    <t>Tor Science Fiction</t>
  </si>
  <si>
    <t>Melville House Publishing</t>
  </si>
  <si>
    <t>Oxford University Press, USA</t>
  </si>
  <si>
    <t>Faber &amp; Faber</t>
  </si>
  <si>
    <t>Dent</t>
  </si>
  <si>
    <t>Scribner</t>
  </si>
  <si>
    <t>Belknap Press</t>
  </si>
  <si>
    <t>Harpercollins</t>
  </si>
  <si>
    <t>HarperCollins Publishers</t>
  </si>
  <si>
    <t>Digireads.com</t>
  </si>
  <si>
    <t>Avon Books</t>
  </si>
  <si>
    <t>Delta</t>
  </si>
  <si>
    <t>Mandolin</t>
  </si>
  <si>
    <t>Penguin</t>
  </si>
  <si>
    <t>Building the Elite</t>
  </si>
  <si>
    <t>Wisdom Publications</t>
  </si>
  <si>
    <t>Crown Publishers</t>
  </si>
  <si>
    <t>Harper Perennial (HarperCollins)</t>
  </si>
  <si>
    <t>Flatiron Books</t>
  </si>
  <si>
    <t>Harriman House</t>
  </si>
  <si>
    <t>Hard Press</t>
  </si>
  <si>
    <t>University of Hawaii Press</t>
  </si>
  <si>
    <t>Little, Brown</t>
  </si>
  <si>
    <t>Business Plus</t>
  </si>
  <si>
    <t>Delacorte Press</t>
  </si>
  <si>
    <t>Basic Books (AZ)</t>
  </si>
  <si>
    <t>University of Georgia Press</t>
  </si>
  <si>
    <t>Berkley Trade</t>
  </si>
  <si>
    <t>Ace</t>
  </si>
  <si>
    <t>Everyman's Library</t>
  </si>
  <si>
    <t>North River Press</t>
  </si>
  <si>
    <t>Riverhead Books</t>
  </si>
  <si>
    <t>Del Rey/Ballantine Books</t>
  </si>
  <si>
    <t>Palgrave MacMillan</t>
  </si>
  <si>
    <t>Butterworth-Heinemann</t>
  </si>
  <si>
    <t>Charnel House</t>
  </si>
  <si>
    <t>The Bodley Head</t>
  </si>
  <si>
    <t>Walker Books</t>
  </si>
  <si>
    <t>Simon &amp; Schuster</t>
  </si>
  <si>
    <t>Farrar, Straus and Giroux</t>
  </si>
  <si>
    <t>Harmony</t>
  </si>
  <si>
    <t>Spectra</t>
  </si>
  <si>
    <t>Bantam Spectra</t>
  </si>
  <si>
    <t>Spectra Books</t>
  </si>
  <si>
    <t>Bantam Doubleday Dell Publishing Group</t>
  </si>
  <si>
    <t>TOR</t>
  </si>
  <si>
    <t>Gallery / Saga Press</t>
  </si>
  <si>
    <t>Amazon Crossing</t>
  </si>
  <si>
    <t>Mariner Books</t>
  </si>
  <si>
    <t>Random House Large Print Publishing</t>
  </si>
  <si>
    <t>Crown Publishing Group (NY)</t>
  </si>
  <si>
    <t>University of New Mexico Press</t>
  </si>
  <si>
    <t>Trinity Foundation</t>
  </si>
  <si>
    <t>Anchor</t>
  </si>
  <si>
    <t>Black Sparrow Press</t>
  </si>
  <si>
    <t>US Naval Institute Press</t>
  </si>
  <si>
    <t>O'Reilly Media</t>
  </si>
  <si>
    <t>Createspace Independent Publishing Platform</t>
  </si>
  <si>
    <t>Scientific American / Farrar, Straus and Giroux</t>
  </si>
  <si>
    <t xml:space="preserve"> CreateSpace</t>
  </si>
  <si>
    <t>Stanford University Press</t>
  </si>
  <si>
    <t>Springer</t>
  </si>
  <si>
    <t>Simon  Schuster</t>
  </si>
  <si>
    <t>Columbia University Press</t>
  </si>
  <si>
    <t>Univ Of Minnesota Press</t>
  </si>
  <si>
    <t>New Directions Publishing Corporation</t>
  </si>
  <si>
    <t>Headline</t>
  </si>
  <si>
    <t>12by3 Press</t>
  </si>
  <si>
    <t>Wiley</t>
  </si>
  <si>
    <t>Grove Press</t>
  </si>
  <si>
    <t>Holmes &amp; Meier Publishers</t>
  </si>
  <si>
    <t>Fawcett</t>
  </si>
  <si>
    <t>No Starch Press</t>
  </si>
  <si>
    <t>Hippocampus Press</t>
  </si>
  <si>
    <t>Copper Canyon Press</t>
  </si>
  <si>
    <t>Jonathan Cape</t>
  </si>
  <si>
    <t>Watermark Publications (UK) Ltd</t>
  </si>
  <si>
    <t>Counterpoint Press</t>
  </si>
  <si>
    <t>Picador USA</t>
  </si>
  <si>
    <t>Basic Books</t>
  </si>
  <si>
    <t>University of Arizona Press</t>
  </si>
  <si>
    <t>Henry Holt &amp; Company</t>
  </si>
  <si>
    <t>Alfred A. Knopf</t>
  </si>
  <si>
    <t>Simon &amp; Schuster; Media Tie-In edition</t>
  </si>
  <si>
    <t>University of California Press</t>
  </si>
  <si>
    <t>Tor Books</t>
  </si>
  <si>
    <t>Mercury Press Inc.</t>
  </si>
  <si>
    <t>Penguin Classics</t>
  </si>
  <si>
    <t>The Lyons Press</t>
  </si>
  <si>
    <t>Poliquin Group</t>
  </si>
  <si>
    <t>Oxford University Press, Inc.</t>
  </si>
  <si>
    <t>Pantheon Books</t>
  </si>
  <si>
    <t>Night Shade Books</t>
  </si>
  <si>
    <t>Random House Value Publishing</t>
  </si>
  <si>
    <t xml:space="preserve">Prager Tagblatt </t>
  </si>
  <si>
    <t>Creative Education</t>
  </si>
  <si>
    <t>Routledge</t>
  </si>
  <si>
    <t>BookSurge</t>
  </si>
  <si>
    <t>Modern Library</t>
  </si>
  <si>
    <t>Globe Pequot</t>
  </si>
  <si>
    <t>Fawcett Books</t>
  </si>
  <si>
    <t>Sterling</t>
  </si>
  <si>
    <t>Atria Books</t>
  </si>
  <si>
    <t>St. Martin's Press</t>
  </si>
  <si>
    <t>HarperCollins</t>
  </si>
  <si>
    <t>Bantam Books</t>
  </si>
  <si>
    <t>Citadel</t>
  </si>
  <si>
    <t>Carroll &amp; Graf Publishers</t>
  </si>
  <si>
    <t>El Leon Literary Arts</t>
  </si>
  <si>
    <t>Dell Publishing Company</t>
  </si>
  <si>
    <t>Frank Cass Publishers</t>
  </si>
  <si>
    <t>Tagari Publications</t>
  </si>
  <si>
    <t>Harper &amp; Row (NY)</t>
  </si>
  <si>
    <t>iBooks</t>
  </si>
  <si>
    <t>Aegypan Books</t>
  </si>
  <si>
    <t>Signet Classic</t>
  </si>
  <si>
    <t>Bantam Classics</t>
  </si>
  <si>
    <t>Johns Hopkins University Press</t>
  </si>
  <si>
    <t>Orbis Books</t>
  </si>
  <si>
    <t>BenBella Books</t>
  </si>
  <si>
    <t>Mountain Imagery</t>
  </si>
  <si>
    <t>YMAA Publication Center</t>
  </si>
  <si>
    <t>Institute for the Study of Gambling, UNR</t>
  </si>
  <si>
    <t>Yellow Kite</t>
  </si>
  <si>
    <t>Pierides Press</t>
  </si>
  <si>
    <t>Allen Lane</t>
  </si>
  <si>
    <t>Donning Company Publishers</t>
  </si>
  <si>
    <t>Tom Doherty Associates Tor Books</t>
  </si>
  <si>
    <t>University Press of Kansas</t>
  </si>
  <si>
    <t>Vintage Books USA</t>
  </si>
  <si>
    <t>W.W. Norton &amp; Company, Inc.</t>
  </si>
  <si>
    <t>Atlan Formularies</t>
  </si>
  <si>
    <t>Festering Publications</t>
  </si>
  <si>
    <t>Assouline Publishing Corporation</t>
  </si>
  <si>
    <t>William Morrow &amp; Company</t>
  </si>
  <si>
    <t>William Collins</t>
  </si>
  <si>
    <t>Harper Voyager</t>
  </si>
  <si>
    <t>Urbanomic</t>
  </si>
  <si>
    <t>Avid Reader Press / Simon  Schuster</t>
  </si>
  <si>
    <t>Little Brown</t>
  </si>
  <si>
    <t>John Wiley &amp; Sons</t>
  </si>
  <si>
    <t>StrongFirst, Inc.</t>
  </si>
  <si>
    <t>Sounds True</t>
  </si>
  <si>
    <t xml:space="preserve">Ecco </t>
  </si>
  <si>
    <t>Liveright</t>
  </si>
  <si>
    <t>Ninth of November</t>
  </si>
  <si>
    <t>Self-Published</t>
  </si>
  <si>
    <t>Indiana University Press</t>
  </si>
  <si>
    <t>Arcade Publishing</t>
  </si>
  <si>
    <t>TarcherPerigee</t>
  </si>
  <si>
    <t>NCUP</t>
  </si>
  <si>
    <t>Washington Square Press</t>
  </si>
  <si>
    <t>Gollancz</t>
  </si>
  <si>
    <t>Metropolitan Books/Henry Holt (NY)</t>
  </si>
  <si>
    <t>Praeger</t>
  </si>
  <si>
    <t>Knopf Publishing Group</t>
  </si>
  <si>
    <t>Human Kinetics Publishers</t>
  </si>
  <si>
    <t>Pegasus Books</t>
  </si>
  <si>
    <t>Orion Publishing Group</t>
  </si>
  <si>
    <t>Small Beer Press</t>
  </si>
  <si>
    <t>University Of Chicago Press</t>
  </si>
  <si>
    <t>Victory Belt Publishing</t>
  </si>
  <si>
    <t>Loompanics Unlimited</t>
  </si>
  <si>
    <t>Robfitz Ltd</t>
  </si>
  <si>
    <t>Grand Central Publishing</t>
  </si>
  <si>
    <t>Ace Books</t>
  </si>
  <si>
    <t>BookBaby</t>
  </si>
  <si>
    <t>Rutgers University Press</t>
  </si>
  <si>
    <t>Harper Perennial Classics</t>
  </si>
  <si>
    <t>Orbit</t>
  </si>
  <si>
    <t>The History Press</t>
  </si>
  <si>
    <t>Crown Publishing Group</t>
  </si>
  <si>
    <t>Outskirts Press</t>
  </si>
  <si>
    <t>Zediker Pub</t>
  </si>
  <si>
    <t>Penguin (Non-Classics)</t>
  </si>
  <si>
    <t>MIT Press (MA)</t>
  </si>
  <si>
    <t>Merrion Press</t>
  </si>
  <si>
    <t>UCL Press</t>
  </si>
  <si>
    <t>Fanfiction.net</t>
  </si>
  <si>
    <t>Subterranean Press</t>
  </si>
  <si>
    <t>Berkley</t>
  </si>
  <si>
    <t>Sinauer Associates</t>
  </si>
  <si>
    <t>University Press of the Pacific</t>
  </si>
  <si>
    <t>Cucumber Island Storytellers</t>
  </si>
  <si>
    <t>Back Bay Books</t>
  </si>
  <si>
    <t xml:space="preserve">William Morrow </t>
  </si>
  <si>
    <t>Text Publishing</t>
  </si>
  <si>
    <t>Unbound</t>
  </si>
  <si>
    <t>Avery</t>
  </si>
  <si>
    <t>Verba Mundi</t>
  </si>
  <si>
    <t>Hurst Publishers</t>
  </si>
  <si>
    <t>Pantheon</t>
  </si>
  <si>
    <t>Bloomsbury USA</t>
  </si>
  <si>
    <t>Knopf Doubleday Publishing Group</t>
  </si>
  <si>
    <t>Penguin Press HC, The</t>
  </si>
  <si>
    <t>Bantam Press</t>
  </si>
  <si>
    <t>Three Rivers Press</t>
  </si>
  <si>
    <t>Bantam</t>
  </si>
  <si>
    <t>A. S. Barnes</t>
  </si>
  <si>
    <t>Little, Brown and Company</t>
  </si>
  <si>
    <t>Beacon Press</t>
  </si>
  <si>
    <t>Presidio Press</t>
  </si>
  <si>
    <t>Zondervan</t>
  </si>
  <si>
    <t>Vintage International</t>
  </si>
  <si>
    <t>New American Library</t>
  </si>
  <si>
    <t xml:space="preserve">Penguin Books </t>
  </si>
  <si>
    <t>McGraw-Hill</t>
  </si>
  <si>
    <t>Egmont Books</t>
  </si>
  <si>
    <t>Del Rey</t>
  </si>
  <si>
    <t xml:space="preserve">Random House </t>
  </si>
  <si>
    <t>Random House Trade Paperbacks</t>
  </si>
  <si>
    <t>Del Rey Books</t>
  </si>
  <si>
    <t>Atlantic Monthly Press</t>
  </si>
  <si>
    <t>Clarion Books</t>
  </si>
  <si>
    <t>Berkley Books</t>
  </si>
  <si>
    <t>Penguin Audio</t>
  </si>
  <si>
    <t>Microsoft Press</t>
  </si>
  <si>
    <t>Times Books</t>
  </si>
  <si>
    <t>Portfolio Trade</t>
  </si>
  <si>
    <t>Metropolitan Books</t>
  </si>
  <si>
    <t>The Penguin Press</t>
  </si>
  <si>
    <t>Touchstone Books</t>
  </si>
  <si>
    <t>Green Integer</t>
  </si>
  <si>
    <t>Doubleday</t>
  </si>
  <si>
    <t>Anchor Books</t>
  </si>
  <si>
    <t>Potomac Books</t>
  </si>
  <si>
    <t>Little, Brown and Company/Hachette Book Group, Inc.</t>
  </si>
  <si>
    <t>Geddes &amp; Grosset</t>
  </si>
  <si>
    <t>Signet Book</t>
  </si>
  <si>
    <t>Plume</t>
  </si>
  <si>
    <t>NAL</t>
  </si>
  <si>
    <t>Norton</t>
  </si>
  <si>
    <t>Books on Tape</t>
  </si>
  <si>
    <t>Vintage Books</t>
  </si>
  <si>
    <t>Viking Books</t>
  </si>
  <si>
    <t>WaterBrook</t>
  </si>
  <si>
    <t>Signet Classics</t>
  </si>
  <si>
    <t>Penguin Classics Deluxe Editions</t>
  </si>
  <si>
    <t>Sceptre</t>
  </si>
  <si>
    <t xml:space="preserve">Harper Perennial Modern Classics </t>
  </si>
  <si>
    <t>Sarah Crichton Books</t>
  </si>
  <si>
    <t>Houghton Mifflin</t>
  </si>
  <si>
    <t>Open Road Media</t>
  </si>
  <si>
    <t>Barnes &amp; Noble</t>
  </si>
  <si>
    <t>Maxim Montoto</t>
  </si>
  <si>
    <t>David Fickling Books</t>
  </si>
  <si>
    <t>Zulu23 Group</t>
  </si>
  <si>
    <t>Andrews McMeel Publishing</t>
  </si>
  <si>
    <t>Heinemann Educational Books</t>
  </si>
  <si>
    <t>Orb Books</t>
  </si>
  <si>
    <t>Miramax Books</t>
  </si>
  <si>
    <t>Farrar, Strauss &amp; Giroux</t>
  </si>
  <si>
    <t>Ecco</t>
  </si>
  <si>
    <t>Crown Forum</t>
  </si>
  <si>
    <t>W.W. Norton &amp; Company</t>
  </si>
  <si>
    <t>Zola Books</t>
  </si>
  <si>
    <t xml:space="preserve">Bethany House Publishers </t>
  </si>
  <si>
    <t>MTV Books/Pocket Books</t>
  </si>
  <si>
    <t>Random House: Modern Library</t>
  </si>
  <si>
    <t>Great Courses Teaching Company</t>
  </si>
  <si>
    <t>Backeddy Books</t>
  </si>
  <si>
    <t>Charles Scribners and Sons</t>
  </si>
  <si>
    <t>Countryman Press</t>
  </si>
  <si>
    <t>HarperTorch</t>
  </si>
  <si>
    <t>Rand McNally</t>
  </si>
  <si>
    <t>Twelve</t>
  </si>
  <si>
    <t>Bodley Head</t>
  </si>
  <si>
    <t>Northwestern University Press</t>
  </si>
  <si>
    <t>Wharton School Press</t>
  </si>
  <si>
    <t>The Guilford Press</t>
  </si>
  <si>
    <t>Vigeo Press</t>
  </si>
  <si>
    <t>Serpent's Tail</t>
  </si>
  <si>
    <t>The Modern Library</t>
  </si>
  <si>
    <t>hpmor.com &amp; fanfiction.net</t>
  </si>
  <si>
    <t>Avon</t>
  </si>
  <si>
    <t>Warner Books</t>
  </si>
  <si>
    <t>Gavin de Becker Center for the Study and Reduction of Violence</t>
  </si>
  <si>
    <t>Jossey-Bass</t>
  </si>
  <si>
    <t>The Mitre Press</t>
  </si>
  <si>
    <t>Lonely Planet Publications</t>
  </si>
  <si>
    <t>Rowman &amp; Littlefield Publishers</t>
  </si>
  <si>
    <t>Casemate Publishers and Book Distributors LLC</t>
  </si>
  <si>
    <t>Harvard University Department of Comparative Literature</t>
  </si>
  <si>
    <t>Hogarth Press</t>
  </si>
  <si>
    <t>Viking Penguin</t>
  </si>
  <si>
    <t>HarperOne</t>
  </si>
  <si>
    <t>Peregrine Smith Books</t>
  </si>
  <si>
    <t>Seal Books</t>
  </si>
  <si>
    <t>CRC Press</t>
  </si>
  <si>
    <t>First Second</t>
  </si>
  <si>
    <t>Cambrian Moon</t>
  </si>
  <si>
    <t>Crown</t>
  </si>
  <si>
    <t>William Morrow</t>
  </si>
  <si>
    <t>Farrar Straus Giroux</t>
  </si>
  <si>
    <t xml:space="preserve">Bloomsbury Publishing </t>
  </si>
  <si>
    <t>Harvest Books</t>
  </si>
  <si>
    <t>Puffin Books (US/CAN)</t>
  </si>
  <si>
    <t>Touchstone</t>
  </si>
  <si>
    <t>Machine Intelligence Research Institute</t>
  </si>
  <si>
    <t>Harper Collins</t>
  </si>
  <si>
    <t>Time Lighthouse Publishing</t>
  </si>
  <si>
    <t>Wiley-Interscience</t>
  </si>
  <si>
    <t>Filiquarian Publishing, LLC.</t>
  </si>
  <si>
    <t>Hachette Books</t>
  </si>
  <si>
    <t>Mountaineers Books</t>
  </si>
  <si>
    <t>Blackside Publishing</t>
  </si>
  <si>
    <t xml:space="preserve">Penguin </t>
  </si>
  <si>
    <t>Heinemann Library</t>
  </si>
  <si>
    <t>Harper &amp; Row</t>
  </si>
  <si>
    <t>Addison Wesley</t>
  </si>
  <si>
    <t>Crown Business</t>
  </si>
  <si>
    <t>University of Minnesota Press</t>
  </si>
  <si>
    <t>Open Court</t>
  </si>
  <si>
    <t>Ria University Press</t>
  </si>
  <si>
    <t>Idelson Gnocchi Pub</t>
  </si>
  <si>
    <t>Da Capo Press</t>
  </si>
  <si>
    <t>Prometheus Books</t>
  </si>
  <si>
    <t>Harry N. Abrams</t>
  </si>
  <si>
    <t>Mainstream Publishing</t>
  </si>
  <si>
    <t>John Murray Publishers Ltd</t>
  </si>
  <si>
    <t xml:space="preserve">Penguin Classics </t>
  </si>
  <si>
    <t>Non Prophet, LLC</t>
  </si>
  <si>
    <t>W.W. Norton &amp; Company (NYC)</t>
  </si>
  <si>
    <t>Tauris Parke Paperbacks</t>
  </si>
  <si>
    <t>Friends of the Earth, Inc. (NY)</t>
  </si>
  <si>
    <t>National Geographic</t>
  </si>
  <si>
    <t>Random House Trade</t>
  </si>
  <si>
    <t>Post Hill Press</t>
  </si>
  <si>
    <t>Barnes &amp; Noble Books</t>
  </si>
  <si>
    <t>Union Square Press</t>
  </si>
  <si>
    <t>Amistad</t>
  </si>
  <si>
    <t>Gun Digest Books</t>
  </si>
  <si>
    <t>Faber</t>
  </si>
  <si>
    <t>William Morrow Paperbacks</t>
  </si>
  <si>
    <t>Helion &amp; Company</t>
  </si>
  <si>
    <t>Curly Brains Press</t>
  </si>
  <si>
    <t>Knopf Books for Young Readers</t>
  </si>
  <si>
    <t xml:space="preserve">Alfred A. Knopf </t>
  </si>
  <si>
    <t>Puffin Books</t>
  </si>
  <si>
    <t>The Magazine of Fantasy and Science Fiction</t>
  </si>
  <si>
    <t>Penguin/Twentieth Century Classics</t>
  </si>
  <si>
    <t>William Morrow; 1ST edition</t>
  </si>
  <si>
    <t>Wordsworth Classics</t>
  </si>
  <si>
    <t>Roc</t>
  </si>
  <si>
    <t xml:space="preserve">Tor Classics </t>
  </si>
  <si>
    <t>New in Chess</t>
  </si>
  <si>
    <t>Pan Books</t>
  </si>
  <si>
    <t>Arrow Books</t>
  </si>
  <si>
    <t>Holt McDougal</t>
  </si>
  <si>
    <t>Scarecrow Press</t>
  </si>
  <si>
    <t>Little Brown and Cmpany</t>
  </si>
  <si>
    <t>Zed Books</t>
  </si>
  <si>
    <t>Dante University of America Press</t>
  </si>
  <si>
    <t>Gauntlet Publications</t>
  </si>
  <si>
    <t>Deodand</t>
  </si>
  <si>
    <t>PPCT Research Publications</t>
  </si>
  <si>
    <t>Spiegel &amp; Grau</t>
  </si>
  <si>
    <t>Warner</t>
  </si>
  <si>
    <t>Penguin Books Ltd. (London)</t>
  </si>
  <si>
    <t xml:space="preserve">Simon &amp; Schuster </t>
  </si>
  <si>
    <t>Melville House</t>
  </si>
  <si>
    <t>Laurel Leaf</t>
  </si>
  <si>
    <t>Alfred A. Knopf Books for Young Readers</t>
  </si>
  <si>
    <t>Harcourt Books/Houghton Mifflin Harcourt Publishing Company</t>
  </si>
  <si>
    <t>New Press</t>
  </si>
  <si>
    <t>Harper &amp; Row, Publishers</t>
  </si>
  <si>
    <t>Beaufort Books/Ayer Publishing Co.</t>
  </si>
  <si>
    <t>Harper &amp; Brothers</t>
  </si>
  <si>
    <t>Simon Publications</t>
  </si>
  <si>
    <t>University of Queensland Pr (Australia)</t>
  </si>
  <si>
    <t>Candlewick Press</t>
  </si>
  <si>
    <t>Random House Children's Books</t>
  </si>
  <si>
    <t>Pierce</t>
  </si>
  <si>
    <t>New Century Edition</t>
  </si>
  <si>
    <t>Plume Books</t>
  </si>
  <si>
    <t>Parallax Press</t>
  </si>
  <si>
    <t>HarperPerennial / Perennial Classics</t>
  </si>
  <si>
    <t>US Tactical, Inc</t>
  </si>
  <si>
    <t>Alfred A. Knopf, Inc.</t>
  </si>
  <si>
    <t>Threshold Editions</t>
  </si>
  <si>
    <t>Profile Books</t>
  </si>
  <si>
    <t>Kingfisher</t>
  </si>
  <si>
    <t>Stadion Publishing Company, Inc.</t>
  </si>
  <si>
    <t>Flamingo</t>
  </si>
  <si>
    <t>Fsg Originals</t>
  </si>
  <si>
    <t>Villard</t>
  </si>
  <si>
    <t>Children's Classics</t>
  </si>
  <si>
    <t>One Life Defense LLC, Varg Freeborn</t>
  </si>
  <si>
    <t>Bloomsbury Press</t>
  </si>
  <si>
    <t>Serindia Publications</t>
  </si>
  <si>
    <t>Penguin Global</t>
  </si>
  <si>
    <t>Lonely Planet</t>
  </si>
  <si>
    <t>Pineland Productions/Vector Defensive Systems</t>
  </si>
  <si>
    <t>Pocket Books</t>
  </si>
  <si>
    <t>Star Trek</t>
  </si>
  <si>
    <t>Pocket Star Books</t>
  </si>
  <si>
    <t>Hamish Hamilton</t>
  </si>
  <si>
    <t>Eland</t>
  </si>
  <si>
    <t>Santa Fe Institute Press</t>
  </si>
  <si>
    <t>Public Domain Books</t>
  </si>
  <si>
    <t>Tarcher</t>
  </si>
  <si>
    <t>MX Publishing</t>
  </si>
  <si>
    <t>New York University Press</t>
  </si>
  <si>
    <t>Birlinn Limited</t>
  </si>
  <si>
    <t>Adventure Library</t>
  </si>
  <si>
    <t>Reaktion Books</t>
  </si>
  <si>
    <t>Signal</t>
  </si>
  <si>
    <t>Chronicle Books</t>
  </si>
  <si>
    <t>Robert Laffont</t>
  </si>
  <si>
    <t>Casemate Ipm</t>
  </si>
  <si>
    <t>Marguerite Jones Utley</t>
  </si>
  <si>
    <t>Weidenfeld &amp; Nicholson</t>
  </si>
  <si>
    <t>Brookings Institution Press</t>
  </si>
  <si>
    <t>Portfolio/Penguin</t>
  </si>
  <si>
    <t>Vintage/Ebury</t>
  </si>
  <si>
    <t>Lawrence Hill Books</t>
  </si>
  <si>
    <t>Nan A. Talese</t>
  </si>
  <si>
    <t>Harvill Press</t>
  </si>
  <si>
    <t>Dial Press</t>
  </si>
  <si>
    <t xml:space="preserve">Casemate Publishers </t>
  </si>
  <si>
    <t>Penguin Group</t>
  </si>
  <si>
    <t>Workman Publishing Company</t>
  </si>
  <si>
    <t>Addison-Wesley Professional</t>
  </si>
  <si>
    <t>Ember</t>
  </si>
  <si>
    <t>Alfred A. Knopf Borzoi Books</t>
  </si>
  <si>
    <t>Not Avail</t>
  </si>
  <si>
    <t>Arthur A. Levine Books</t>
  </si>
  <si>
    <t>Scholastic Inc.</t>
  </si>
  <si>
    <t>Scholastic</t>
  </si>
  <si>
    <t>Scholastic Inc</t>
  </si>
  <si>
    <t>Simon &amp; Schuster Paperbacks</t>
  </si>
  <si>
    <t>Thomas Nelson Inc</t>
  </si>
  <si>
    <t>Paperback</t>
  </si>
  <si>
    <t>Hardcover</t>
  </si>
  <si>
    <t>Kindle Edition</t>
  </si>
  <si>
    <t>ebook</t>
  </si>
  <si>
    <t>Mass Market Paperback</t>
  </si>
  <si>
    <t>Leather Bound</t>
  </si>
  <si>
    <t>Trade Paperback</t>
  </si>
  <si>
    <t>Unknown Binding</t>
  </si>
  <si>
    <t>Audio CD</t>
  </si>
  <si>
    <t>paper</t>
  </si>
  <si>
    <t>2022/08/20</t>
  </si>
  <si>
    <t>2022/08/13</t>
  </si>
  <si>
    <t>2022/08/08</t>
  </si>
  <si>
    <t>2020/04/29</t>
  </si>
  <si>
    <t>2022/03/06</t>
  </si>
  <si>
    <t>2021/11/14</t>
  </si>
  <si>
    <t>2021/11/04</t>
  </si>
  <si>
    <t>2021/10/03</t>
  </si>
  <si>
    <t>2021/09/15</t>
  </si>
  <si>
    <t>2021/09/04</t>
  </si>
  <si>
    <t>2021/09/01</t>
  </si>
  <si>
    <t>2021/07/17</t>
  </si>
  <si>
    <t>2021/06/19</t>
  </si>
  <si>
    <t>2021/06/03</t>
  </si>
  <si>
    <t>2021/06/01</t>
  </si>
  <si>
    <t>2021/05/24</t>
  </si>
  <si>
    <t>2021/03/06</t>
  </si>
  <si>
    <t>2021/02/12</t>
  </si>
  <si>
    <t>2021/02/09</t>
  </si>
  <si>
    <t>2021/02/06</t>
  </si>
  <si>
    <t>2021/02/07</t>
  </si>
  <si>
    <t>2021/01/24</t>
  </si>
  <si>
    <t>2021/01/19</t>
  </si>
  <si>
    <t>2021/01/10</t>
  </si>
  <si>
    <t>2021/01/07</t>
  </si>
  <si>
    <t>2020/12/10</t>
  </si>
  <si>
    <t>2020/11/11</t>
  </si>
  <si>
    <t>2020/07/08</t>
  </si>
  <si>
    <t>2020/09/12</t>
  </si>
  <si>
    <t>2020/08/21</t>
  </si>
  <si>
    <t>2020/08/19</t>
  </si>
  <si>
    <t>2020/08/16</t>
  </si>
  <si>
    <t>2020/07/24</t>
  </si>
  <si>
    <t>2020/06/29</t>
  </si>
  <si>
    <t>2020/06/15</t>
  </si>
  <si>
    <t>2020/06/14</t>
  </si>
  <si>
    <t>2020/06/07</t>
  </si>
  <si>
    <t>2020/06/05</t>
  </si>
  <si>
    <t>2020/05/23</t>
  </si>
  <si>
    <t>2020/05/18</t>
  </si>
  <si>
    <t>2020/05/20</t>
  </si>
  <si>
    <t>2020/05/19</t>
  </si>
  <si>
    <t>2020/05/07</t>
  </si>
  <si>
    <t>2020/05/14</t>
  </si>
  <si>
    <t>2020/05/16</t>
  </si>
  <si>
    <t>2020/05/11</t>
  </si>
  <si>
    <t>2020/02/25</t>
  </si>
  <si>
    <t>2020/03/29</t>
  </si>
  <si>
    <t>2020/04/14</t>
  </si>
  <si>
    <t>2020/03/25</t>
  </si>
  <si>
    <t>2020/03/24</t>
  </si>
  <si>
    <t>2020/03/19</t>
  </si>
  <si>
    <t>2019/12/15</t>
  </si>
  <si>
    <t>2020/03/10</t>
  </si>
  <si>
    <t>2020/03/09</t>
  </si>
  <si>
    <t>2020/02/23</t>
  </si>
  <si>
    <t>2020/02/20</t>
  </si>
  <si>
    <t>2020/02/08</t>
  </si>
  <si>
    <t>2020/01/30</t>
  </si>
  <si>
    <t>2020/01/28</t>
  </si>
  <si>
    <t>2020/01/23</t>
  </si>
  <si>
    <t>2020/01/18</t>
  </si>
  <si>
    <t>2020/01/05</t>
  </si>
  <si>
    <t>2019/12/29</t>
  </si>
  <si>
    <t>2019/12/26</t>
  </si>
  <si>
    <t>2019/12/21</t>
  </si>
  <si>
    <t>2019/11/28</t>
  </si>
  <si>
    <t>2019/11/17</t>
  </si>
  <si>
    <t>2019/11/14</t>
  </si>
  <si>
    <t>2019/10/31</t>
  </si>
  <si>
    <t>2019/09/23</t>
  </si>
  <si>
    <t>2019/09/17</t>
  </si>
  <si>
    <t>2019/09/10</t>
  </si>
  <si>
    <t>2022/07/03</t>
  </si>
  <si>
    <t>2022/08/16</t>
  </si>
  <si>
    <t>2022/07/24</t>
  </si>
  <si>
    <t>2022/08/14</t>
  </si>
  <si>
    <t>2020/08/26</t>
  </si>
  <si>
    <t>2022/04/21</t>
  </si>
  <si>
    <t>2022/08/09</t>
  </si>
  <si>
    <t>2022/08/05</t>
  </si>
  <si>
    <t>2022/02/12</t>
  </si>
  <si>
    <t>2017/12/22</t>
  </si>
  <si>
    <t>2022/07/31</t>
  </si>
  <si>
    <t>2020/07/30</t>
  </si>
  <si>
    <t>2022/07/23</t>
  </si>
  <si>
    <t>2022/07/22</t>
  </si>
  <si>
    <t>2022/07/21</t>
  </si>
  <si>
    <t>2022/07/16</t>
  </si>
  <si>
    <t>2022/07/11</t>
  </si>
  <si>
    <t>2022/07/02</t>
  </si>
  <si>
    <t>2019/08/25</t>
  </si>
  <si>
    <t>2019/08/24</t>
  </si>
  <si>
    <t>2022/05/29</t>
  </si>
  <si>
    <t>2022/05/27</t>
  </si>
  <si>
    <t>2022/05/22</t>
  </si>
  <si>
    <t>2022/05/15</t>
  </si>
  <si>
    <t>2022/05/14</t>
  </si>
  <si>
    <t>2022/04/28</t>
  </si>
  <si>
    <t>2019/12/22</t>
  </si>
  <si>
    <t>2022/04/25</t>
  </si>
  <si>
    <t>2022/04/24</t>
  </si>
  <si>
    <t>2022/04/22</t>
  </si>
  <si>
    <t>2022/04/20</t>
  </si>
  <si>
    <t>2022/04/19</t>
  </si>
  <si>
    <t>2022/04/12</t>
  </si>
  <si>
    <t>2022/04/11</t>
  </si>
  <si>
    <t>2022/04/10</t>
  </si>
  <si>
    <t>2022/04/08</t>
  </si>
  <si>
    <t>2022/04/05</t>
  </si>
  <si>
    <t>2022/04/03</t>
  </si>
  <si>
    <t>2022/03/23</t>
  </si>
  <si>
    <t>2022/03/20</t>
  </si>
  <si>
    <t>2022/03/15</t>
  </si>
  <si>
    <t>2022/03/14</t>
  </si>
  <si>
    <t>2022/03/08</t>
  </si>
  <si>
    <t>2022/03/07</t>
  </si>
  <si>
    <t>2020/12/26</t>
  </si>
  <si>
    <t>2022/03/01</t>
  </si>
  <si>
    <t>2022/02/28</t>
  </si>
  <si>
    <t>2022/02/20</t>
  </si>
  <si>
    <t>2022/02/11</t>
  </si>
  <si>
    <t>2021/11/29</t>
  </si>
  <si>
    <t>2022/01/19</t>
  </si>
  <si>
    <t>2022/01/13</t>
  </si>
  <si>
    <t>2022/01/02</t>
  </si>
  <si>
    <t>2021/12/28</t>
  </si>
  <si>
    <t>2021/12/25</t>
  </si>
  <si>
    <t>2021/12/15</t>
  </si>
  <si>
    <t>2021/12/13</t>
  </si>
  <si>
    <t>2021/12/06</t>
  </si>
  <si>
    <t>2021/11/24</t>
  </si>
  <si>
    <t>2021/11/21</t>
  </si>
  <si>
    <t>2021/11/20</t>
  </si>
  <si>
    <t>2021/11/18</t>
  </si>
  <si>
    <t>2021/10/23</t>
  </si>
  <si>
    <t>2021/10/24</t>
  </si>
  <si>
    <t>2021/10/20</t>
  </si>
  <si>
    <t>2021/10/17</t>
  </si>
  <si>
    <t>2021/10/16</t>
  </si>
  <si>
    <t>2021/10/10</t>
  </si>
  <si>
    <t>2021/10/05</t>
  </si>
  <si>
    <t>2021/09/16</t>
  </si>
  <si>
    <t>2021/09/27</t>
  </si>
  <si>
    <t>2021/05/20</t>
  </si>
  <si>
    <t>2021/08/21</t>
  </si>
  <si>
    <t>2021/01/08</t>
  </si>
  <si>
    <t>2021/08/23</t>
  </si>
  <si>
    <t>2021/08/14</t>
  </si>
  <si>
    <t>2021/08/06</t>
  </si>
  <si>
    <t>2021/08/01</t>
  </si>
  <si>
    <t>2021/07/30</t>
  </si>
  <si>
    <t>2021/07/26</t>
  </si>
  <si>
    <t>2021/07/23</t>
  </si>
  <si>
    <t>2021/07/19</t>
  </si>
  <si>
    <t>2021/07/12</t>
  </si>
  <si>
    <t>2021/06/23</t>
  </si>
  <si>
    <t>2021/07/05</t>
  </si>
  <si>
    <t>2021/06/29</t>
  </si>
  <si>
    <t>2021/06/21</t>
  </si>
  <si>
    <t>2020/08/10</t>
  </si>
  <si>
    <t>2021/02/20</t>
  </si>
  <si>
    <t>2021/06/09</t>
  </si>
  <si>
    <t>2021/06/05</t>
  </si>
  <si>
    <t>2021/06/04</t>
  </si>
  <si>
    <t>2020/09/03</t>
  </si>
  <si>
    <t>2021/02/11</t>
  </si>
  <si>
    <t>2021/05/23</t>
  </si>
  <si>
    <t>2021/05/17</t>
  </si>
  <si>
    <t>2021/05/15</t>
  </si>
  <si>
    <t>2021/05/11</t>
  </si>
  <si>
    <t>2021/05/10</t>
  </si>
  <si>
    <t>2021/05/09</t>
  </si>
  <si>
    <t>2021/05/08</t>
  </si>
  <si>
    <t>2021/05/01</t>
  </si>
  <si>
    <t>2021/04/23</t>
  </si>
  <si>
    <t>2021/04/20</t>
  </si>
  <si>
    <t>2021/04/09</t>
  </si>
  <si>
    <t>2021/04/07</t>
  </si>
  <si>
    <t>2021/03/25</t>
  </si>
  <si>
    <t>2021/03/20</t>
  </si>
  <si>
    <t>2021/03/16</t>
  </si>
  <si>
    <t>2021/03/15</t>
  </si>
  <si>
    <t>2021/03/14</t>
  </si>
  <si>
    <t>2021/03/13</t>
  </si>
  <si>
    <t>2021/03/05</t>
  </si>
  <si>
    <t>2021/03/02</t>
  </si>
  <si>
    <t>2021/03/01</t>
  </si>
  <si>
    <t>2021/02/27</t>
  </si>
  <si>
    <t>2021/02/26</t>
  </si>
  <si>
    <t>2021/02/25</t>
  </si>
  <si>
    <t>2021/02/23</t>
  </si>
  <si>
    <t>2021/02/08</t>
  </si>
  <si>
    <t>2021/02/19</t>
  </si>
  <si>
    <t>2021/02/18</t>
  </si>
  <si>
    <t>2021/02/16</t>
  </si>
  <si>
    <t>2021/02/15</t>
  </si>
  <si>
    <t>2021/02/13</t>
  </si>
  <si>
    <t>2020/04/24</t>
  </si>
  <si>
    <t>2021/01/25</t>
  </si>
  <si>
    <t>2021/02/01</t>
  </si>
  <si>
    <t>2021/02/05</t>
  </si>
  <si>
    <t>2021/02/04</t>
  </si>
  <si>
    <t>2021/01/26</t>
  </si>
  <si>
    <t>2020/04/05</t>
  </si>
  <si>
    <t>2021/01/23</t>
  </si>
  <si>
    <t>2021/01/21</t>
  </si>
  <si>
    <t>2021/01/16</t>
  </si>
  <si>
    <t>2021/01/14</t>
  </si>
  <si>
    <t>2021/01/13</t>
  </si>
  <si>
    <t>2021/01/12</t>
  </si>
  <si>
    <t>2020/12/17</t>
  </si>
  <si>
    <t>2021/01/09</t>
  </si>
  <si>
    <t>2020/07/05</t>
  </si>
  <si>
    <t>2020/09/16</t>
  </si>
  <si>
    <t>2021/01/05</t>
  </si>
  <si>
    <t>2021/01/02</t>
  </si>
  <si>
    <t>2020/12/31</t>
  </si>
  <si>
    <t>2020/12/30</t>
  </si>
  <si>
    <t>2020/12/27</t>
  </si>
  <si>
    <t>2020/12/25</t>
  </si>
  <si>
    <t>2020/12/24</t>
  </si>
  <si>
    <t>2020/12/22</t>
  </si>
  <si>
    <t>2020/12/20</t>
  </si>
  <si>
    <t>2020/12/19</t>
  </si>
  <si>
    <t>2020/12/16</t>
  </si>
  <si>
    <t>2020/12/15</t>
  </si>
  <si>
    <t>2020/12/13</t>
  </si>
  <si>
    <t>2020/12/12</t>
  </si>
  <si>
    <t>2020/12/01</t>
  </si>
  <si>
    <t>2020/11/29</t>
  </si>
  <si>
    <t>2020/11/27</t>
  </si>
  <si>
    <t>2020/11/26</t>
  </si>
  <si>
    <t>2020/11/24</t>
  </si>
  <si>
    <t>2020/11/15</t>
  </si>
  <si>
    <t>2020/11/14</t>
  </si>
  <si>
    <t>2020/11/13</t>
  </si>
  <si>
    <t>2020/10/24</t>
  </si>
  <si>
    <t>2020/11/10</t>
  </si>
  <si>
    <t>2020/11/09</t>
  </si>
  <si>
    <t>2020/11/08</t>
  </si>
  <si>
    <t>2020/11/06</t>
  </si>
  <si>
    <t>2020/10/31</t>
  </si>
  <si>
    <t>2020/10/30</t>
  </si>
  <si>
    <t>2020/10/29</t>
  </si>
  <si>
    <t>2020/10/28</t>
  </si>
  <si>
    <t>2020/10/19</t>
  </si>
  <si>
    <t>2020/10/18</t>
  </si>
  <si>
    <t>2017/12/26</t>
  </si>
  <si>
    <t>2019/08/22</t>
  </si>
  <si>
    <t>2019/08/23</t>
  </si>
  <si>
    <t>2019/11/27</t>
  </si>
  <si>
    <t>2019/11/29</t>
  </si>
  <si>
    <t>2019/12/28</t>
  </si>
  <si>
    <t>2020/02/22</t>
  </si>
  <si>
    <t>2020/03/31</t>
  </si>
  <si>
    <t>2020/04/17</t>
  </si>
  <si>
    <t>2020/08/24</t>
  </si>
  <si>
    <t>2020/08/18</t>
  </si>
  <si>
    <t>2020/10/16</t>
  </si>
  <si>
    <t>2020/10/12</t>
  </si>
  <si>
    <t>2020/10/08</t>
  </si>
  <si>
    <t>2020/10/07</t>
  </si>
  <si>
    <t>2020/10/06</t>
  </si>
  <si>
    <t>2020/10/02</t>
  </si>
  <si>
    <t>2020/09/22</t>
  </si>
  <si>
    <t>2020/09/17</t>
  </si>
  <si>
    <t>2020/08/02</t>
  </si>
  <si>
    <t>2020/09/10</t>
  </si>
  <si>
    <t>2020/09/06</t>
  </si>
  <si>
    <t>2020/09/04</t>
  </si>
  <si>
    <t>2020/09/01</t>
  </si>
  <si>
    <t>2020/08/30</t>
  </si>
  <si>
    <t>2020/08/29</t>
  </si>
  <si>
    <t>2020/08/27</t>
  </si>
  <si>
    <t>2020/08/23</t>
  </si>
  <si>
    <t>2020/07/12</t>
  </si>
  <si>
    <t>2020/08/15</t>
  </si>
  <si>
    <t>2020/08/11</t>
  </si>
  <si>
    <t>2020/08/08</t>
  </si>
  <si>
    <t>2020/08/06</t>
  </si>
  <si>
    <t>2020/07/28</t>
  </si>
  <si>
    <t>2020/07/25</t>
  </si>
  <si>
    <t>2020/07/27</t>
  </si>
  <si>
    <t>2020/01/17</t>
  </si>
  <si>
    <t>2020/07/23</t>
  </si>
  <si>
    <t>2020/07/22</t>
  </si>
  <si>
    <t>2020/07/21</t>
  </si>
  <si>
    <t>2020/07/20</t>
  </si>
  <si>
    <t>2020/07/18</t>
  </si>
  <si>
    <t>2020/07/10</t>
  </si>
  <si>
    <t>2020/05/21</t>
  </si>
  <si>
    <t>2020/07/09</t>
  </si>
  <si>
    <t>2020/07/06</t>
  </si>
  <si>
    <t>2020/07/04</t>
  </si>
  <si>
    <t>2020/06/30</t>
  </si>
  <si>
    <t>2020/03/15</t>
  </si>
  <si>
    <t>2020/06/26</t>
  </si>
  <si>
    <t>2020/06/24</t>
  </si>
  <si>
    <t>2020/06/18</t>
  </si>
  <si>
    <t>2020/06/17</t>
  </si>
  <si>
    <t>2020/06/16</t>
  </si>
  <si>
    <t>2020/06/12</t>
  </si>
  <si>
    <t>2020/06/06</t>
  </si>
  <si>
    <t>2020/06/01</t>
  </si>
  <si>
    <t>2020/05/29</t>
  </si>
  <si>
    <t>2020/05/28</t>
  </si>
  <si>
    <t>2020/05/24</t>
  </si>
  <si>
    <t>2020/05/10</t>
  </si>
  <si>
    <t>2020/05/22</t>
  </si>
  <si>
    <t>2020/04/12</t>
  </si>
  <si>
    <t>2019/12/25</t>
  </si>
  <si>
    <t>2020/05/17</t>
  </si>
  <si>
    <t>2020/05/15</t>
  </si>
  <si>
    <t>2020/04/03</t>
  </si>
  <si>
    <t>2020/04/28</t>
  </si>
  <si>
    <t>2020/04/26</t>
  </si>
  <si>
    <t>2020/04/21</t>
  </si>
  <si>
    <t>2020/04/19</t>
  </si>
  <si>
    <t>2020/04/15</t>
  </si>
  <si>
    <t>2020/02/19</t>
  </si>
  <si>
    <t>2020/02/28</t>
  </si>
  <si>
    <t>2020/04/11</t>
  </si>
  <si>
    <t>2020/04/10</t>
  </si>
  <si>
    <t>2020/04/01</t>
  </si>
  <si>
    <t>2020/03/28</t>
  </si>
  <si>
    <t>2020/03/27</t>
  </si>
  <si>
    <t>2020/03/23</t>
  </si>
  <si>
    <t>2020/03/22</t>
  </si>
  <si>
    <t>2020/03/16</t>
  </si>
  <si>
    <t>2020/03/08</t>
  </si>
  <si>
    <t>2020/01/21</t>
  </si>
  <si>
    <t>2020/02/21</t>
  </si>
  <si>
    <t>2020/02/17</t>
  </si>
  <si>
    <t>2020/02/15</t>
  </si>
  <si>
    <t>2020/02/11</t>
  </si>
  <si>
    <t>2020/01/26</t>
  </si>
  <si>
    <t>2019/12/27</t>
  </si>
  <si>
    <t>2020/01/16</t>
  </si>
  <si>
    <t>2020/01/01</t>
  </si>
  <si>
    <t>2019/12/30</t>
  </si>
  <si>
    <t>2019/12/02</t>
  </si>
  <si>
    <t>2019/12/23</t>
  </si>
  <si>
    <t>2019/12/17</t>
  </si>
  <si>
    <t>2019/12/06</t>
  </si>
  <si>
    <t>2019/11/18</t>
  </si>
  <si>
    <t>2019/11/15</t>
  </si>
  <si>
    <t>2019/11/10</t>
  </si>
  <si>
    <t>2019/10/30</t>
  </si>
  <si>
    <t>2019/10/18</t>
  </si>
  <si>
    <t>2019/10/13</t>
  </si>
  <si>
    <t>2019/10/10</t>
  </si>
  <si>
    <t>2019/10/08</t>
  </si>
  <si>
    <t>2019/10/05</t>
  </si>
  <si>
    <t>2019/10/01</t>
  </si>
  <si>
    <t>2019/09/21</t>
  </si>
  <si>
    <t>2019/09/03</t>
  </si>
  <si>
    <t>2019/09/13</t>
  </si>
  <si>
    <t>2019/09/11</t>
  </si>
  <si>
    <t>2019/09/02</t>
  </si>
  <si>
    <t>2019/08/28</t>
  </si>
  <si>
    <t>favorites</t>
  </si>
  <si>
    <t>to-read</t>
  </si>
  <si>
    <t>currently-reading</t>
  </si>
  <si>
    <t>favorites (#6)</t>
  </si>
  <si>
    <t>to-read (#745)</t>
  </si>
  <si>
    <t>to-read (#744)</t>
  </si>
  <si>
    <t>to-read (#743)</t>
  </si>
  <si>
    <t>currently-reading (#5)</t>
  </si>
  <si>
    <t>to-read (#742)</t>
  </si>
  <si>
    <t>currently-reading (#4)</t>
  </si>
  <si>
    <t>to-read (#741)</t>
  </si>
  <si>
    <t>to-read (#740)</t>
  </si>
  <si>
    <t>to-read (#739)</t>
  </si>
  <si>
    <t>to-read (#738)</t>
  </si>
  <si>
    <t>to-read (#737)</t>
  </si>
  <si>
    <t>to-read (#736)</t>
  </si>
  <si>
    <t>favorites (#4)</t>
  </si>
  <si>
    <t>to-read (#735)</t>
  </si>
  <si>
    <t>to-read (#734)</t>
  </si>
  <si>
    <t>to-read (#733)</t>
  </si>
  <si>
    <t>to-read (#732)</t>
  </si>
  <si>
    <t>to-read (#731)</t>
  </si>
  <si>
    <t>to-read (#730)</t>
  </si>
  <si>
    <t>to-read (#729)</t>
  </si>
  <si>
    <t>to-read (#728)</t>
  </si>
  <si>
    <t>currently-reading (#3)</t>
  </si>
  <si>
    <t>currently-reading (#2)</t>
  </si>
  <si>
    <t>to-read (#727)</t>
  </si>
  <si>
    <t>to-read (#726)</t>
  </si>
  <si>
    <t>to-read (#725)</t>
  </si>
  <si>
    <t>to-read (#724)</t>
  </si>
  <si>
    <t>to-read (#723)</t>
  </si>
  <si>
    <t>to-read (#722)</t>
  </si>
  <si>
    <t>to-read (#721)</t>
  </si>
  <si>
    <t>to-read (#720)</t>
  </si>
  <si>
    <t>to-read (#719)</t>
  </si>
  <si>
    <t>to-read (#718)</t>
  </si>
  <si>
    <t>to-read (#717)</t>
  </si>
  <si>
    <t>to-read (#716)</t>
  </si>
  <si>
    <t>to-read (#715)</t>
  </si>
  <si>
    <t>to-read (#714)</t>
  </si>
  <si>
    <t>to-read (#713)</t>
  </si>
  <si>
    <t>to-read (#712)</t>
  </si>
  <si>
    <t>to-read (#711)</t>
  </si>
  <si>
    <t>to-read (#710)</t>
  </si>
  <si>
    <t>to-read (#709)</t>
  </si>
  <si>
    <t>to-read (#708)</t>
  </si>
  <si>
    <t>to-read (#707)</t>
  </si>
  <si>
    <t>to-read (#706)</t>
  </si>
  <si>
    <t>to-read (#705)</t>
  </si>
  <si>
    <t>to-read (#704)</t>
  </si>
  <si>
    <t>to-read (#703)</t>
  </si>
  <si>
    <t>to-read (#702)</t>
  </si>
  <si>
    <t>to-read (#701)</t>
  </si>
  <si>
    <t>to-read (#700)</t>
  </si>
  <si>
    <t>to-read (#699)</t>
  </si>
  <si>
    <t>to-read (#698)</t>
  </si>
  <si>
    <t>to-read (#697)</t>
  </si>
  <si>
    <t>to-read (#696)</t>
  </si>
  <si>
    <t>to-read (#695)</t>
  </si>
  <si>
    <t>to-read (#694)</t>
  </si>
  <si>
    <t>to-read (#693)</t>
  </si>
  <si>
    <t>to-read (#692)</t>
  </si>
  <si>
    <t>to-read (#691)</t>
  </si>
  <si>
    <t>to-read (#690)</t>
  </si>
  <si>
    <t>to-read (#689)</t>
  </si>
  <si>
    <t>to-read (#688)</t>
  </si>
  <si>
    <t>to-read (#687)</t>
  </si>
  <si>
    <t>to-read (#686)</t>
  </si>
  <si>
    <t>to-read (#685)</t>
  </si>
  <si>
    <t>to-read (#684)</t>
  </si>
  <si>
    <t>to-read (#683)</t>
  </si>
  <si>
    <t>to-read (#682)</t>
  </si>
  <si>
    <t>to-read (#681)</t>
  </si>
  <si>
    <t>to-read (#680)</t>
  </si>
  <si>
    <t>to-read (#679)</t>
  </si>
  <si>
    <t>to-read (#678)</t>
  </si>
  <si>
    <t>to-read (#677)</t>
  </si>
  <si>
    <t>to-read (#676)</t>
  </si>
  <si>
    <t>to-read (#675)</t>
  </si>
  <si>
    <t>to-read (#674)</t>
  </si>
  <si>
    <t>to-read (#673)</t>
  </si>
  <si>
    <t>to-read (#672)</t>
  </si>
  <si>
    <t>to-read (#671)</t>
  </si>
  <si>
    <t>to-read (#670)</t>
  </si>
  <si>
    <t>to-read (#669)</t>
  </si>
  <si>
    <t>to-read (#668)</t>
  </si>
  <si>
    <t>to-read (#667)</t>
  </si>
  <si>
    <t>to-read (#666)</t>
  </si>
  <si>
    <t>to-read (#665)</t>
  </si>
  <si>
    <t>to-read (#664)</t>
  </si>
  <si>
    <t>to-read (#663)</t>
  </si>
  <si>
    <t>to-read (#662)</t>
  </si>
  <si>
    <t>to-read (#661)</t>
  </si>
  <si>
    <t>to-read (#660)</t>
  </si>
  <si>
    <t>to-read (#659)</t>
  </si>
  <si>
    <t>to-read (#658)</t>
  </si>
  <si>
    <t>to-read (#657)</t>
  </si>
  <si>
    <t>to-read (#656)</t>
  </si>
  <si>
    <t>to-read (#655)</t>
  </si>
  <si>
    <t>to-read (#654)</t>
  </si>
  <si>
    <t>to-read (#653)</t>
  </si>
  <si>
    <t>to-read (#652)</t>
  </si>
  <si>
    <t>to-read (#651)</t>
  </si>
  <si>
    <t>to-read (#650)</t>
  </si>
  <si>
    <t>to-read (#649)</t>
  </si>
  <si>
    <t>to-read (#648)</t>
  </si>
  <si>
    <t>to-read (#647)</t>
  </si>
  <si>
    <t>to-read (#646)</t>
  </si>
  <si>
    <t>to-read (#645)</t>
  </si>
  <si>
    <t>to-read (#644)</t>
  </si>
  <si>
    <t>to-read (#643)</t>
  </si>
  <si>
    <t>to-read (#642)</t>
  </si>
  <si>
    <t>to-read (#641)</t>
  </si>
  <si>
    <t>to-read (#640)</t>
  </si>
  <si>
    <t>to-read (#639)</t>
  </si>
  <si>
    <t>to-read (#638)</t>
  </si>
  <si>
    <t>to-read (#637)</t>
  </si>
  <si>
    <t>to-read (#636)</t>
  </si>
  <si>
    <t>to-read (#635)</t>
  </si>
  <si>
    <t>to-read (#634)</t>
  </si>
  <si>
    <t>to-read (#633)</t>
  </si>
  <si>
    <t>to-read (#632)</t>
  </si>
  <si>
    <t>to-read (#631)</t>
  </si>
  <si>
    <t>to-read (#630)</t>
  </si>
  <si>
    <t>to-read (#629)</t>
  </si>
  <si>
    <t>to-read (#628)</t>
  </si>
  <si>
    <t>to-read (#627)</t>
  </si>
  <si>
    <t>to-read (#626)</t>
  </si>
  <si>
    <t>to-read (#625)</t>
  </si>
  <si>
    <t>to-read (#624)</t>
  </si>
  <si>
    <t>to-read (#623)</t>
  </si>
  <si>
    <t>to-read (#622)</t>
  </si>
  <si>
    <t>to-read (#621)</t>
  </si>
  <si>
    <t>to-read (#620)</t>
  </si>
  <si>
    <t>to-read (#619)</t>
  </si>
  <si>
    <t>to-read (#618)</t>
  </si>
  <si>
    <t>to-read (#617)</t>
  </si>
  <si>
    <t>to-read (#616)</t>
  </si>
  <si>
    <t>to-read (#615)</t>
  </si>
  <si>
    <t>to-read (#614)</t>
  </si>
  <si>
    <t>to-read (#613)</t>
  </si>
  <si>
    <t>to-read (#612)</t>
  </si>
  <si>
    <t>to-read (#611)</t>
  </si>
  <si>
    <t>to-read (#610)</t>
  </si>
  <si>
    <t>to-read (#609)</t>
  </si>
  <si>
    <t>to-read (#608)</t>
  </si>
  <si>
    <t>to-read (#607)</t>
  </si>
  <si>
    <t>to-read (#606)</t>
  </si>
  <si>
    <t>to-read (#605)</t>
  </si>
  <si>
    <t>to-read (#604)</t>
  </si>
  <si>
    <t>to-read (#603)</t>
  </si>
  <si>
    <t>to-read (#602)</t>
  </si>
  <si>
    <t>to-read (#601)</t>
  </si>
  <si>
    <t>to-read (#600)</t>
  </si>
  <si>
    <t>to-read (#599)</t>
  </si>
  <si>
    <t>to-read (#598)</t>
  </si>
  <si>
    <t>to-read (#597)</t>
  </si>
  <si>
    <t>to-read (#596)</t>
  </si>
  <si>
    <t>to-read (#595)</t>
  </si>
  <si>
    <t>to-read (#594)</t>
  </si>
  <si>
    <t>to-read (#593)</t>
  </si>
  <si>
    <t>to-read (#592)</t>
  </si>
  <si>
    <t>to-read (#591)</t>
  </si>
  <si>
    <t>to-read (#590)</t>
  </si>
  <si>
    <t>to-read (#589)</t>
  </si>
  <si>
    <t>to-read (#588)</t>
  </si>
  <si>
    <t>to-read (#587)</t>
  </si>
  <si>
    <t>to-read (#586)</t>
  </si>
  <si>
    <t>to-read (#585)</t>
  </si>
  <si>
    <t>to-read (#584)</t>
  </si>
  <si>
    <t>to-read (#583)</t>
  </si>
  <si>
    <t>to-read (#582)</t>
  </si>
  <si>
    <t>to-read (#581)</t>
  </si>
  <si>
    <t>to-read (#580)</t>
  </si>
  <si>
    <t>to-read (#579)</t>
  </si>
  <si>
    <t>to-read (#578)</t>
  </si>
  <si>
    <t>to-read (#577)</t>
  </si>
  <si>
    <t>to-read (#576)</t>
  </si>
  <si>
    <t>to-read (#575)</t>
  </si>
  <si>
    <t>to-read (#574)</t>
  </si>
  <si>
    <t>to-read (#573)</t>
  </si>
  <si>
    <t>to-read (#572)</t>
  </si>
  <si>
    <t>to-read (#571)</t>
  </si>
  <si>
    <t>to-read (#570)</t>
  </si>
  <si>
    <t>to-read (#569)</t>
  </si>
  <si>
    <t>to-read (#568)</t>
  </si>
  <si>
    <t>to-read (#567)</t>
  </si>
  <si>
    <t>to-read (#566)</t>
  </si>
  <si>
    <t>to-read (#565)</t>
  </si>
  <si>
    <t>to-read (#564)</t>
  </si>
  <si>
    <t>to-read (#563)</t>
  </si>
  <si>
    <t>to-read (#562)</t>
  </si>
  <si>
    <t>to-read (#561)</t>
  </si>
  <si>
    <t>to-read (#560)</t>
  </si>
  <si>
    <t>to-read (#559)</t>
  </si>
  <si>
    <t>to-read (#558)</t>
  </si>
  <si>
    <t>to-read (#557)</t>
  </si>
  <si>
    <t>to-read (#556)</t>
  </si>
  <si>
    <t>to-read (#555)</t>
  </si>
  <si>
    <t>to-read (#554)</t>
  </si>
  <si>
    <t>to-read (#553)</t>
  </si>
  <si>
    <t>to-read (#552)</t>
  </si>
  <si>
    <t>to-read (#551)</t>
  </si>
  <si>
    <t>to-read (#550)</t>
  </si>
  <si>
    <t>to-read (#549)</t>
  </si>
  <si>
    <t>to-read (#548)</t>
  </si>
  <si>
    <t>to-read (#547)</t>
  </si>
  <si>
    <t>to-read (#546)</t>
  </si>
  <si>
    <t>to-read (#545)</t>
  </si>
  <si>
    <t>to-read (#544)</t>
  </si>
  <si>
    <t>to-read (#543)</t>
  </si>
  <si>
    <t>to-read (#542)</t>
  </si>
  <si>
    <t>to-read (#541)</t>
  </si>
  <si>
    <t>to-read (#540)</t>
  </si>
  <si>
    <t>to-read (#539)</t>
  </si>
  <si>
    <t>to-read (#538)</t>
  </si>
  <si>
    <t>to-read (#537)</t>
  </si>
  <si>
    <t>to-read (#536)</t>
  </si>
  <si>
    <t>to-read (#535)</t>
  </si>
  <si>
    <t>to-read (#534)</t>
  </si>
  <si>
    <t>to-read (#533)</t>
  </si>
  <si>
    <t>to-read (#532)</t>
  </si>
  <si>
    <t>to-read (#531)</t>
  </si>
  <si>
    <t>to-read (#530)</t>
  </si>
  <si>
    <t>to-read (#529)</t>
  </si>
  <si>
    <t>to-read (#528)</t>
  </si>
  <si>
    <t>to-read (#527)</t>
  </si>
  <si>
    <t>to-read (#526)</t>
  </si>
  <si>
    <t>to-read (#525)</t>
  </si>
  <si>
    <t>to-read (#524)</t>
  </si>
  <si>
    <t>to-read (#523)</t>
  </si>
  <si>
    <t>to-read (#522)</t>
  </si>
  <si>
    <t>to-read (#521)</t>
  </si>
  <si>
    <t>to-read (#520)</t>
  </si>
  <si>
    <t>to-read (#519)</t>
  </si>
  <si>
    <t>to-read (#518)</t>
  </si>
  <si>
    <t>to-read (#517)</t>
  </si>
  <si>
    <t>to-read (#516)</t>
  </si>
  <si>
    <t>to-read (#515)</t>
  </si>
  <si>
    <t>to-read (#514)</t>
  </si>
  <si>
    <t>to-read (#513)</t>
  </si>
  <si>
    <t>to-read (#512)</t>
  </si>
  <si>
    <t>to-read (#511)</t>
  </si>
  <si>
    <t>to-read (#510)</t>
  </si>
  <si>
    <t>to-read (#509)</t>
  </si>
  <si>
    <t>to-read (#508)</t>
  </si>
  <si>
    <t>to-read (#507)</t>
  </si>
  <si>
    <t>to-read (#506)</t>
  </si>
  <si>
    <t>to-read (#505)</t>
  </si>
  <si>
    <t>to-read (#504)</t>
  </si>
  <si>
    <t>to-read (#503)</t>
  </si>
  <si>
    <t>to-read (#502)</t>
  </si>
  <si>
    <t>to-read (#501)</t>
  </si>
  <si>
    <t>to-read (#500)</t>
  </si>
  <si>
    <t>to-read (#499)</t>
  </si>
  <si>
    <t>to-read (#498)</t>
  </si>
  <si>
    <t>to-read (#497)</t>
  </si>
  <si>
    <t>to-read (#496)</t>
  </si>
  <si>
    <t>to-read (#495)</t>
  </si>
  <si>
    <t>to-read (#494)</t>
  </si>
  <si>
    <t>to-read (#493)</t>
  </si>
  <si>
    <t>to-read (#492)</t>
  </si>
  <si>
    <t>to-read (#491)</t>
  </si>
  <si>
    <t>to-read (#490)</t>
  </si>
  <si>
    <t>to-read (#489)</t>
  </si>
  <si>
    <t>to-read (#488)</t>
  </si>
  <si>
    <t>to-read (#487)</t>
  </si>
  <si>
    <t>to-read (#486)</t>
  </si>
  <si>
    <t>to-read (#485)</t>
  </si>
  <si>
    <t>to-read (#484)</t>
  </si>
  <si>
    <t>to-read (#483)</t>
  </si>
  <si>
    <t>to-read (#482)</t>
  </si>
  <si>
    <t>to-read (#481)</t>
  </si>
  <si>
    <t>to-read (#480)</t>
  </si>
  <si>
    <t>to-read (#479)</t>
  </si>
  <si>
    <t>to-read (#478)</t>
  </si>
  <si>
    <t>to-read (#477)</t>
  </si>
  <si>
    <t>to-read (#476)</t>
  </si>
  <si>
    <t>to-read (#475)</t>
  </si>
  <si>
    <t>to-read (#474)</t>
  </si>
  <si>
    <t>to-read (#473)</t>
  </si>
  <si>
    <t>to-read (#472)</t>
  </si>
  <si>
    <t>to-read (#471)</t>
  </si>
  <si>
    <t>to-read (#470)</t>
  </si>
  <si>
    <t>to-read (#469)</t>
  </si>
  <si>
    <t>to-read (#468)</t>
  </si>
  <si>
    <t>to-read (#467)</t>
  </si>
  <si>
    <t>to-read (#466)</t>
  </si>
  <si>
    <t>to-read (#465)</t>
  </si>
  <si>
    <t>to-read (#464)</t>
  </si>
  <si>
    <t>to-read (#463)</t>
  </si>
  <si>
    <t>to-read (#462)</t>
  </si>
  <si>
    <t>to-read (#461)</t>
  </si>
  <si>
    <t>to-read (#460)</t>
  </si>
  <si>
    <t>to-read (#459)</t>
  </si>
  <si>
    <t>to-read (#458)</t>
  </si>
  <si>
    <t>to-read (#457)</t>
  </si>
  <si>
    <t>to-read (#456)</t>
  </si>
  <si>
    <t>to-read (#455)</t>
  </si>
  <si>
    <t>to-read (#454)</t>
  </si>
  <si>
    <t>to-read (#453)</t>
  </si>
  <si>
    <t>to-read (#452)</t>
  </si>
  <si>
    <t>to-read (#451)</t>
  </si>
  <si>
    <t>to-read (#450)</t>
  </si>
  <si>
    <t>to-read (#449)</t>
  </si>
  <si>
    <t>to-read (#448)</t>
  </si>
  <si>
    <t>to-read (#447)</t>
  </si>
  <si>
    <t>to-read (#446)</t>
  </si>
  <si>
    <t>to-read (#445)</t>
  </si>
  <si>
    <t>to-read (#444)</t>
  </si>
  <si>
    <t>to-read (#443)</t>
  </si>
  <si>
    <t>to-read (#442)</t>
  </si>
  <si>
    <t>to-read (#441)</t>
  </si>
  <si>
    <t>to-read (#440)</t>
  </si>
  <si>
    <t>to-read (#439)</t>
  </si>
  <si>
    <t>to-read (#438)</t>
  </si>
  <si>
    <t>to-read (#437)</t>
  </si>
  <si>
    <t>to-read (#436)</t>
  </si>
  <si>
    <t>to-read (#435)</t>
  </si>
  <si>
    <t>to-read (#434)</t>
  </si>
  <si>
    <t>to-read (#433)</t>
  </si>
  <si>
    <t>to-read (#432)</t>
  </si>
  <si>
    <t>to-read (#431)</t>
  </si>
  <si>
    <t>to-read (#430)</t>
  </si>
  <si>
    <t>to-read (#429)</t>
  </si>
  <si>
    <t>to-read (#428)</t>
  </si>
  <si>
    <t>to-read (#427)</t>
  </si>
  <si>
    <t>to-read (#426)</t>
  </si>
  <si>
    <t>to-read (#425)</t>
  </si>
  <si>
    <t>to-read (#424)</t>
  </si>
  <si>
    <t>to-read (#423)</t>
  </si>
  <si>
    <t>to-read (#422)</t>
  </si>
  <si>
    <t>to-read (#421)</t>
  </si>
  <si>
    <t>to-read (#420)</t>
  </si>
  <si>
    <t>to-read (#419)</t>
  </si>
  <si>
    <t>to-read (#418)</t>
  </si>
  <si>
    <t>to-read (#417)</t>
  </si>
  <si>
    <t>to-read (#416)</t>
  </si>
  <si>
    <t>to-read (#415)</t>
  </si>
  <si>
    <t>to-read (#414)</t>
  </si>
  <si>
    <t>to-read (#413)</t>
  </si>
  <si>
    <t>to-read (#412)</t>
  </si>
  <si>
    <t>to-read (#411)</t>
  </si>
  <si>
    <t>to-read (#410)</t>
  </si>
  <si>
    <t>to-read (#409)</t>
  </si>
  <si>
    <t>to-read (#408)</t>
  </si>
  <si>
    <t>to-read (#407)</t>
  </si>
  <si>
    <t>to-read (#406)</t>
  </si>
  <si>
    <t>to-read (#405)</t>
  </si>
  <si>
    <t>to-read (#404)</t>
  </si>
  <si>
    <t>to-read (#403)</t>
  </si>
  <si>
    <t>to-read (#402)</t>
  </si>
  <si>
    <t>to-read (#401)</t>
  </si>
  <si>
    <t>to-read (#400)</t>
  </si>
  <si>
    <t>to-read (#399)</t>
  </si>
  <si>
    <t>to-read (#398)</t>
  </si>
  <si>
    <t>to-read (#397)</t>
  </si>
  <si>
    <t>to-read (#396)</t>
  </si>
  <si>
    <t>to-read (#395)</t>
  </si>
  <si>
    <t>to-read (#394)</t>
  </si>
  <si>
    <t>to-read (#393)</t>
  </si>
  <si>
    <t>to-read (#392)</t>
  </si>
  <si>
    <t>to-read (#391)</t>
  </si>
  <si>
    <t>to-read (#390)</t>
  </si>
  <si>
    <t>to-read (#389)</t>
  </si>
  <si>
    <t>to-read (#388)</t>
  </si>
  <si>
    <t>to-read (#387)</t>
  </si>
  <si>
    <t>to-read (#386)</t>
  </si>
  <si>
    <t>to-read (#385)</t>
  </si>
  <si>
    <t>to-read (#384)</t>
  </si>
  <si>
    <t>to-read (#383)</t>
  </si>
  <si>
    <t>to-read (#382)</t>
  </si>
  <si>
    <t>to-read (#381)</t>
  </si>
  <si>
    <t>to-read (#380)</t>
  </si>
  <si>
    <t>to-read (#379)</t>
  </si>
  <si>
    <t>to-read (#378)</t>
  </si>
  <si>
    <t>to-read (#377)</t>
  </si>
  <si>
    <t>to-read (#376)</t>
  </si>
  <si>
    <t>to-read (#375)</t>
  </si>
  <si>
    <t>to-read (#374)</t>
  </si>
  <si>
    <t>to-read (#373)</t>
  </si>
  <si>
    <t>to-read (#372)</t>
  </si>
  <si>
    <t>to-read (#371)</t>
  </si>
  <si>
    <t>to-read (#370)</t>
  </si>
  <si>
    <t>to-read (#369)</t>
  </si>
  <si>
    <t>to-read (#368)</t>
  </si>
  <si>
    <t>to-read (#367)</t>
  </si>
  <si>
    <t>to-read (#366)</t>
  </si>
  <si>
    <t>to-read (#365)</t>
  </si>
  <si>
    <t>to-read (#364)</t>
  </si>
  <si>
    <t>to-read (#363)</t>
  </si>
  <si>
    <t>to-read (#362)</t>
  </si>
  <si>
    <t>to-read (#361)</t>
  </si>
  <si>
    <t>to-read (#360)</t>
  </si>
  <si>
    <t>to-read (#359)</t>
  </si>
  <si>
    <t>to-read (#358)</t>
  </si>
  <si>
    <t>to-read (#357)</t>
  </si>
  <si>
    <t>to-read (#356)</t>
  </si>
  <si>
    <t>to-read (#355)</t>
  </si>
  <si>
    <t>to-read (#354)</t>
  </si>
  <si>
    <t>favorites (#2)</t>
  </si>
  <si>
    <t>favorites (#5)</t>
  </si>
  <si>
    <t>favorites (#1)</t>
  </si>
  <si>
    <t>to-read (#353)</t>
  </si>
  <si>
    <t>to-read (#352)</t>
  </si>
  <si>
    <t>to-read (#351)</t>
  </si>
  <si>
    <t>to-read (#350)</t>
  </si>
  <si>
    <t>to-read (#349)</t>
  </si>
  <si>
    <t>to-read (#348)</t>
  </si>
  <si>
    <t>to-read (#347)</t>
  </si>
  <si>
    <t>to-read (#346)</t>
  </si>
  <si>
    <t>to-read (#345)</t>
  </si>
  <si>
    <t>to-read (#344)</t>
  </si>
  <si>
    <t>to-read (#343)</t>
  </si>
  <si>
    <t>to-read (#342)</t>
  </si>
  <si>
    <t>to-read (#341)</t>
  </si>
  <si>
    <t>to-read (#340)</t>
  </si>
  <si>
    <t>to-read (#339)</t>
  </si>
  <si>
    <t>to-read (#337)</t>
  </si>
  <si>
    <t>to-read (#338)</t>
  </si>
  <si>
    <t>to-read (#336)</t>
  </si>
  <si>
    <t>to-read (#335)</t>
  </si>
  <si>
    <t>to-read (#334)</t>
  </si>
  <si>
    <t>to-read (#333)</t>
  </si>
  <si>
    <t>to-read (#332)</t>
  </si>
  <si>
    <t>to-read (#331)</t>
  </si>
  <si>
    <t>to-read (#330)</t>
  </si>
  <si>
    <t>to-read (#329)</t>
  </si>
  <si>
    <t>to-read (#328)</t>
  </si>
  <si>
    <t>to-read (#327)</t>
  </si>
  <si>
    <t>to-read (#326)</t>
  </si>
  <si>
    <t>to-read (#325)</t>
  </si>
  <si>
    <t>to-read (#324)</t>
  </si>
  <si>
    <t>to-read (#323)</t>
  </si>
  <si>
    <t>to-read (#322)</t>
  </si>
  <si>
    <t>to-read (#321)</t>
  </si>
  <si>
    <t>to-read (#320)</t>
  </si>
  <si>
    <t>to-read (#319)</t>
  </si>
  <si>
    <t>to-read (#318)</t>
  </si>
  <si>
    <t>to-read (#317)</t>
  </si>
  <si>
    <t>to-read (#316)</t>
  </si>
  <si>
    <t>to-read (#315)</t>
  </si>
  <si>
    <t>to-read (#314)</t>
  </si>
  <si>
    <t>to-read (#313)</t>
  </si>
  <si>
    <t>to-read (#312)</t>
  </si>
  <si>
    <t>to-read (#311)</t>
  </si>
  <si>
    <t>to-read (#310)</t>
  </si>
  <si>
    <t>to-read (#309)</t>
  </si>
  <si>
    <t>to-read (#308)</t>
  </si>
  <si>
    <t>to-read (#307)</t>
  </si>
  <si>
    <t>to-read (#306)</t>
  </si>
  <si>
    <t>to-read (#305)</t>
  </si>
  <si>
    <t>to-read (#304)</t>
  </si>
  <si>
    <t>to-read (#303)</t>
  </si>
  <si>
    <t>to-read (#302)</t>
  </si>
  <si>
    <t>to-read (#301)</t>
  </si>
  <si>
    <t>to-read (#300)</t>
  </si>
  <si>
    <t>to-read (#299)</t>
  </si>
  <si>
    <t>to-read (#298)</t>
  </si>
  <si>
    <t>to-read (#297)</t>
  </si>
  <si>
    <t>to-read (#296)</t>
  </si>
  <si>
    <t>to-read (#295)</t>
  </si>
  <si>
    <t>to-read (#294)</t>
  </si>
  <si>
    <t>to-read (#293)</t>
  </si>
  <si>
    <t>to-read (#292)</t>
  </si>
  <si>
    <t>to-read (#291)</t>
  </si>
  <si>
    <t>to-read (#290)</t>
  </si>
  <si>
    <t>to-read (#289)</t>
  </si>
  <si>
    <t>to-read (#288)</t>
  </si>
  <si>
    <t>to-read (#287)</t>
  </si>
  <si>
    <t>to-read (#286)</t>
  </si>
  <si>
    <t>to-read (#285)</t>
  </si>
  <si>
    <t>to-read (#284)</t>
  </si>
  <si>
    <t>to-read (#283)</t>
  </si>
  <si>
    <t>to-read (#282)</t>
  </si>
  <si>
    <t>to-read (#281)</t>
  </si>
  <si>
    <t>to-read (#280)</t>
  </si>
  <si>
    <t>to-read (#279)</t>
  </si>
  <si>
    <t>to-read (#278)</t>
  </si>
  <si>
    <t>to-read (#277)</t>
  </si>
  <si>
    <t>to-read (#276)</t>
  </si>
  <si>
    <t>to-read (#275)</t>
  </si>
  <si>
    <t>to-read (#274)</t>
  </si>
  <si>
    <t>to-read (#273)</t>
  </si>
  <si>
    <t>to-read (#272)</t>
  </si>
  <si>
    <t>to-read (#271)</t>
  </si>
  <si>
    <t>to-read (#270)</t>
  </si>
  <si>
    <t>to-read (#269)</t>
  </si>
  <si>
    <t>to-read (#268)</t>
  </si>
  <si>
    <t>to-read (#267)</t>
  </si>
  <si>
    <t>to-read (#266)</t>
  </si>
  <si>
    <t>to-read (#265)</t>
  </si>
  <si>
    <t>to-read (#264)</t>
  </si>
  <si>
    <t>to-read (#263)</t>
  </si>
  <si>
    <t>to-read (#262)</t>
  </si>
  <si>
    <t>to-read (#261)</t>
  </si>
  <si>
    <t>to-read (#260)</t>
  </si>
  <si>
    <t>to-read (#259)</t>
  </si>
  <si>
    <t>to-read (#258)</t>
  </si>
  <si>
    <t>to-read (#257)</t>
  </si>
  <si>
    <t>to-read (#256)</t>
  </si>
  <si>
    <t>to-read (#255)</t>
  </si>
  <si>
    <t>to-read (#254)</t>
  </si>
  <si>
    <t>to-read (#253)</t>
  </si>
  <si>
    <t>to-read (#252)</t>
  </si>
  <si>
    <t>to-read (#251)</t>
  </si>
  <si>
    <t>to-read (#250)</t>
  </si>
  <si>
    <t>to-read (#249)</t>
  </si>
  <si>
    <t>to-read (#248)</t>
  </si>
  <si>
    <t>to-read (#247)</t>
  </si>
  <si>
    <t>currently-reading (#1)</t>
  </si>
  <si>
    <t>to-read (#246)</t>
  </si>
  <si>
    <t>to-read (#245)</t>
  </si>
  <si>
    <t>to-read (#244)</t>
  </si>
  <si>
    <t>to-read (#243)</t>
  </si>
  <si>
    <t>to-read (#242)</t>
  </si>
  <si>
    <t>to-read (#241)</t>
  </si>
  <si>
    <t>to-read (#240)</t>
  </si>
  <si>
    <t>to-read (#239)</t>
  </si>
  <si>
    <t>to-read (#238)</t>
  </si>
  <si>
    <t>to-read (#237)</t>
  </si>
  <si>
    <t>to-read (#236)</t>
  </si>
  <si>
    <t>to-read (#235)</t>
  </si>
  <si>
    <t>to-read (#234)</t>
  </si>
  <si>
    <t>to-read (#233)</t>
  </si>
  <si>
    <t>to-read (#232)</t>
  </si>
  <si>
    <t>to-read (#231)</t>
  </si>
  <si>
    <t>to-read (#230)</t>
  </si>
  <si>
    <t>to-read (#229)</t>
  </si>
  <si>
    <t>to-read (#227)</t>
  </si>
  <si>
    <t>to-read (#228)</t>
  </si>
  <si>
    <t>to-read (#226)</t>
  </si>
  <si>
    <t>to-read (#225)</t>
  </si>
  <si>
    <t>to-read (#224)</t>
  </si>
  <si>
    <t>to-read (#223)</t>
  </si>
  <si>
    <t>favorites (#3)</t>
  </si>
  <si>
    <t>to-read (#222)</t>
  </si>
  <si>
    <t>to-read (#221)</t>
  </si>
  <si>
    <t>to-read (#220)</t>
  </si>
  <si>
    <t>to-read (#219)</t>
  </si>
  <si>
    <t>to-read (#218)</t>
  </si>
  <si>
    <t>to-read (#217)</t>
  </si>
  <si>
    <t>to-read (#216)</t>
  </si>
  <si>
    <t>to-read (#215)</t>
  </si>
  <si>
    <t>to-read (#214)</t>
  </si>
  <si>
    <t>to-read (#213)</t>
  </si>
  <si>
    <t>to-read (#212)</t>
  </si>
  <si>
    <t>to-read (#211)</t>
  </si>
  <si>
    <t>to-read (#210)</t>
  </si>
  <si>
    <t>to-read (#209)</t>
  </si>
  <si>
    <t>to-read (#208)</t>
  </si>
  <si>
    <t>to-read (#207)</t>
  </si>
  <si>
    <t>to-read (#206)</t>
  </si>
  <si>
    <t>to-read (#205)</t>
  </si>
  <si>
    <t>to-read (#204)</t>
  </si>
  <si>
    <t>to-read (#203)</t>
  </si>
  <si>
    <t>to-read (#202)</t>
  </si>
  <si>
    <t>to-read (#201)</t>
  </si>
  <si>
    <t>to-read (#200)</t>
  </si>
  <si>
    <t>to-read (#199)</t>
  </si>
  <si>
    <t>to-read (#198)</t>
  </si>
  <si>
    <t>to-read (#197)</t>
  </si>
  <si>
    <t>to-read (#196)</t>
  </si>
  <si>
    <t>to-read (#195)</t>
  </si>
  <si>
    <t>to-read (#194)</t>
  </si>
  <si>
    <t>to-read (#193)</t>
  </si>
  <si>
    <t>to-read (#192)</t>
  </si>
  <si>
    <t>to-read (#191)</t>
  </si>
  <si>
    <t>to-read (#190)</t>
  </si>
  <si>
    <t>to-read (#189)</t>
  </si>
  <si>
    <t>to-read (#188)</t>
  </si>
  <si>
    <t>to-read (#187)</t>
  </si>
  <si>
    <t>to-read (#186)</t>
  </si>
  <si>
    <t>to-read (#185)</t>
  </si>
  <si>
    <t>to-read (#184)</t>
  </si>
  <si>
    <t>to-read (#183)</t>
  </si>
  <si>
    <t>to-read (#182)</t>
  </si>
  <si>
    <t>to-read (#181)</t>
  </si>
  <si>
    <t>to-read (#180)</t>
  </si>
  <si>
    <t>to-read (#179)</t>
  </si>
  <si>
    <t>to-read (#178)</t>
  </si>
  <si>
    <t>to-read (#177)</t>
  </si>
  <si>
    <t>to-read (#176)</t>
  </si>
  <si>
    <t>to-read (#175)</t>
  </si>
  <si>
    <t>to-read (#174)</t>
  </si>
  <si>
    <t>to-read (#173)</t>
  </si>
  <si>
    <t>to-read (#172)</t>
  </si>
  <si>
    <t>to-read (#171)</t>
  </si>
  <si>
    <t>to-read (#170)</t>
  </si>
  <si>
    <t>to-read (#169)</t>
  </si>
  <si>
    <t>to-read (#168)</t>
  </si>
  <si>
    <t>to-read (#167)</t>
  </si>
  <si>
    <t>to-read (#166)</t>
  </si>
  <si>
    <t>to-read (#165)</t>
  </si>
  <si>
    <t>to-read (#164)</t>
  </si>
  <si>
    <t>to-read (#163)</t>
  </si>
  <si>
    <t>to-read (#162)</t>
  </si>
  <si>
    <t>to-read (#161)</t>
  </si>
  <si>
    <t>to-read (#160)</t>
  </si>
  <si>
    <t>to-read (#159)</t>
  </si>
  <si>
    <t>to-read (#158)</t>
  </si>
  <si>
    <t>to-read (#157)</t>
  </si>
  <si>
    <t>to-read (#156)</t>
  </si>
  <si>
    <t>to-read (#155)</t>
  </si>
  <si>
    <t>to-read (#154)</t>
  </si>
  <si>
    <t>to-read (#153)</t>
  </si>
  <si>
    <t>to-read (#152)</t>
  </si>
  <si>
    <t>to-read (#151)</t>
  </si>
  <si>
    <t>to-read (#150)</t>
  </si>
  <si>
    <t>to-read (#149)</t>
  </si>
  <si>
    <t>to-read (#148)</t>
  </si>
  <si>
    <t>to-read (#147)</t>
  </si>
  <si>
    <t>to-read (#146)</t>
  </si>
  <si>
    <t>to-read (#145)</t>
  </si>
  <si>
    <t>to-read (#144)</t>
  </si>
  <si>
    <t>to-read (#143)</t>
  </si>
  <si>
    <t>to-read (#142)</t>
  </si>
  <si>
    <t>to-read (#141)</t>
  </si>
  <si>
    <t>to-read (#140)</t>
  </si>
  <si>
    <t>to-read (#139)</t>
  </si>
  <si>
    <t>to-read (#138)</t>
  </si>
  <si>
    <t>to-read (#137)</t>
  </si>
  <si>
    <t>to-read (#136)</t>
  </si>
  <si>
    <t>to-read (#135)</t>
  </si>
  <si>
    <t>to-read (#134)</t>
  </si>
  <si>
    <t>to-read (#133)</t>
  </si>
  <si>
    <t>to-read (#132)</t>
  </si>
  <si>
    <t>to-read (#131)</t>
  </si>
  <si>
    <t>to-read (#130)</t>
  </si>
  <si>
    <t>to-read (#129)</t>
  </si>
  <si>
    <t>to-read (#128)</t>
  </si>
  <si>
    <t>to-read (#127)</t>
  </si>
  <si>
    <t>to-read (#126)</t>
  </si>
  <si>
    <t>to-read (#125)</t>
  </si>
  <si>
    <t>to-read (#124)</t>
  </si>
  <si>
    <t>to-read (#123)</t>
  </si>
  <si>
    <t>to-read (#122)</t>
  </si>
  <si>
    <t>to-read (#121)</t>
  </si>
  <si>
    <t>to-read (#120)</t>
  </si>
  <si>
    <t>to-read (#119)</t>
  </si>
  <si>
    <t>to-read (#118)</t>
  </si>
  <si>
    <t>to-read (#117)</t>
  </si>
  <si>
    <t>to-read (#116)</t>
  </si>
  <si>
    <t>to-read (#115)</t>
  </si>
  <si>
    <t>to-read (#114)</t>
  </si>
  <si>
    <t>to-read (#113)</t>
  </si>
  <si>
    <t>to-read (#112)</t>
  </si>
  <si>
    <t>to-read (#111)</t>
  </si>
  <si>
    <t>to-read (#110)</t>
  </si>
  <si>
    <t>to-read (#109)</t>
  </si>
  <si>
    <t>to-read (#108)</t>
  </si>
  <si>
    <t>to-read (#107)</t>
  </si>
  <si>
    <t>to-read (#106)</t>
  </si>
  <si>
    <t>to-read (#105)</t>
  </si>
  <si>
    <t>to-read (#104)</t>
  </si>
  <si>
    <t>to-read (#102)</t>
  </si>
  <si>
    <t>to-read (#103)</t>
  </si>
  <si>
    <t>to-read (#101)</t>
  </si>
  <si>
    <t>to-read (#100)</t>
  </si>
  <si>
    <t>to-read (#99)</t>
  </si>
  <si>
    <t>to-read (#98)</t>
  </si>
  <si>
    <t>to-read (#97)</t>
  </si>
  <si>
    <t>to-read (#96)</t>
  </si>
  <si>
    <t>to-read (#95)</t>
  </si>
  <si>
    <t>to-read (#94)</t>
  </si>
  <si>
    <t>to-read (#93)</t>
  </si>
  <si>
    <t>to-read (#92)</t>
  </si>
  <si>
    <t>to-read (#91)</t>
  </si>
  <si>
    <t>to-read (#90)</t>
  </si>
  <si>
    <t>to-read (#89)</t>
  </si>
  <si>
    <t>to-read (#88)</t>
  </si>
  <si>
    <t>to-read (#87)</t>
  </si>
  <si>
    <t>to-read (#86)</t>
  </si>
  <si>
    <t>to-read (#85)</t>
  </si>
  <si>
    <t>to-read (#84)</t>
  </si>
  <si>
    <t>to-read (#83)</t>
  </si>
  <si>
    <t>to-read (#82)</t>
  </si>
  <si>
    <t>to-read (#81)</t>
  </si>
  <si>
    <t>to-read (#80)</t>
  </si>
  <si>
    <t>to-read (#79)</t>
  </si>
  <si>
    <t>to-read (#78)</t>
  </si>
  <si>
    <t>to-read (#77)</t>
  </si>
  <si>
    <t>to-read (#76)</t>
  </si>
  <si>
    <t>to-read (#75)</t>
  </si>
  <si>
    <t>to-read (#74)</t>
  </si>
  <si>
    <t>to-read (#73)</t>
  </si>
  <si>
    <t>to-read (#72)</t>
  </si>
  <si>
    <t>to-read (#71)</t>
  </si>
  <si>
    <t>to-read (#70)</t>
  </si>
  <si>
    <t>to-read (#69)</t>
  </si>
  <si>
    <t>to-read (#68)</t>
  </si>
  <si>
    <t>to-read (#67)</t>
  </si>
  <si>
    <t>to-read (#66)</t>
  </si>
  <si>
    <t>to-read (#65)</t>
  </si>
  <si>
    <t>to-read (#64)</t>
  </si>
  <si>
    <t>to-read (#63)</t>
  </si>
  <si>
    <t>to-read (#62)</t>
  </si>
  <si>
    <t>to-read (#61)</t>
  </si>
  <si>
    <t>to-read (#60)</t>
  </si>
  <si>
    <t>to-read (#59)</t>
  </si>
  <si>
    <t>to-read (#58)</t>
  </si>
  <si>
    <t>to-read (#57)</t>
  </si>
  <si>
    <t>to-read (#56)</t>
  </si>
  <si>
    <t>to-read (#55)</t>
  </si>
  <si>
    <t>to-read (#54)</t>
  </si>
  <si>
    <t>to-read (#53)</t>
  </si>
  <si>
    <t>to-read (#52)</t>
  </si>
  <si>
    <t>to-read (#51)</t>
  </si>
  <si>
    <t>to-read (#50)</t>
  </si>
  <si>
    <t>to-read (#49)</t>
  </si>
  <si>
    <t>to-read (#48)</t>
  </si>
  <si>
    <t>to-read (#47)</t>
  </si>
  <si>
    <t>to-read (#46)</t>
  </si>
  <si>
    <t>to-read (#45)</t>
  </si>
  <si>
    <t>to-read (#44)</t>
  </si>
  <si>
    <t>to-read (#43)</t>
  </si>
  <si>
    <t>to-read (#42)</t>
  </si>
  <si>
    <t>to-read (#41)</t>
  </si>
  <si>
    <t>to-read (#40)</t>
  </si>
  <si>
    <t>to-read (#39)</t>
  </si>
  <si>
    <t>to-read (#38)</t>
  </si>
  <si>
    <t>to-read (#37)</t>
  </si>
  <si>
    <t>to-read (#36)</t>
  </si>
  <si>
    <t>to-read (#35)</t>
  </si>
  <si>
    <t>to-read (#34)</t>
  </si>
  <si>
    <t>to-read (#33)</t>
  </si>
  <si>
    <t>to-read (#32)</t>
  </si>
  <si>
    <t>to-read (#31)</t>
  </si>
  <si>
    <t>to-read (#30)</t>
  </si>
  <si>
    <t>to-read (#29)</t>
  </si>
  <si>
    <t>to-read (#28)</t>
  </si>
  <si>
    <t>to-read (#27)</t>
  </si>
  <si>
    <t>to-read (#26)</t>
  </si>
  <si>
    <t>to-read (#25)</t>
  </si>
  <si>
    <t>to-read (#24)</t>
  </si>
  <si>
    <t>to-read (#23)</t>
  </si>
  <si>
    <t>to-read (#22)</t>
  </si>
  <si>
    <t>to-read (#21)</t>
  </si>
  <si>
    <t>to-read (#20)</t>
  </si>
  <si>
    <t>to-read (#19)</t>
  </si>
  <si>
    <t>to-read (#18)</t>
  </si>
  <si>
    <t>to-read (#17)</t>
  </si>
  <si>
    <t>to-read (#16)</t>
  </si>
  <si>
    <t>to-read (#15)</t>
  </si>
  <si>
    <t>to-read (#14)</t>
  </si>
  <si>
    <t>to-read (#13)</t>
  </si>
  <si>
    <t>to-read (#12)</t>
  </si>
  <si>
    <t>to-read (#11)</t>
  </si>
  <si>
    <t>to-read (#10)</t>
  </si>
  <si>
    <t>to-read (#9)</t>
  </si>
  <si>
    <t>to-read (#8)</t>
  </si>
  <si>
    <t>to-read (#7)</t>
  </si>
  <si>
    <t>to-read (#6)</t>
  </si>
  <si>
    <t>to-read (#5)</t>
  </si>
  <si>
    <t>to-read (#4)</t>
  </si>
  <si>
    <t>to-read (#3)</t>
  </si>
  <si>
    <t>to-read (#2)</t>
  </si>
  <si>
    <t>to-read (#1)</t>
  </si>
  <si>
    <t>read</t>
  </si>
  <si>
    <t>My relationship with Mark Twight is chicken-or-egg-like. I first discovered Gym Jones 11 years ago, but wasn't aware of the philosophical side—the most important part—of the gym. Later during my college years, my philosophy towards life, training, and the relationship those two had was developing along a similar path Twight's had, and then poof! I rediscovered him. Had I read something in the interim that influenced me without my knowing it? I don't think so, but what I read after that sure as hell influenced me and spurred me deeper into the forest.&lt;br/&gt;&lt;br/&gt;This book is &lt;i&gt;the&lt;/i&gt; anthology of Twight's writings. Straight from the book's description on their website: "One hundred forty-one Sermons previously accessible only behind the paywall of an old website: these philosophical musings are guaranteed to motivate, admonish, inspire and critique, all linked by the inseverable bond between the physical and the psychological, the mind and the heart. Poison pays tribute to the origins of our current practice at NonProphet — combining the physical weight of a paper tome and the significance of analog art with the wormhole nature of a digital interface, reinforcing the connection between these means of communication, and expression. It offers a glimpse into the history and detail of the characters and concepts that informed these powerful essays. These Sermons were mostly philosophical — because we believe that opening or guiding the mind makes all physical work and training more effective, more transferable to life outside of the gym, and that mindfulness amplifies the physical practice itself. Each essay draws upon personal experiences — how else would the ideas manifest or be applied and tested or leak outward to “real” life?"&lt;br/&gt;&lt;br/&gt;It's hard to quantify the impact these words have had on me—not just in the eight weeks that I was reading the book, but the years before this in which I read a handful of his articles. The scarcity of them encouraged, almost forced, me to fully digest each word, sentence, paragraph to its full extent, to see how if I currently lived that way, and if I didn't, why not. But this opened up a whole new world of writings, many of which aren't available on the internet (I'm not sure if they're even available on Gym Jones anymore).&lt;br/&gt;&lt;br/&gt;I'm skeptical of the written word being a motivator. Music and film can only do so much before steam runs out. Inspirational quotes overlayed on some muscular man is not what will be found here. There's no "dream big, stay positive, work hard, and enjoy the journey" bullshit. But this book holds something more profound than that. It instills something deeper, something lasting, something, dare I say, &lt;i&gt;inspiring&lt;/i&gt;. But this inspiration is a slow, steady burn, not the one-hard-push-then-back-to-laziness type. It's one of the first times I've had this happen to me. The first time? Reading &lt;a href="https://equipesolitaire.com/blogs/discourse/84418756-twitching-with-twight"&gt;&lt;i&gt;Twitching With Twight&lt;/i&gt;&lt;/a&gt;.&lt;br/&gt;&lt;br/&gt;I recommend reading one of these a day and reflecting on it. It will take many months. Tough questions will need to be asked and answered; confrontation with the self and others is inevitable; personal ideas will be torn down, solidified, or questioned greatly. But do this—do it right—and a better person will emerge at the end. They will be wiser, more thoughtful, more exacting, leaner, stronger, more focused.</t>
  </si>
  <si>
    <t>&lt;i&gt;Stubborn Attachment&lt;/i&gt;'s thesis is simple: economic growth is great for all parties involved (rich, poor, producers, consumers, selfless, selfish) and should be prioritized to the utmost. On the way, he considers six issues which may help make decisions: time, aggregation, rules, uncertainty, rights, and morality. And to make an analogy to sport, policies should not focus solely on the immediate, short-term gain it can/may produce, much like marathoners do not sprint right out of the gate when they have 26 miles to go—the energy loss is too great and may put them over the fatigue edge quickly. As Cowen states, "policies that prioritize growth at breakneck speed are frequently unstable, both economically and politically". He cites the Shah of Iran forced modernization policies as an example of what not to do.&lt;br/&gt;&lt;br/&gt;From here, three "key" questions are asked: "1. What can do to boost the rate of economic growth? 2. What can we do to make our civilization more stable? 3. How should we deal with environmental problems?"&lt;br/&gt;&lt;br/&gt;He begins with the idea of the Crusonia plant, "a mythical, automatically growing crop which generates more output each period. If you lay the seeds, the plant just grows; you don't have to water it or tend to it. ... The apple seeds germinate, resulting in a steady and indeed growing supply of new apples and also of new apple trees, albeit based on some measure of sun and rain." Cowen then likens it to economic growth, and suggests that policies should have some level of Crusonianess.&lt;br/&gt;&lt;br/&gt;To support the thesis that economic growth is objectively good, statistics on well-being and living standards are cited, including occupants per room, running water, lighting, education, disability, death/mortality, work hours, health, mental development. And it's not just for people of that growing country, but also the immigrants who come, learn/contribute, and then go back to their home countries and share the wealth of knowledge they've gained. He also cites a (single) study that predicts a 0.5% increase of GDP in R&amp;D investment would have exponential effects on output.&lt;br/&gt;&lt;br/&gt;The idea of stagnation is one I consider in many aspects, and it seemingly applies here (although I don't see it in my day-to-day!). As Cowen states, "progress is unevenly bunched, we have been in a slow period as of late, various new development are percolating, and we should do our best to help them along. ... economic growth and technological progress do not always arrive at a steady pace". Taleb has stated similar in one of his books, and I see it in everyday life. New discoveries and improvements in technique can jumpstart inventions or speed up progress. I see this in fitness where a small change in technique can allow greater efficiency, more weight to be lifted, etc. Same with educational pursuits: there have been times where I am stumped on a concept and suddenly it just clicks, opening up many more doors in the process.&lt;br/&gt;&lt;br/&gt;I really enjoy Cowen's model of "Wealth Plus", which isn't measured solely in GDP, but everything else that contributes to overall well-being: "leisure time, household production, and environmental amenities". I am reminded of Keynes' oh-so-wrong statement about his grandchildren (who are now alive and adults!) having fifteen-hour workweeks. Wealth is not just the number of commas in the bank account.&lt;br/&gt;&lt;br/&gt;Well-being and income is a decades-old debate, but I believe current research says that it continues to increase; Cowen cites the "most comprehensive study of the income-happiness link to do" to find a linear-log relationship. Income, and ultimately wealth (lowercase, traditional definition, not Wealth Plus) is almost an objective measure of freedom and security/peace-of-mind, so increasing wealth should in theory improve well-being.&lt;br/&gt;&lt;br/&gt;Another central argument is that the distant future is more important than we care to think, and "if we can get over our initial impatience for receiving a reward now, our intellect is very often capable of seeing that we should care about the more distant future as much as we should care about the less distant future". And with this, some amount of faith is involved considering the uncertainty of our actions. Trust the process and stay the course.&lt;br/&gt;&lt;br/&gt;"Our strongest obligations are to contribute to sustainable economic growth and to support the general spread of civilization, rather than to engage in massive charitable redistribution ... greater economic growth and a more stable civilization will help the poor most of all." This ties into the preceding paragraph: the present poor will not benefit now, but the future poor will (and they may not even by poor then!). Redistribution, if enacted, should prioritize those that are most likely to contribute to economic growth (without violating any rights, of course). This means major capitalists would likely be first in line to receive benefits. "If we combine the trickle-down effect from the wealth of the wealthy with a zero rate of discount, it is easy to generate scenarios in which utilitarianism would recommend the redistribution of wealth to the wealthy."&lt;br/&gt;&lt;br/&gt;Linking back to my first paragraph, Cowen claims there are two policy categories once-and-for-all and growth rate. OAFA is self-explanatory, while GR is more Crusonian and helps facilitate other improvements as a result of its enactment. I disagree that these two are mutually exclusive: OAFA can remove certain harmful regulations and open up competition, fostering innovation and improving consumer experience. The Solow model is mentioned, with its key point being that "the primary way to increase ongoing growth is to induce a higher rate of technological innovation". I will need to compare timelines of world GDP and some measure of technological progress. Cowen counters Solow with the "increasing returns" model, which states that growth/improvements begets more growth/improvements, with ideas being the fundamental source of returns: they can be re-used, improved upon, debated, used as inspiration, etc. See open-source software/licensing as an excellent example.&lt;br/&gt;&lt;br/&gt;Uncertainty must also be considered when implementing policy. There is no telling how things will end up in the future—randomness is too strong, especially with so many variables at play. Between two choices, one with a small benefit or cost and the other barebones, the small benefit or cost should not be considered, as it will eventually be of zero value.&lt;br/&gt;&lt;br/&gt;Some high-level takeaways. First, my current career is likely making a not-significant impact on the future of humanity through my innovation and ideas. Second, my public publishing of thoughts/information/knowledge has hopefully influenced a reader in some form or fashion, enough that they produce something that I had a minor hand in.</t>
  </si>
  <si>
    <t>&lt;i&gt;War and Peace&lt;/i&gt; is often acclaimed as one of, if not the, &lt;a href="https://thegreatestbooks.org/items/116"&gt;greatest novels of all-time&lt;/a&gt;, as evident by the high-ranking and sheer number of "best book" lists it makes it on, including Bloom's &lt;a href="https://www.goodreads.com/book/show/20941.The_Western_Canon?from_search=true&amp;from_srp=true&amp;qid=hsvns1hWJT&amp;rank=1"&gt;&lt;i&gt;Western Canon&lt;/i&gt;&lt;/a&gt;. This claim is not an opinion, nor can it be argued, questioned, or debated—it just is, and only those who have read this masterpiece will be able to comprehend this fact.&lt;br/&gt;&lt;br/&gt;Tolstoy explores a plethora (but not to excess) of themes through the perspective of five aristocratic Russian families and their relations during the &lt;a href="https://en.wikipedia.org/wiki/Napoleonic_wars"&gt;Napoleonic Wars&lt;/a&gt;: Bolkónsky, Rostov, Bezúkhov, Kurágin, and Drubetskóy. And despite being written 150 years ago, these motifs still directly apply to 21st-century life. Past generations are often looked at differently than the current generation—the current gen'ers think their parents can't and don't and won't possibly understand what is going on, can't &lt;i&gt;possibly&lt;/i&gt; put themselves in their position, can't feel what they are feeling—but how they are mistaken. Some experiences transcend the time period, the social status, the location that people think make them unique and unlike anybody else. Tolstoy recognizes this fact of life while looking back from the 1860s onto the 1800-1820s, masterfully discussing the bravery required during times of war; the passion one feels towards a lover both in and out of their presence; financial stress and its toll on mental and physical health; the concept of love, not just of a spouse, but of comrades, family members, and humanity in general; the difference between free will and consciousness and their role in contributing to history; teenage infatuation and mistaking it for love and allowing it to engulf your thoughts and body and actions and life and being, only to eventually to realize it's not what it was nor will it ever be that; the concept of being good and doing good for their intrinsic value, not for some underlying purpose; the desire for glory and fame amongst one's peers and countrymen and family and the fine line between courage and sheer recklessness in the attempt to achieve it; the sense of identity one feels with their nation and their people and their desire to contribute to and support that identity through the participation of war; the need for revenge after one has been wronged and the forgiveness that some choose to give towards the offender; the love of God and all His doings; the feeling of needing to take action, even when the event that the action is acting upon is already in motion and the action one proposes will serve little to no purpose except making them feel and look better; the facade of strength one puts on to ward off an enemy, despite being crippled internally; the concession of valuables in exchange for a later, but more valuable result; the standing up against adversity for what one knows and believes is the right action, regardless of the difficulty of the decision; the momentum one feels from victories, the dejection one feels from losses, and the contribution each has on the psyche and performance of an individual in future ventures. These are only some of the themes within this beautiful work and are much more elegantly expressed and developed within the pages.&lt;br/&gt;&lt;br/&gt;The final part (&lt;a href="https://www.gutenberg.org/files/2600/2600-h/2600-h.htm#link2H_4_0370"&gt;Epilogue: Part Two&lt;/a&gt; (note that this is not the Pevear-Volohonsky translation, but the gist is understood)) is the most significant of all of the volumes and parts and worth reading in and of itself. Tolstoy discusses power, free will, causes, and their roles in shaping and driving history forward. After examining the former two, he asks and promptly answers the "two essential questions of history: (1) What is power? and (2) What force produces the movement of peoples?" In regards to power, "power is that relation of a certain person to other persons in which the person takes the less part in the action the more he expresses opinions, suppositions, and justifications for the jointly accomplished action." Tolstoy uses the standard military model to exemplify power—the commander-in-chief takes the least part of action and the most of expressing his opinion (giving orders), the generals have a bit more action and less opinion, and so on and so forth all the way down to the infantry, where they perform all the action and have little to no opinion in the grand scheme of things. In regards to the force, "the movement of peoples is produced, not by power, not by intellectual activity, not even by a combination of the two,...but by the activity of &lt;i&gt;all&lt;/i&gt; the people taking part in the event and always joining together in such a way that those who take the greatest direct part in the event, take the least responsibility upon themselves, and vice versa." This definition is a bit opaque, allowing it to serve as a segue into the second part of Part Two: free will. Do humans truly have free will? is a question that has plagued philosophers since the beginning. We believe in and trust the natural laws that govern physical objects, e.g., gravity, but refuse to accept that man's will may be governed by a set of natural laws that, despite not being seen nor understood, act upon us as &lt;a href="https://www.history.com/news/did-an-apple-really-fall-on-isaac-newtons-head"&gt;gravity does an apple&lt;/a&gt;. Tolstoy distinguishes between consciousness (our ability to lift our arm when told to) and free will (the ability to direct our paths in life): consciousness is completely within reach of the individual, while free will is out of reach and dictated by history.&lt;br/&gt;&lt;br/&gt;What causes history to occur? Is it the leaders of men, like Napoleon or Alexander I? The &lt;a href="https://en.wikipedia.org/wiki/Great_man_theory"&gt;great man theory&lt;/a&gt; states that "history can be largely explained by the impact of great men". Tolstoy rejects this notion, instead proposing that no event has a single cause, but rather a multitude of smaller causes. While some view event X as the cause of of event Z, others may have a different perspective and see event Y as the cause of event Z. Does this mean one of them is wrong? Possibly. But one cause may not be mutually exclusive with another. One can go down the line of causes, finding a chain reaction that never ends. This is Tolstoy's grievance with (some) historians: they attempt to ascribe a single cause to the happening of something, not taking into account the many factors that contribute. When these factors align by coincidence is when great events occurs. For example, take a 20-digit combination lock, where the unlocking is a great event and the individual numbers are causes in the form of events. It takes all twenty numbers to align for the lock to open, but none of the individual numbers were the deciding factor in the event happening.&lt;br/&gt;&lt;br/&gt;Tolstoy does not consider &lt;i&gt;War and Peace&lt;/i&gt; a novel, nor an &lt;a href="https://en.wikipedia.org/wiki/Epic_poetry"&gt;epic&lt;/a&gt;, nor a historical chronicle, nor really fit for any set genre of literature. Instead, it's in its own category altogether, mixing and refining a variety of literary genres to create the 1200+ page (translation-dependent) work.&lt;br/&gt;&lt;br/&gt;Translations are a tricky and often controversial subject. Some readers swear by one translator, while others condemn that translator for their lack of accuracy and inability to convey the subtleties that author originally meant to express in the native version of the work. Pevear is a low-level Russian speaker and native English speaker and Volokhonsky is a native Russian speaker and high-level English speaker. (I can't find any &lt;a href="https://en.wikipedia.org/wiki/Common_European_Framework_of_Reference_for_Languages"&gt;CEFR results&lt;/a&gt; from either Pevear or Volokhonsky, but based on interviews I've watched, she has a strong grasp of English and he has been said to be &lt;a href="https://www.newyorker.com/magazine/2005/11/07/the-translation-wars"&gt;non-conversational&lt;/a&gt; in Russian, implying some proficiency.) Together they have a comprehensive, close-to-foolproof method of translating. Volokhonsky goes through the novel's Russian version and translates it directly to English, along with notes about the author's intricate meanings and verbiage within the text: What did Tolstoy really mean by that? How does Dostoevsky's use of this specific phrase contribute to the atmosphere of the passage? Pevear then cleans up her direct translation into more fluid English. Volokhonsky checks his new-and-improved translation and they continue to refine it until the English version matches the Russian version in all details, such as tone, meaning, etc. This exchange of accuracy and nuance continues a few more times in either direction, until they are satisfied. Pevear then reads the newly-translated English version to Volokhonsky while she simultaneously reads the original Russian. This method is advantageous for two obvious reasons. First, there are native speakers of both languages checking the original and checking the translation, producing two checkpoints in which errors can be detected. The native part is crucial. Other translators, like &lt;a href="https://en.wikipedia.org/wiki/Constance_Garnett"&gt;Garnett&lt;/a&gt;, learned the from-language later in life (Garnett began learning Russian at the ripe age of 30), which many believe to be less efficient and effective than learning them as a child. (This has been refuted by some, but by-and-large remains true: I nor anyone in my close friend group know anyone who has learned another language past the age of 20 to the fluency required to make an accurate translation. And yet, most bilingual speakers learned their languages at a young age.) Garnett's late-learning shows in her criticisms by &lt;a href="https://books.google.com/books?id=GwfplQ3OK8EC&amp;pg=PA38&amp;lpg=PA38&amp;dq=nabokov+on+garnett+dry+and+flat&amp;source=bl&amp;ots=m7gEg1cnEk&amp;sig=ACfU3U27zRicnxvo_yS8WSNSmfpuhjcM7w&amp;hl=en&amp;sa=X&amp;ved=2ahUKEwid_rnrnpDpAhVJ-6wKHX8HA_sQ6AEwAHoECAoQAQ#v=onepage&amp;q=nabokov%20on%20garnett%20dry%20and%20flat&amp;f=false"&gt;Nabokov&lt;/a&gt;. Second, and an extension of the first, there are more checkpoints for errors to be detected. No first draft is ever perfect (Tolstoy is reported to have written seven drafts for &lt;i&gt;War and Peace&lt;/i&gt;!), and both errors and improvements can be found when making multiple passes. With all this being said and while I suggest Pevear and Volokhonsky's translation, I encourage you to do your research on translations and choose the one you think is best.&lt;br/&gt;&lt;br/&gt;Russian novels, and this book in particular, are infamous for giving readers trouble when it comes to names. After a few hundred pages, the many relations are clear, but it definitely helps to have a loose sheet at the ready. If the book includes the list, bookmark that for quick reference.&lt;br/&gt;&lt;br/&gt;The length is no doubt daunting, but the story is engrossing enough that the number of pages becomes irrelevant. All you begin to care about is what happens next, not that you have 800 pages left. I personally tend to get bored after around 400-500 pages—get to the point! Not with &lt;i&gt;War and Peace&lt;/i&gt;. The length allows Tolstoy's thoughts to develop at their own pace—they're not hurried because the book is getting too long.&lt;br/&gt;&lt;br/&gt;This book should be and needs to be read by all, whether interested in literature or not. The themes are timeless, the writing superb, and the story riveting.</t>
  </si>
  <si>
    <t>I didn't see an overarching plot, but Steinbeck did a good job of showing the diversity of personalities and lifestyles of Cannery Row. The ending was a good touch to show how communal Cannery Row was. As Wikipedia describes, it a "regional slice of life" book, which is very fitting.</t>
  </si>
  <si>
    <t>You can't help but feel sorry for Lennie despite his unintentionally bad actions. Steinbeck masterfully crafts his words to make us pity Lennie no matter what he does—kill a mouse, kill a puppy, kill a woman. He makes genuine attempts to do better and remember, but is limited and cannot.&lt;br/&gt;&lt;br/&gt;Based on the last chapter, George seems to stay with Lennie out of loneliness: "Because I got you an——" "An' I got you. We got each other, that's what, that gives a hoot in hell about us". George describing their ideal life is for both of them, not just Lennie. Something to strive and look forward to, something to take the burden off their physically-demanding and oppressive jobs.&lt;br/&gt;&lt;br/&gt;Book is very short at ~100 pages (depending on edition) and easily readable, besides the English used.</t>
  </si>
  <si>
    <t>A friend who is deep into meditation recommends this to me as a basic introduction to mindfulness. I think he was accurate in his recommendation, hence the four stars (i.e., it achieves its objective of introducing mindfulness in basic English).&lt;br/&gt;&lt;br/&gt;The book itself is set up in a tutorial-like manner. Mindfulness as a concept is discussed, followed by practicing it, then problems that one may experience. The actual descriptions are unnecessarily verbose, but in case the initial explanations aren't enough, it definitely gets the point across.&lt;br/&gt;&lt;br/&gt;Length is fine, but like I mentioned a sentence ago, could probably be shorted to less than 50 pages.</t>
  </si>
  <si>
    <t>I'm not sure who the target audience is for this: people who grew up in the 80s and are looking for a dose of nerdy nostalgia, people who wished they grew up in the 80s, or just plain nerds (not in the derogatory sense) who want to geek out on the concept of a metaverse and all it has to offer. The book is riddled with references to older video games and movies, most of which I didn't get. Definitely geared towards an 80s kid or a teenager today.&lt;br/&gt;&lt;br/&gt;It is well-written, a page-turner for sure, but it is also very easily-written. I blazed through it in maybe four hours or so.&lt;br/&gt;&lt;br/&gt;Lots of cringy love confessions from Wade towards Art3mis, the exact kind a 14-year-old would make to his first crush (so maybe it does deserve a better rating for accuracy!). Cline does get the verbiage/sayings of teenagers and their interactions with each other right, so props to that.&lt;br/&gt;&lt;br/&gt;As to the theme: this parallels well with net neutrality and the internet losing its independence and becoming an ad space for companies. OASIS is free to begin with and only costs money when you want to buy extra in-game items. Net neutrality proponents propose the same thing: free internet access for all, but you still need to pay for goods (duh). And no one wants ads to cover any space, except the producers of the ads (IOI in RPO's case and general companies in reality's case). Wade's fight really is noble, outside of the personal spaceship portion.&lt;br/&gt;&lt;br/&gt;I really enjoyed the idea of him breaking into, then out of, the IOI's system, as well as programming the robot to take care of the shield. Smart, cool, effective.&lt;br/&gt;&lt;br/&gt;I would only recommend this book to teenagers who are into video games or other sci-fi fans.</t>
  </si>
  <si>
    <t>A collection of essays by LessWrong users. Most were interesting (to me), a few inapplicable and irrelevant (to me).&lt;br/&gt;&lt;br/&gt;The editing is poor. Lots of formatting errors.</t>
  </si>
  <si>
    <t>I've been bamboozled! Should've read the description... I assumed it was going to be the actual 1,000-person dataset, but nope, just a summarization and insights based on the data. From the little dating advice I read in there, it seemed reasonable (don't treat it like an interview or be bossy!), but there was a lot of fluff to increase page count.&lt;br/&gt;&lt;br/&gt;No rating as I didn't read it all the way through.</t>
  </si>
  <si>
    <t>A satisfying finale to a superb trilogy. I don't have much else to say. Ken Liu's translation is beautifully written and I'm sure expresses Liu Cixin's writing well.</t>
  </si>
  <si>
    <t>A fantastic follow-up to &lt;i&gt;The Three-Body Problem&lt;/i&gt;. Plot twists and philosophical notions are abundant, keeping the story gripping and entertaining. Not much else to say. On to &lt;i&gt;Death's End&lt;/i&gt;...</t>
  </si>
  <si>
    <t>Liu does an excellent job (from what I can tell) of accurately portraying the technical aspects of the story (outside of the science &lt;i&gt;fiction&lt;/i&gt; items, of course!). This is refreshing, as most SF authors seem to not consider actual physics when dealing with the real world.&lt;br/&gt;&lt;br/&gt;When Ye's betrayal of mankind is first revealed, it's hard to commiserate with her: she effectively doomed future generations to death, slavery, or similar, all dependent on the mercy of the Trisolarians. But after pondering it for a bit, it begins to make more sense. She saw her father murdered in the name of the Cultural Revolution, read the horrors of &lt;i&gt;Silent Spring&lt;/i&gt;, and was labeled a traitor by her own government. How can she not be hateful towards mankind as a whole? She isn't the only Chinese person experiencing this, nor is she the only [insert nationality here] person experiencing this. It happens all over the world and shows no sign of stopping. Wouldn't you take a bet for an all-powerful alien civilization to come and show us how to live? Okay, well maybe not... but the answer may be different when in Ye's shoes!&lt;br/&gt;&lt;br/&gt;The book has similar vibes to the movie &lt;a href="https://www.imdb.com/title/tt2543164/"&gt;&lt;i&gt;Arrival&lt;/i&gt;&lt;/a&gt;, in which alien spaceships come to Earth and two factions form among humans: a let's-be-friends-with-the-aliens group and a destroy-the-aliens group. As to which seems more reasonable is a conversation for another review.&lt;br/&gt;&lt;br/&gt;I slightly disagree with the video game within the book, called &lt;i&gt;Three Body&lt;/i&gt;, only attracting the intellectual elite and not any laypersons. He reasons "the game required too much background knowledge and in-depth thinking, and most young players didn't have the patience or skill to discover the shocking truth beneath its apparently common surface. Those who were attracted by it were still mostly intellectuals." While this is understandable, there are still plenty non-intellectuals (by degree/trade) that are interested in mentally-stimulating games. I wonder if having more regular folk would have changed the dynamic of the ETO.</t>
  </si>
  <si>
    <t>Poliquin is arguably one of the most successful, well-known strength coaches of all-time. This book is a testament as to why. It's primarily geared towards bodybuilding, but strength athletes can easily apply its principles.&lt;br/&gt;&lt;br/&gt;First, theory is discussed. Sets, reps, tempo, exercise selection and order, etc. Second, applying said theory in the form of various exercises is discussed. This is divvied up by body part and concludes with nutrition.&lt;br/&gt;&lt;br/&gt;A few gripes...&lt;br/&gt;&lt;br/&gt;First, There is no references section, nor are there any in-line citations. This is ridiculous given the numerous amount of times a variant of "studies show" is said. This is fallacious (appealing to authority) and I frankly expect better from the Poliquin Group. The only reason I give them a slight pass is that a majority of the info presented is a) pretty basic and well-established, and b) easily found online.&lt;br/&gt;&lt;br/&gt;Second, the recovery section is garbage. It discusses training twice a day (to prevent longer sessions, which have associated issues) and spends a single paragraph on eating patterns. Completely disregarded are sleep (which is featured a lot on their website), food quality (which is addressed later in the book, to their defense), and supplemental training (e.g., foam rolling, mobility work, etc). As Mark Twight so rightfully states: "&lt;a href="https://library.crossfit.com/free/pdf/CFJ_Berger_InsideGymJones.pdf"&gt;Recovery is more than 50 percent of the process&lt;/a&gt;. Poliquin Principles doesn't even begin to give the recovery process the credit it deserves.</t>
  </si>
  <si>
    <t>I really did not enjoy this book. The prose is elementary and lackluster, the character development basic, the story itself boring. I respect the premise a bit more than the rest of the book: the Memory Police controls what is and isn't in the society, resulting in citizens eventually forgetting what was and wasn't. Who is to decide that? Surely not the government, but the people? And even then, should it be an explicit decision or something that fades over time?&lt;br/&gt;&lt;br/&gt;Besides that, there's few impactful questions this book poses and little entertainment it provides.</t>
  </si>
  <si>
    <t>This book does a solid job of introducing rationalism to the average person. My main gripe—the one that causes it to get two stars—is the unnecessary length. I appreciate the fact that examples and length can add to a book, but Galef takes it a step too far. The entire book can be boiled down to about 50 pages, rather than the 240 it currently is. Zainab's review &lt;a href="https://www.goodreads.com/review/show/3965079894?book_show_action=true&amp;from_review_page=1"&gt;here&lt;/a&gt; does a good job of explaining my criticism.&lt;br/&gt;&lt;br/&gt;The concept of the scout is a good one. This book is &lt;i&gt;probably&lt;/i&gt; worth reading just for the quality content. If you see an example coming up, it can likely be glossed over without missing any important information.</t>
  </si>
  <si>
    <t>I first learned about this book from &lt;a href="https://danfrank.ca/what-im-reading"&gt;this blog&lt;/a&gt;, in which the author described it as his "favorite book of all time". I bought it on a whim after reading the Goodreads description, but did not expect such an enthralling tale of two brothers and their divergent, but eventually convergent, paths in life.&lt;br/&gt;&lt;br/&gt;Simha Meir, or Max, what he later changes his name to, works himself hard throughout life, beginning with his studies and ending with his factory post-revolution. But to what end? He alienates his wife, two children, brother, father, and everyone else who meant something to him, all on the quest to become King of Lodz and rich. His health in his final years deteriorates quickly, to the point of having to regularly take medicine. Is this really such a bad thing? Working a lot (using "too much" is subjective) is both praised and frowned upon in modern American culture. Some commend the commitment and encourage the long hours spent, while others reprimand those who work long hours, taking an interest in their health, well-being, and work-life balance. But what if the latter group truly enjoys what they do? What if those long hours bring purpose and happiness to their lives, instead of snatching it away? The book never directly mentions if Max is discontent or adverse to work, only that he arrives with the first worker and leaves along with the last. He does this day-in and day-out, rarely taking breaks for any reason.&lt;br/&gt;&lt;br/&gt;The few times he does feel unhappiness and/or jealousy is at Jacob's luck in the form of two marriages, both supplying him with wealthy wives/father-in-laws. He views the luck as unfair, that he has done all this work but only received a relatively small reward, that Jacob is lazy and unfit for such a fortune. But, alas, this is life, something Max hasn't come to terms with yet.&lt;br/&gt;&lt;br/&gt;This book taught me both that there's more to life than work, and that work can be life. This book reiterated that what seems all-important now may not be so in the near or far future. This book taught me to fight for and believe in causes with absolute conviction and no deviation. Many more themes than I care to write about are explored throughout the novel.&lt;br/&gt;&lt;br/&gt;The character development of Max and Jacob is threaded with the development of Lodz as a city, from its humble beginning to industrial present (of the time). History of the revolution is also discussed.&lt;br/&gt;&lt;br/&gt;A fantastic novel that is comparatively unknown to many others.</t>
  </si>
  <si>
    <t>Feeling Good should be read by everyone. It shows the reader how their thinking can be plain wrong or distorted and how to both identify and fix those faulty thinking patterns (they're called &lt;a href="http://www.pacwrc.pitt.edu/curriculum/313_MngngImpctTrmtcStrssChldWlfrPrfssnl/hndts/HO15_ThnkngAbtThnkng.pdf"&gt;cognitive distortions&lt;/a&gt; and there are 10 identified by Burns). And the distortions are not exclusive to one demographic or type or personality—everyone makes them. Everyone overgeneralizes negatives, everyone disqualifies positives and focuses on the negatives, everyone mind-reads the supposed negative thoughts of others. Note the common theme across the distortions: negative. These distortions ruin happiness and cause the &lt;a href="https://emeraldpsychiatry.com/wp-content/uploads/2019/05/What-is-cognitive-behavioral-therapy.jpg"&gt;CBT feedback loop&lt;/a&gt;. If negative thoughts occur, these lead to negative feelings (sadness, guilt, shame, etc). These negative feelings lead to poor behaviors. These poor behaviors finish the loop and produce more negative thoughts. This loop can propagate infinitely, getting worse and worse. CBT seeks to stop the negative feedback by changing the thoughts one has in regards to events (notice the lack of negative or positive qualifier). Fewer negative thoughts means fewer negative feelings means fewer negative behaviors, eventually reaching close to zero across all vertices of the triangle (zero is extremely difficult). Instead, positive thoughts (learned from CBT training) means positive feelings means positive behaviors.&lt;br/&gt;&lt;br/&gt;Examples are presented throughout every step of the book, and Burns does an excellent job of explaining them such that a layperson can understand. No complex words, no previous knowledge of psychology needed.&lt;br/&gt;&lt;br/&gt;I did not read the parts discussing depression or related issues.&lt;br/&gt;&lt;br/&gt;Fenn and Byrne's &lt;a href="https://journals.sagepub.com/doi/full/10.1177/1755738012471029"&gt;The key principles of cognitive behavioural therapy&lt;/a&gt; provides a decent overview of CBT and provide solid resources (see linked-to papers within the paper) to specifics.</t>
  </si>
  <si>
    <t>Caplan's primary selling point on why one should have children, especially &lt;i&gt;more&lt;/i&gt; children, is that they're easier to raise than most people anticipate or society portrays. To support this, he cites &lt;a href="https://en.wikipedia.org/wiki/Twin_studies"&gt;twin&lt;/a&gt; and &lt;a href="https://en.wikipedia.org/wiki/Adoption_study"&gt;adoption&lt;/a&gt; studies, which allow the nature vs. nurture argument to be quantified. Six typical wishes of parents are examined: health, intelligence, happiness, success, character, and values. (I can't think of any other wishes I would make for my child to have.) According to the cited studies, all come back pointing towards genetics as the driving factor, taking some responsibility off of the parent(s) for the success (in all aspects) of their child. And while some parental efforts may make long-term impacts, most regress to their "personal mean" (quotations mine). Caplan's message to parents essentially boils down to "relax, they'll turn out fine or not, and it probably won't be your fault".&lt;br/&gt;&lt;br/&gt;Caplan moves onto looking at what he calls "fade-out", or the regression or progression to what was originally to be, despite the parents' efforts. Fade-out appears in regards to intelligence, income, crime, and religion. For example, "During childhood, the nurture effect is big. If you're more religious than 80 percent of kids, we should expect your adopted sibling to be more religious than 68 percent. Yet by the time you're thirty-three years old, two-thirds of this effect fades out." He then provides three suggestions for making the best of nature vs. nurture (where nature has a larger impact): "lighten up", "choose a spouse who resembles the kids you want to have", "if you want to drastically improve a childs life, adopt from the third world", "raise your children with kindness and respect", "share your creed, but don't expect miracles", "don't write off your teens", and "have more kids".&lt;br/&gt;&lt;br/&gt;More topics, including child safety, heuristics for determining number of kids, why more kids are better for the world, being a grandparent, birth-related technology are discussed. Finally, Caplan discusses his arguments with fictional characters to bring a more balanced view to the book.&lt;br/&gt;&lt;br/&gt;He has &gt;50% convinced me that it is easier to raise children than society portrays. Not making them do things they don't want to (to an extent), giving them more independence, and trying less (wow, that sounds bad!) will make my job easier as a parent and their lives more enjoyable/fruitful. Next up on the parenting reading list is Harris' &lt;a href="https://www.goodreads.com/book/show/633128.The_Nurture_Assumption"&gt;The Nurture Assumption&lt;/a&gt;.&lt;br/&gt;&lt;br/&gt;The book is well-formatted and well-written. All claims are clearly cited in the Notes section by respective text, e.g., "&lt;i&gt;Children under five years old are almost five times as safe&lt;/i&gt;, [full citation]".</t>
  </si>
  <si>
    <t>Full text &lt;a href="https://docsouth.unc.edu/neh/aga/aga.html"&gt;here&lt;/a&gt;. Took me &lt;30 min to read.&lt;br/&gt;&lt;br/&gt;Aga talks about his home country of Sudan, his abduction and subsequent sale by slavers, and (forced) travels to Egypt, Italy, and finally England. Poems are included at the end. &lt;i&gt;The Seasons&lt;/i&gt; is quite nice.</t>
  </si>
  <si>
    <t>Per Larson's usual style, multiple storylines are followed: that of Isaac Cline, chief meteorologist of the U.S. Weather Bureau's Galveston office; that of the Weather Bureau itself and its development; and that of the poor souls of Galveston who suffered on that fateful day. Of course, there is a fair amount of speculation on Larson's part. Documentation regarding that day is less widespread than it would be in today's digital age, but his speculations are not that far-fetched, e.g., bodies undoubtedly stunk, those who stayed in place towards the beginning very probably doubted the storm's tenacity.&lt;br/&gt;&lt;br/&gt;However, there is too much fluff. Larson provides accounts of the storm that are almost too detailed, but they do serve to show the thinking at the time and intensity of the hurricane during its peak.&lt;br/&gt;&lt;br/&gt;And as usual, Larson's notes are phenomenal. He emits nothing (unlike some &lt;a href="https://www.goodreads.com/review/show/3299233223"&gt;books&lt;/a&gt;) and specifies his research method.</t>
  </si>
  <si>
    <t>Recommended by a friend one day, picked up the next, finished less than 36 hours later. A few themes and questions to explore below.&lt;br/&gt;&lt;br/&gt;Self-reliance is instilled in Ender at a young age. After removing his monitor, a group of boys attacks Ender, resulting in one of them dying unbeknownst to Ender. Later during Battle School, Ender grossly offends a student three years in senior, resulting in a shower fight and the death of the attacker, still unbeknownst to Ender. The latter fight is what sets the reality in: &lt;a href="https://thirtysecondsout.com/collections/no-one-is-coming-its-up-to-us/products/t-shirt-no-one-is-coming-punk"&gt;no one is coming&lt;/a&gt; to save him at any point, imminent danger or otherwise. This is a major milestone in Ender's education and progress as a military commander. When he's ready to fight, whether it be a simulation or the real deal against real buggers, he knows he's all alone, save the team he commands. This concept of self-reliance is a big part of my personal philosophy. From a &lt;a href="https://ethanmorse.github.io/training/alone/alone.html"&gt;blog post&lt;/a&gt;: "Ultimately, we are all alone. People can be unreliable and disloyal, have higher priorities, change interests. Many friends and family you know will die while you continue living. Relying on yourself is an underrated, under-thought-of skill nowadays. There's nothing wrong with leaning on others for support, but it should only be opted for once the first line of defense has failed: yourself." If someone does come, great, help has arrived. If someone doesn't, fine, preparations were made and no help was ever expected.&lt;br/&gt;&lt;br/&gt;Ender's leadership abilities develop throughout the course of his time at Battle School, arguably due to his intelligence and by extension, his quick advances and leaderboard ranks. Leadership is a mixture of innate ability and developed skills, with the former being more important. Innate leadership qualities include (roughly by order, exceptions exist), but are not limited to: intelligence, physical attributes (height, attractiveness), and charisma (arguably a developed skill, but I'll keep it here). Find me a major leader in either the private or public sector who is not somewhat intelligent. I'll wait. Ender exceeds the intelligence requirement but fails in physical attributes relative to other leaders and charisma in the beginning. His developed skills is what sets him apart. Those who excel in something—sport, career, etc—automatically are more valuable to the organization, and value rises to the top where it can provide more value. Ender does just that. He continues to practice and develop his own skills in the battle rooms and as a leader, all while climbing the ranks within Battle School.&lt;br/&gt;&lt;br/&gt;There is more on the purpose of games and how they relate to military training and the balance of compassion and ruthlessness (they are not necessarily mutually exclusive by my definitions), but I'm too lazy to write about those. Maybe another time.&lt;br/&gt;&lt;br/&gt;My only critique of this book is how easy Ender had it during Battle School in terms of competition. He lost one single time (only counting situations truly under his control) throughout his entire time there, and that was the first time playing a game he had only observed for a short while, much less actually played. He trounced every single other army that challenged his and topped the leaderboards in multiple categories. How accurate or likely is this flawless record? Well, if Ender truly is what Graff and others think he is (and he is), then it's fairly likely, but makes for more boring and predictable plot than if he lost a battle here or there. Some situations were practically un-winnable, at least at first glance, and Ender defied the odds and came out victorious. But events like this had a purpose: showing the reader and other characters Ender really was &lt;i&gt;that&lt;/i&gt; good.</t>
  </si>
  <si>
    <t>The beauty of non-fiction books is that they are supported by sources, sources that can be found in the references section of the book, not on the author's website because of "limitations of space". It's literally a 400-page book and the most important part is abbreviated? Instead he invites readers to his website for additional references.&lt;br/&gt;&lt;br/&gt;Let's do some math. Because I'm too lazy to go through and count every additional reference and searching the page source doesn't yield anything obvious, the first four chapters have roughly 100 references total. There are 20 chapters, so 500 (20 chap * 100 ref / 4 chap) references if we extrapolate. Each page in the actual book holds roughly 12 references, giving a total number of pages of 500/12 = 42 pages. The current length is 10, so an extra 32 pages, or 7% of the current book's size, are required to fit all references.&lt;br/&gt;&lt;br/&gt;How much extra does this cost? Using Amazon's &lt;a href="https://kdp.amazon.com/en_US/help/topic/G201834340"&gt;KDP cost estimator&lt;/a&gt;, two costs can be calculated: that for 443 pages (current size) and that for 443+32=475 pages. The cost per book is then found to be $6.17 and $6.55, respectively—a $0.38 difference. However, this is KDP, designed for individuals. I was not able to find info on HarperCollins printing costs, but I imagine they are significantly lower since &lt;i&gt;Sapiens&lt;/i&gt; would be printed en masse.&lt;br/&gt;&lt;br/&gt;Wild claims are made without any sort of evidence to back it up. (Well, maybe there is, but I'm not going to sort through his website to search for it. The burden of proof is on Harari.) The tipping point for me was this footnote, in reference to how violent our ancestors were: "It might be argued that not all eighteen ancient Danubians actually died from the violence whose marks can be seen on their remains. Some were only injured. However, this is probably counterbalanced by deaths from trauma to soft tissues and from the invisible deprivations that accompany war." Statements like these require some form of evidence, of which none is given, and statements like these are littered throughout the first 62 pages of the book. Why 62 and not after? I stopped reading at 62.&lt;br/&gt;&lt;br/&gt;This is not a scientific book. Sure, there are some basic facts and well-established information there, but for the speculative parts, Harari fails miserably at supporting his theories.&lt;br/&gt;&lt;br/&gt;Do not waste your time on this book.</t>
  </si>
  <si>
    <t>This program is excellent for GPP. Surprisingly well written and provides sound training advice. This program is easily integrable into most athletes' regimens, whether endurance- or strength-based.</t>
  </si>
  <si>
    <t>Faced with death by chance, should it be taken honorably and without protest, or with a fight and begging? Should your social position dictate your ability to get out of it? Does getting out of it by way of another's death (agreed upon by both individuals) make you a coward?</t>
  </si>
  <si>
    <t>As many other reviewers say, the prose is masterfully written. Ishiguro is able to take the form of a legitimate English butler (not that I've ever met one or know what they sound like, but if I had to imagine, this is it) and runs with it in all of Stevens' behaviors, mannerisms, and speech. His awkwardness and ignorance with other staff and his masters is portrayed perfectly.&lt;br/&gt;&lt;br/&gt;The reader understands quickly that Stevens' work is his life, and despite the modern tendency to denounce this and say "work to live", Stevens is quite satisfied with it. He enjoys his work, doesn't dislike his lack of vacation time, and takes pride in his leading a staff, big and small. I expected him to become disillusioned with his work-life balance (or lack thereof) as he went further away from Darlington Hall, but I was proven wrong: he encountered no resistance to his ways despite meeting many different people, nor did he explicitly express regret at how he lived his life. Many can take a note out of his book!&lt;br/&gt;&lt;br/&gt;Part of his work=life is the impact he saw it having on the world. The late-night cigar sessions, the constant refilling of drinks, etc, he saw as facilitating discussion that led to world-impacting decisions, discussion that would not have been as fruitful had he not been there taking care of the small details. Whether or not he &lt;i&gt;truly&lt;/i&gt; mattered we will never know, but I'll give him the benefit of the doubt.&lt;br/&gt;&lt;br/&gt;The quote that stuck with me the most was: "After all, what can we ever gain in forever looking back and blaming ourselves if our lives have not turned out quite as we might have wished? The hard reality is, surely, that for the likes of you and me, there is little choice other than to leave our fate, ultimately, in the hands of those great gentlemen at the hub of this world, who employ our services. What is the point in worrying oneself too much about what one could or could not have done to control the course one's life took? Surely it is enough that the likes of you and me at least &lt;i&gt;try&lt;/i&gt; to make a small contribution count for something true and worthy. And if some of us are prepared to sacrifice much in life in order to pursue such aspirations, surely that is in itself, whatever the outcome, cause for pride and contentment."&lt;br/&gt;&lt;br/&gt;Regret of one's past decisions plays a crucial teaching role in future decisions, one that can rarely be taught in other fashions. I view us as having two fates. One is immediate and almost entirely within our control: we can choose our jobs, our friends, our hobbies, our actions. This guides our life in the direction we want it, and is almost entirely out of the "hands of those great gentlemen at the hub of this world". The other fate is determined by those aforementioned gentlemen. I will (hopefully) never guide U.S. domestic policy in my lifetime. I leave that up to the elected officials myself and others put into office. In a country- and world-sense, those decisions are out of our hands and not worth concerning ourselves with. His last point hits home and applies universally. Contribution is a key factor in life satisfaction and should be thought of with pride and contentment. And in the end, isn't happiness the only thing that matters?</t>
  </si>
  <si>
    <t>&lt;i&gt;When to Rob a Bank&lt;/i&gt; is just a compilation of blog posts from &lt;a href="https://freakonomics.com/"&gt;Freakonomics&lt;/a&gt;. The posts vary wildly: most are funny, some are smart, some are not-so-smart, and a few are serious.&lt;br/&gt;&lt;br/&gt;This is good bedtime reading, but not really otherwise.</t>
  </si>
  <si>
    <t>de Becker's premise is simple: violence can (likely) be predicted. The person that lashes out in contradiction to their normal behavior probably had indicators that could have been noticed before the incident occurred.&lt;br/&gt;&lt;br/&gt;&lt;i&gt;Gift of Fear&lt;/i&gt; is primarily geared towards women and employers (because of workplace violence), but de Becker discusses a few other things.&lt;br/&gt;&lt;br/&gt;de Becker also argues that one should listen to fear whenever it's present and justified.&lt;br/&gt;&lt;br/&gt;Anecdotes are presented throughout to exemplify the principles.&lt;br/&gt;&lt;br/&gt;Brief notes &lt;a href="https://ethanmorse.github.io/knowledge/texts/text_reviews/text_reviews.html#gift_of_fear"&gt;here&lt;/a&gt;.</t>
  </si>
  <si>
    <t>See my notes (quotes) on the book &lt;a href="https://ethanmorse.github.io/knowledge/texts/text_reviews/text_reviews.html#vagabonding"&gt;here&lt;/a&gt;. The corresponding website is &lt;a href="https://vagabonding.net"&gt;vagabonding.net&lt;/a&gt;.&lt;br/&gt;&lt;br/&gt;Potts offers both advice on the physical and mental aspects of traveling, from what to bring on the months-long trip to how to approach adventure and the actual act of vagabonding. At the end of each chapter is a "Tip Sheet", where Potts provides further resources on the chapter's topic, including books and a short summary, websites, and other pieces of advice. Relevant quotes are found throughout the book.&lt;br/&gt;&lt;br/&gt;My main takeaways: pack light; go with the flow; do what you want.&lt;br/&gt;&lt;br/&gt;See also &lt;a href="https://www.goodreads.com/book/show/463297.My_Journey_to_Lhasa"&gt;&lt;i&gt;My Journey to Lhasa&lt;/i&gt;&lt;/a&gt;, &lt;a href="https://www.goodreads.com/book/show/124431.In_Xanadu"&gt;&lt;i&gt;In Xanadu&lt;/i&gt;&lt;/a&gt;, &lt;a href="https://www.goodreads.com/book/show/825419.Arabian_Sands"&gt;&lt;i&gt;Arabian Sands&lt;/i&gt;&lt;/a&gt;, &lt;a href="https://www.goodreads.com/book/show/670302.Among_the_Mountains"&gt;&lt;i&gt;Among the Mountains&lt;/i&gt;&lt;/a&gt;, &lt;a href="https://www.goodreads.com/book/show/253984.A_Time_of_Gifts"&gt;&lt;i&gt;A Time of Gifts&lt;/i&gt;&lt;/a&gt;.</t>
  </si>
  <si>
    <t>Link to another translation &lt;a href="https://archive.org/stream/SenecaOnTheShortnessOfLife/Seneca+on+the+Shortness+of+Life_djvu.txt"&gt;here&lt;/a&gt;. I also recommend checking out &lt;a href="http://classics.mit.edu/"&gt;The Internet Classics Archives&lt;/a&gt; for similar free literature.&lt;br/&gt;&lt;br/&gt;I came in expecting a book as impactful as Aurelius's &lt;a href="https://www.goodreads.com/book/show/30659.Meditations"&gt;&lt;i&gt;Meditations&lt;/i&gt;&lt;/a&gt;, which is one of the most important and formative books I've read, but was disappointed. It reads similarly, but the topics are just not the same.&lt;br/&gt;&lt;br/&gt;Seneca's argument is simple. Life is short, but only feels short to those who waste it. It is those who maximize their days that get the most out of life, both in quality and quantity.&lt;br/&gt;&lt;br/&gt;A few good quotes:&lt;br/&gt;&lt;br/&gt;"It is not that we have a short space of time, but that we waste much of it. Life is long enough, and it has been given in sufficiently generous measure to allow the accomplishment of the very greatest things if the whole of it is well invested. But when it is squandered in luxury and carelessness, when it is devoted to no good end, forced at last by the ultimate necessity we perceive that it has passed away before we were aware that it was passing. So it is—the life we receive is not short, but we make it so, nor do we have any lack of it, but are wasteful of it." This reminds me of the cliche quote that goes something like "Everyone has 24 hours in a day. How will you choose to spend yours?" While obvious, it should be understood. Too many spend their 16 waking hours mindlessly browsing their phone and doing unproductive, unenjoyable activities out of habit or lack of freedom (paychecks are required to live).&lt;br/&gt;&lt;br/&gt;"The space you have, which reason can prolong, although it naturally hurries away, of necessity escapes from you quickly; for you do not seize it, you neither hold it back, nor impose delay upon the swiftest thing in the world, but you allow it to slip away as if it were something superfluous and that could be replaced." This sums up one of Seneca's primary arguments: time is irreplaceable and thus the most valuable asset any human possesses. Material objects, money, etc., can easily be replaced, but you can never get back the time that just passed while reading this sentence. And yet people allow time to flow right past them without giving it a second thought.&lt;br/&gt;&lt;br/&gt;"Life will follow the path it started upon, and will neither reverse nor check its course; it will make no noise, it will not remind you of its swiftness. Silent it will glide on; it will not prolong itself at the command of a king, or at the applause of the populace. Just as it was started on its first day, so it will run; nowhere will it turn aside, nowhere will it delay. And what will be the result? You have been engrossed, life hasten by; meanwhile death will be at hand, for which, willy nilly, you must find leisure." First off, yes, "willy nilly" is verbatim. This idea of time making no noise or reminding you is a common experience in society. Parents often say "it seemed like he was just [age] a minute ago..." and most adults feel like "they were just starting work yesterday". I experienced this with passing through university: while it took four years and I can vividly remember each of the eight, busy semesters, it nonetheless passed quickly (and much more quickly than I would have liked!). I now try to take a moment when I'm doing something enjoyable (hanging out with friends, enjoying nice weather outside, eating a delicious meal) to stop and take in the full experience.</t>
  </si>
  <si>
    <t>A wonderful, capturing story of gross injustice and the vengeance upon the wrongdoers, exploring themes of love and the extent of revenge in the process.&lt;br/&gt;&lt;br/&gt;So, can revenge go too far? Does it depend on the crime committed, and should the severity of revenge be greater than the severity of the crime? Who is to determine that? What happens when innocent bystanders are negatively affected, or even killed? These are all questions posed to the reader as the story progresses. &lt;br/&gt;&lt;br/&gt;The book is quite long, mostly as a function of the language of the times. For example, an excerpt: "I confess this is the drollest thing I have ever met with in the course of my extensive foreign transactions and you may readily suppose it has greatly roused my curiosity; indeed, so much did I long to see the bearer of so unprecedented an order for an unlimited credit, that I took the trouble this morning to call on the pretended count, for his title is a mere fiction—of that I am persuaded." While this isn't necessarily a bad thing, it absolutely contributes to the massive length of the book (the Modern Library edition is 1462 pages). I recommend learning the characters' names, relations, and positions, as it makes understanding the text much easier.</t>
  </si>
  <si>
    <t>Dalrymple's account of following in &lt;a href="https://en.wikipedia.org/wiki/Marco_polo"&gt;Marco Polo&lt;/a&gt;'s journey in his book, &lt;a href="https://www.goodreads.com/book/show/1025439.The_Travels_Of_Marco_Polo?from_search=true&amp;from_srp=true&amp;qid=4nQhVaIT9j&amp;rank=2"&gt;&lt;i&gt;The Travels of Marco Polo&lt;/i&gt;&lt;/a&gt;. He alternates between the culture and history of the place he's at and his actual travels. See David-Néel's &lt;a href="https://www.goodreads.com/book/show/463297.My_Journey_to_Lhasa?ac=1&amp;from_search=true&amp;qid=iaTGkhv6Wb&amp;rank=1"&gt;&lt;i&gt;My Journey to Lhasa&lt;/i&gt;&lt;/a&gt; (&lt;a href="https://www.goodreads.com/review/show/2951252490?book_show_action=false&amp;from_review_page=1"&gt;my review&lt;/a&gt;) for a similar adventure.</t>
  </si>
  <si>
    <t>Short disclaimer: I am 22 y.o. white middle-class male.  I grew up playing violent video games akin to the ones he describes in the book (Halo, Call of Duty, although Grand Theft Auto wasn't allowed until around 12 y.o.). I have never taken prescription drugs for ADHD, but have many friends who have. My kindergarten classroom was not as rigorous as Sax describes modern classrooms—we had story time, nap time, and recess.&lt;br/&gt;&lt;br/&gt;With all that said, I did not enjoy this book, specifically the video games section. Sax attributes the "growing epidemic of unmotivated boys and underachieving young men" to five distinct factors: video games, teaching methods, prescription drugs, environmental toxins, and devaluation of masculinity. (This is on the cover page of some books, but not for others.)&lt;br/&gt;&lt;br/&gt;Video games have been blamed as the cause of violence by the media for a number of years now. They question the motives of school shooters, sometimes wondering if video games are to blame. The &lt;a href="https://en.wikipedia.org/wiki/American_Psychological_Association"&gt;American Pscyhological Association&lt;/a&gt; has stated that there is &lt;a href="https://www.apa.org/news/press/releases/2015/08/violent-video-games"&gt;insufficient evidence&lt;/a&gt; to link violence and video games. This book was published in 2007, so well before the APA's &lt;a href="https://www.apa.org/about/policy/violent-video-games"&gt;Resolution on Violent Video Games&lt;/a&gt; was published. Regardless, some of his suggestions for the "appropriate use of video games" are practically ridiculous: "no more than forty minutes a day on school days, one hour a day on other days" (forty minutes is hardly enough time to have fun time), "some of the E-rated games were more violent—and engendered more violent behaviors—than some explicitly violent "T" games" (yet these games were not named in &lt;i&gt;Boys Adrift&lt;/i&gt; nor the cited book, &lt;i&gt;Violent Video Game Effects on Children and Adolescents&lt;/i&gt;). As for anecdotal evidence, neither myself nor any of my violent-video-game-playing friends, numbering well over 10 (so not quite statistically significant), have ever shown questionable signs of violence. And yet we still enjoy action and war movies, shooting guns, etc.&lt;br/&gt;&lt;br/&gt;His other suggestions and remedies are more reasonable. In regards to education, don't force boys to start so early in life and focus the curriculum on experiencing things, rather than just book-smart knowledge. In regards to ADHD diagnosis, choose an independent evaluator that goes through all the steps to determine if the child likely has ADHD, and only then prescribe him medicine in conservative amount.&lt;br/&gt;&lt;br/&gt;This book is worth reading because a) it has a few tidbits of helpful advice, and b) it is so short and not much time will be spent on it.</t>
  </si>
  <si>
    <t>&lt;a href="https://en.wikipedia.org/wiki/Richard_Feynman"&gt;Richard Feynman&lt;/a&gt; is known for a few things: his work on quantum mechanics, his &lt;a href="https://www.feynmanlectures.caltech.edu/"&gt;undergraduate lecture series&lt;/a&gt; on the standard physics series (mechanics and thermodynamics, electricity and magnetism, and quantum), and his work on the &lt;a href="https://en.wikipedia.org/wiki/Manhattan_Project"&gt;Manhattan Project&lt;/a&gt;. What most people don't realize is that this physics professor also had fun in his spare time, and this book is his chance to enlighten us.&lt;br/&gt;&lt;br/&gt;Feynman's adventures are numerous and diverse, including fixing broken radios; designing a burglar alarm (and having it work on his mother); stealing doors from fellow fraternity members; reciting Italian poems to Girl Scouts; serving as a chief research chemist; lecturing to &lt;a href="https://en.wikipedia.org/wiki/Albert_Einstein"&gt;Einstein&lt;/a&gt;, &lt;a href="https://en.wikipedia.org/wiki/John_von_Neumann"&gt;von Neumann&lt;/a&gt;, and &lt;a href="https://en.wikipedia.org/wiki/Wolfgang_Pauli"&gt;Pauli&lt;/a&gt;; smelling books and finding out exactly who touched them; watching the &lt;a href="https://www.youtube.com/watch?v=7dfK9G7UDok"&gt;Trinity test&lt;/a&gt;; cracking safes; picking up women at bars; learning Portuguese in preparation for Brazil; gambling with other people's money; learning how to draw; serving on a commission that chooses textbooks for public schools (and getting wooed by the publishers).&lt;br/&gt;&lt;br/&gt;The final chapter discusses the scientific method and scientific integrity. See his lecture &lt;a href="https://www.youtube.com/watch?v=EYPapE-3FRw"&gt;here&lt;/a&gt; and &lt;a href="https://www.youtube.com/watch?v=36GT2zI8lVA"&gt;his answer&lt;/a&gt; to the simple question "why".&lt;br/&gt;&lt;br/&gt;A few other reviewers mention his arrogance and that most of his jokes are at the expense of others. This is true, but not nearly as pronounced as they make it to be. He tends to be humble in his descriptions, but whether that is honest or hollow must be determined by the reader.</t>
  </si>
  <si>
    <t>As the name implies, this book is a series of essays written by &lt;a href="https://en.wikipedia.org/wiki/John_Muir"&gt;John Muir&lt;/a&gt;, a prominent outdoorsman and one of the primary reasons America has so many &lt;a href="https://en.wikipedia.org/wiki/List_of_national_parks_of_the_United_States"&gt;national parks&lt;/a&gt;.&lt;br/&gt;&lt;br/&gt;Muir eloquently describes his romps around the woods, climbs up prominent peaks (Mt. Shasta, Rainier), and other adventures in the untouched western U.S. wilderness. His writing is quite beautiful, invoking feelings of awe towards nature and providing vivid imagery to put the reader in Muir's own boots. An excerpt: "when one of the greatest and most impressively sublime of all the mountain views I've ever enjoyed it came full in sight – more than three hundred miles of closely packed peaks of the great Coast Range, sculptured in the boldest manner imaginable, their naked tops and dividing ridges dark in color, their sides in the cañons, gorges, and valleys between them loaded with glaciers and snow. From this standpoint I counted upwards of two hundred glaciers, while dark-centered, luminous clouds with fringed edges hovered and crawled over them, now slowly descending, casting transparent shadows on the ice and snow, now rising high above them, lingering like loving angels guarding the crystal gifts they had bestowed."&lt;br/&gt;&lt;br/&gt;There is no mistaking Muir's fascination and sheer love for the wilderness: his writing conveys just how much nature means to him and how he sees it differently than the average hiker.&lt;br/&gt;&lt;br/&gt;This book is highly recommended for any outdoors person, and should be read while experiencing nature (preferably similar to where was!).&lt;br/&gt;&lt;br/&gt;If you're wanting to experience Californian nature and mountains, I highly recommend &lt;a href="https://www.trinityalpsresort.com/"&gt;Trinity Alps Resort&lt;/a&gt;, located near Redding, CA. Established in the 1920's (my great-grandfather went there as a child), it is a wonderful place to relax with friends and family and experience nature. The hike to &lt;a href="https://en.wikipedia.org/wiki/Emerald_Lake_(Trinity_County,_California)"&gt;Emerald Lake&lt;/a&gt; is challenging (26 miles round-trip from TAR), but entirely worth it: landscapes straight out of this book are present along the entire trail.&lt;br/&gt;&lt;br/&gt;See also: Albert Bierstadt's &lt;a href="https://www.albertbierstadt.org/the-complete-works.html"&gt;complete works&lt;/a&gt;, &lt;a href="https://californiahighsierra.com/"&gt;California's High Sierra&lt;/a&gt;.</t>
  </si>
  <si>
    <t>This book is an extended case study on "110 low-income unwed fathers" in the Philadelphia metropolitan area (Camden, NJ, is included in this). Black and white, young and old, mature and immature.&lt;br/&gt;&lt;br/&gt;A few takeaways from this:&lt;br/&gt;&lt;br/&gt;In most families, the relationship of the parents come first, followed by the birth of the child. For a large majority of the fathers surveyed, the child came first, followed by the relationship. How? Lack of care about contraceptives is the main cause. Men often don't wear condoms and women are sometimes off of birth control. Some also just don't care or have enough foresight to consider the consequences.&lt;br/&gt;&lt;br/&gt;Fathers are largely excited and accepting towards becoming a father. In contrast to society's stereotypical view of low-income fathers who impregnate a woman and then leave, most of the men view their being a father as the best thing to ever happen to them, for a few reasons. For one, it is a goal they've always had: raising a little them and watching their growth and development in the world. It's also a catalyst for change, especially when the fathers' paths are not on an optimal path: the child gives them meaning and purpose in their lives.&lt;br/&gt;&lt;br/&gt;Ideal characteristics of a father are common among inner-city fathers, but the ability to provide reigns supreme above all. This can be especially problematic for those with low paychecks, as their take-home pay after the essentials (rent, groceries, etc) can be quite small, minimizing the amount they can provide for their children.&lt;br/&gt;&lt;br/&gt;"Quality time" is one of the most important parts of the father-child relationship. Fathers cherish the regular activities they get to do with their children, be it watching television or going to the park.&lt;br/&gt;&lt;br/&gt;Mothers are discussed briefly, but their views are similar across the board: fathers need to contribute both financially and morally, be accountable (no more going to the bars after work when the baby's at home), and so on. Some men oppose this and view it as constricting on their lifestyle, causing them to not pursue a relationship with the mother.&lt;br/&gt;&lt;br/&gt;An appendix details the statistics of the fathers, including their income, reactions to pregnancy, level of pregnancy intentionality, relationship strains preceding breakup, etc.&lt;br/&gt;</t>
  </si>
  <si>
    <t>A thrilling travel tale of &lt;a href="https://en.wikipedia.org/wiki/Alexandra_David_Neel"&gt;Alexandra David-Néel&lt;/a&gt;'s journey to the Thibetan city of &lt;a href="https://en.wikipedia.org/wiki/Lhasa"&gt;Lhasa&lt;/a&gt;, complete with adventures of conjuring evil magic against potential robbers, telling the fortune (&lt;a href="https://en.wikipedia.org/wiki/Mo_(divination)"&gt;Mo&lt;/a&gt;) of Thibetans they meet along the way, and avoiding detection by the hundreds of travelers and villagers they encounter on their journey.&lt;br/&gt;&lt;br/&gt;Neel and her adopted Thibetan son, Yongden (who is also a Western-educated &lt;a href="https://en.wikipedia.org/wiki/Lama"&gt;lama&lt;/a&gt;), took on the disguises of beggars making a pilgrimage to Lhasa. Their overt belongings included tents and food, while a compass, revolver, and money were hidden, only to be used when needed. Neel, having a white complexion, darkened her face with powder or cream (not sure how exactly to describe it) and wore a bonnet. Most travel took place at night to avoid interaction and possible detection, and she feigned ignorance when topics were discussed that a beggar should have no knowledge of. They stayed in villages, on rocky and plush ground, in abandoned huts; traveled through dense forests, over mountain peaks with blistering winds and dense snow, across valleys with lush grasslands; encountered pilgrims, robbers, reported cannibals (supposedly people who entered the Polung Teangpo region never returned, so there's only one thing that could have happened... (note that this region is not found on Google Maps nor Google in general)), lamas, bears; told lies as amusement (not cruelly), impressed others with their abilities, shot at a robber, prepared for battle against a gang. Despite their near-death experiences, Neel had the time of her life on the journey, but for her it was not about the journey, but the destination, for she would have been the first Western woman to ever set foot in Lhasa, also known as the Forbidden City.&lt;br/&gt;&lt;br/&gt;She arrived there just in time for the New Year celebrations (assumedly &lt;a href="https://en.wikipedia.org/wiki/Losar"&gt;Losar&lt;/a&gt;, the Thibetan New Year, but she never mentions it by name), remaining there and experiencing all the culture it had to offer. She slowly progresses in status to a middle-class woman with a servant.&lt;br/&gt;&lt;br/&gt;Thibetan culture is explained throughout, helping to supplement some of their actions. While not nearly as dedicated to the culture as her other book, &lt;a href="https://www.goodreads.com/book/show/921455.Magic_and_Mystery_in_Tibet?from_search=true&amp;from_srp=true&amp;qid=Db22Wj4u9z&amp;rank=1"&gt;&lt;i&gt;Magic and Mystery in Tibet&lt;/i&gt;&lt;/a&gt;, it offers a shallow, seemingly-comprehensive introduction into Thibetan culture and customs that would be difficult to learn about otherwise.&lt;br/&gt;&lt;br/&gt;A short compilation of Thibetan scenery can be found &lt;a href="https://www.youtube.com/watch?v=WP5f38VPLf8"&gt;here&lt;/a&gt;. This &lt;a href="https://www.redlandsdailyfacts.com/wp-content/uploads/migration/2015/201501/NEWS_150119440_EP_1_KCJCQCXDEAJX.jpg?w=810"&gt;picture&lt;/a&gt; seems to be the best available that features her route to Lhasa.&lt;br/&gt;&lt;br/&gt;This should be a part of any and every travel- or adventure-related bookshelf. Highly entertaining and informative, so highly recommended!</t>
  </si>
  <si>
    <t>War can be &lt;a href="https://www.goodreads.com/quotes/45446-it-is-only-those-who-have-neither-fired-a-shot"&gt;hell&lt;/a&gt; for multiple reasons. Most think of the gruesome fighting. The bullets &lt;a href="https://www.youtube.com/watch?v=rRvRG7tMCdA"&gt;whizzing and cracking&lt;/a&gt; past your ear, the smell of gunpowder and death and blood overwhelming the nostrils, the smoke clouding your vision, the fear that disables all bladder and bowel control, the thoughts of your past and future experiences that haven't happened yet and at this rate won't. But there is another hell people don't know about or even consider: the non-combative hell, the hell where you don't experience your expectations and are disappointed more than you thought possible.&lt;br/&gt;&lt;br/&gt;Imagine this: from a young age you dream of being a [insert career path here]. You read all the books and watch all the television shows that glorify that career and give you a false notion as to what it entails and how many women will be obsessing over you. As you grow older, you begin to train and invest precious youthful time to best prepare you, whether it be lifting weights or studying or practicing a craft. Finally, the momentous day comes: you've accepted the job offer. Your family and friends are there in support and cheer as your dream of over a decade has come to fruition. You are excited for what the future holds. You aren't jaded. Yet.&lt;br/&gt;&lt;br/&gt;You begin job-specific training and learn the tricks of the trade, the do's and dont's. You continue training and refining your skills, ready to be called upon to serve the purpose you've been waiting for for the majority of your life. Months or years may go by before that happens, but the day finally comes: you've been called to serve your [company/country/community]. You enthusiastically follow your colleagues to the area of operation and patiently wait for further orders. It's so close, and you've waited so long, what's a few more days? You continue perfecting your skills, ready to demonstrate them to your hard-ass boss on a moment's notice. Your mind is calm and collected. This is what you've been bred, raised, and trained to do. The moment is nigh, and you are about to carpe the ever-living [your choice of expletive here] out of it. It's all anybody can talk about, interrupting sleep to stay up late talking about what's going to happen and how they're going to do it and why they want to do it. There's variations to the predicted events and reasons each gives, but at the core they're all the same.&lt;br/&gt;&lt;br/&gt;But days turn to weeks, and weeks to months as you wonder where the action the smooth-talking guy promised you when you talked about the job with childish excitement in your voice and a reptilian gleam in his eyes. Excitement turns to boredom turns to anger. You've been lied to, bamboozled, fooled, used, tricked out of a life of glamour and being the hero the TV said you would be. You still train, but it's not the same. Before it was for a purpose, but now there's no purpose. You realize the training was never going to be used, it was just a ploy to motivate you. How could you be so naive and blind?&lt;br/&gt;&lt;br/&gt;You return home to your family and friends and acquaintances, who view you with a halo on your head and a heavenly glow surrounding your body: you're a &lt;i&gt;hero&lt;/i&gt;. You keep a straight face that conceals your disagreement and disillusionment, understanding there's no way to change this narrative. They won't be able to understand what you went through. The years of excitement building up, only to have it come crashing down in a few short, boring, life-changing weeks.</t>
  </si>
  <si>
    <t>&lt;a href="https://slatestarcodex.com/Stuff/genius.pdf"&gt;English translation here&lt;/a&gt;, funded by the blog Slate Star Codex (SSC author's review &lt;a href="https://slatestarcodex.com/2017/07/31/book-review-raise-a-genius/"&gt;here&lt;/a&gt;.)&lt;br/&gt;&lt;br/&gt;For those that don't know, this book is written by &lt;a href="https://en.wikipedia.org/wiki/L%C3%A1szl%C3%B3_Polg%C3%A1r"&gt;Lázló Polgár&lt;/a&gt;, a Hungarian who trained all three of his daughters to become &lt;a href="https://en.wikipedia.org/wiki/Grandmaster_(chess)"&gt;chess Grandmasters&lt;/a&gt;. His youngest, &lt;a href="https://en.wikipedia.org/wiki/Judit_Polg%C3%A1r"&gt;Judit&lt;/a&gt;, is considered the best female chess player of all-time.&lt;br/&gt;&lt;br/&gt;Polgar's method for raising a genius is relatively straightforward and devised from the upbringings of other so-called geniuses (Polgar researched many childhoods in preparation for his own children's). Start young, specialize in a specific topic, and continue studying and refining specialization. After reading this, most people would have an image of an abusive father disciplining his children for only studying chess openings for 6 hours that day, not 7—but Polgar is quite the opposite: he focused on ensuring his children's happiness alongside their success, not just the latter. The children &lt;i&gt;want&lt;/i&gt; to play and learn chess for both themselves and their father, and do not feel forced or pressured into doing so. He balances failures and successes in a 1:10 ratio, allowing the children to experience what it's like to fail while still gaining self-confidence through successes. They should be praised often for their work, not to inflate their ego, but to make them feel worthy as a competitor and peer, not just a child.&lt;br/&gt;&lt;br/&gt;Starting young is due to Polgar's belief (he cites the 1) WHO's Barnet (can't find source) saying that "the first five years of life are most important in forming a person’s behavior," and 2) B. Bloom's book &lt;a href="https://www.goodreads.com/book/show/1568654.Stability_And_Change_In_Human_Characteristics?ac=1&amp;from_search=true&amp;qid=BiklTmUMQB&amp;rank=1"&gt;&lt;i&gt;Stability and Change in Human Characteristics&lt;/i&gt;&lt;/a&gt;, which says that "50% of a person’s intellect is formed during the first four years of life, and a child’s extraordinary ability to understand, typical until four years of age, little by little decreases with the passage of time") that after childhood, the brain's ability to learn new skills drastically diminishes, e.g., learning a foreign language is much more difficult for adults than young children. To take advantage of this time, Polgar started his children at the ripe age of 3. He begins with basic instruction in foreign languages (his top choice was &lt;a href="https://en.wikipedia.org/wiki/Esperanto"&gt;Esperanto&lt;/a&gt; for its simplicity and cultural significance, but the girls also speak Russian) and moves on to basic games to pique the child's interest. Serious training begins around the age of 6 and continues from there.&lt;br/&gt;&lt;br/&gt;Polgar chose his children's specialization as chess, but also proposes mathematics, physics, music, and foreign languages. This decision needs to be made at a young age (3-4), so as not to waste any of their precious enhanced-development time.&lt;br/&gt;&lt;br/&gt;In continuing their chess specialization, Polgar had them playing chess 5-6 hours per day from the age of 4-5. One clarification on the word "playing" in the previous sentence: while "playing" is grammatically correct and it is not referred to as "training" or "working" chess, it was still "play" in the true sense of the noun: the girls were having fun while continuing to develop their abilities to high levels. This perception of play is crucial to the development of a genius, as it prevents burnout and boredom from occurring. A typical day for his children consists of "4 hours of specialist study, 1 hour of a foreign language, 1 hour of a general study (native language, natural science and social studies), 1 hour of computing, 1 hour of moral, psychological, and pedagogical studies (humor lessons as well), [and] 1 hour of gymnastics". A full day! But going back to the use of "playing", these days are enjoyable. The girls enjoy learning new chess openings, or how to converse in Esperanto, or a new joke.&lt;br/&gt;&lt;br/&gt;While this specialization is exclusive to one field, hence the term "specialization", it does make the acquisition of other skills easier through the use of learning heuristics. It's often said the the knowledge learned in university may not be directly applicable to a career, but the problem-solving skills learned will be. Polgar states the same thing. By achieving a high level in one field and "learn[ing] how to learn", picking up new skills will be easier.&lt;br/&gt;&lt;br/&gt;Polgar often claims that he himself can raise anybody to be a genius given full reign of their environment, especially the social aspect: "Genius is not born, genius is raised." The nature crowd from the nature vs. nurture debate will have a pretty big issue with this. He cites Watson's "&lt;a href="https://en.wikipedia.org/wiki/John_B._Watson#%22Twelve_infants%22"&gt;twelve infants&lt;/a&gt;" quote, in which the famous psychologist boasts he can raise any one of them into a "specialist...regardless of his talents, penchants, tendencies, abilities, vocations, and race of his ancestors."&lt;br/&gt;&lt;br/&gt;Even if Polgar's claims about the guarantee of raising a genius using similar methods, the child raised will still be an outstanding citizen. Polgar preaches morality as the foundation of genius, and views it as a major factor in the development of genius. He describes his qualities of a moral genius as follows: "I see before me a person who is sacrificial, honest, and courageous; a good friend and family member, not cynical, not egotistical, but empathetic and good-hearted, who feels responsibility, is attentive, and is capable of keeping secrets, who does not misuse their power, does not gossip, and can master their ambition, who is just, demands quality, an internationalist and not envious, who generally behaves in a friendly way and does not judge others easily, who is persistent, has initiative, conscious of duty, critical, self-critical and conscientious, who relates well to learning or ignorance, and who is capable of self-education (self-perfection), who has self-control, who is sincere and strives for freedom for themself and others, whose ethics are at a similarly high level, who is modest, able to love others, who has solidarity, tolerance and politeness, has a healthy competitiveness, is helpful, peaceful, and well-intentioned, who shows respect to those who merit it, etc. This kind of person is definitely an exemplary moral authority. Whoever has in themselves all of the qualities above to a high level is a moral genius, even if they never become a hero, and even if those around them never consider them to be one." Try to find an undesirable quality in the above description—it's impossible.&lt;br/&gt;&lt;br/&gt;Polgar does not shy away from criticisms of his system (there are many, including from the Hungarian government itself), but answers them thoughfully and completely. Hungary originally tried to suppress the Polgar sisters' successes, but thankfully did not succeed. He is especially critical of modern educational systems in regards to learning, stating the children see no obvious purpose in learning. In his system, they see tangible progress and become more motivated, creating a perpetual cycle of learning. I must agree with him here. Are "international and cultural diversity" credits (as my university referred to them) truly necessary? What is the purpose of making them a mandatory part of a degree program? To make sure I'm a well-rounded citizen of society? Who's to say I'm not already? Anything worth learning should have a purpose to it, else it seems fruitless and motivations wanes. He also sees educational systems as catering to the lowest common denominator, preventing potential geniuses from succeeding and fulfilling said potential. This was one of the principal reasons he chose to self-teach his girls.&lt;br/&gt;&lt;br/&gt;The book is organized in a question-answer fashion, with &lt;a href="https://en.wikipedia.org/wiki/Endre_Farkas"&gt;Endre Farkas&lt;/a&gt; acting as the interviewer.&lt;br/&gt;&lt;br/&gt;While I am no parent, it seems reasonable enough to suggest that most people should read this book. Outside of the genius education part, Polgar makes a compelling case on ways to raise a child to be well-rounded in ethics, morals, intelligence, work ethic, and any other venture they attempt.</t>
  </si>
  <si>
    <t>A deeply moving story about a mentally retarded adult's journey from retardation to genius and back, complete with experiences of love, realization, learning, self-reflection, success, and failure. The writing is masterful—Keyes is able to gradually display Charlie's ever-increasing intelligence just through writing. He begins learning punctuation, remembers the correct spelling of words, and makes connections with the real world.&lt;br/&gt;&lt;br/&gt;I especially liked the adherence to the hypothesis: "artificially-induced intelligence deteriorates at a rate of time directly proportional to the quantity of the increase". In laymen terms, if you gain a significant amount of intelligence from the surgery, expect to lose it quickly when you start to lose it. Charlie is sadly proven correct: while his initial intelligence gain was slow, his decline was quick, taking a short two months, from mid-September to mid-November, peak to original standing.</t>
  </si>
  <si>
    <t>I wasn't alive in 1982, so I don't have much say as to how relevant it was then (almost 40 years ago!), but it is largely, if not entirely, irrelevant now. Fussell illustrates the various U.S. class systems primarily through examples, looking at anatomy, appearances, homes, consumption and recreation, mental state and tendencies, and speech. The last two chapters discuss the difficulty in changing classes, especially the improvement part.&lt;br/&gt;&lt;br/&gt;If you are to take two things from this book, the first is that class is largely signaling. People want to appear healthier, wealthier, more well-read, etc., than their neighbors and friends. Stop trying to &lt;a href="https://en.wikipedia.org/wiki/Keeping_up_with_the_Joneses"&gt;keep up with the Joneses&lt;/a&gt; and live your life. The second is that people of different classes view the so-called requirement to join each class as different. Upper class, while having money, views their class as one based on behaviors. The source of the money is also a factor: those that inherited their bank accounts' nine digits are considered a higher class than those that earned it through business ventures. Middle class believes in both education and money. Low class believes almost entirely in money. Fussell gives an example of two people that make the same amount of money: one is a white-collar worker, the other blue-collar. Their differences lie in their interests and behaviors. The white-collar worker drinks a "classier" cocktail than the blue-collar's cheap light beer. The white-collar worker has a decent-sized library, whereas the blue-collar worker can't remember the last time he read a book, much less owned one.&lt;br/&gt;&lt;br/&gt;I did not enjoy this book. I made it through about 50 pages before realizing its irrelevancy, especially in its endless examples, and skimming the rest.</t>
  </si>
  <si>
    <t>&lt;i&gt;The Devil in the White City&lt;/i&gt; consists of two stories that overlap slightly: the life and murders committed by &lt;a href="https://en.wikipedia.org/wiki/H._H._Holmes"&gt;Dr. H. H. Holmes&lt;/a&gt; and the inception, development, creation, and operation of the 1893 &lt;a href="https://en.wikipedia.org/wiki/World%27s_Columbian_Exposition"&gt;World's Fair&lt;/a&gt; (also called the World's Columbian Fair, in recognition of Columbus' discovery of America 400 years earlier,  and Chicago's World Fair).&lt;br/&gt;&lt;br/&gt;Larson shows us the immense amount of planning and organization that went in to building the so-called "&lt;a href="https://en.wikipedia.org/wiki/World%27s_Columbian_Exposition#White_City"&gt;White City&lt;/a&gt;" and the various obstacles and setbacks encountered. See the &lt;a href="https://en.wikipedia.org/wiki/Planning_fallacy"&gt;planning fallacy&lt;/a&gt;, which was inconveniently proposed well after the Fair took place.&lt;br/&gt;&lt;br/&gt;Holmes' life is also examined, beginning with his formative years to his time as one of the country's most prolific serial killers and con artists (he also committed large amounts of insurance fraud).&lt;br/&gt;&lt;br/&gt;I didn't enjoy the book like I did Larson's other, &lt;a href="https://www.goodreads.com/book/show/9938498-in-the-garden-of-beasts"&gt;&lt;i&gt;In the Garden of Beasts&lt;/i&gt;&lt;/a&gt; (&lt;a href="https://www.goodreads.com/review/show/3070280598?book_show_action=false&amp;from_review_page=1"&gt;review here&lt;/a&gt;), but I suggest reading it if you enjoy his writing style. It provides an excellent glimpse into what life was like back then.&lt;br/&gt;&lt;br/&gt;Some great pictures of the Fair can be found &lt;a href="https://www.google.com/search?q=1893+world+fair&amp;tbm=isch&amp;ved=2ahUKEwjXptWVhqLpAhUVL60KHcuXA6QQ2-cCegQIABAA&amp;oq=1893+world+fair&amp;gs_lcp=CgNpbWcQAzIECAAQQzIECAAQQzICCAAyAggAMgIIADIGCAAQBxAeMgYIABAHEB4yBggAEAcQHjIGCAAQBxAeMgQIABAeUPIoWPIoYJcraABwAHgAgAFuiAFukgEDMC4xmAEAoAEBqgELZ3dzLXdpei1pbWc&amp;sclient=img&amp;ei=pSa0XpfAKJXetAXLr46gCg&amp;bih=714&amp;biw=1280"&gt;here&lt;/a&gt;. You can also find the architectural plans and blueprints at the Library of Congress &lt;a href="https://babel.hathitrust.org/cgi/pt?id=loc.ark:/13960/t8nc6vd53&amp;view=1up&amp;seq=7"&gt;here&lt;/a&gt;.</t>
  </si>
  <si>
    <t>Interesting proposal by Sears: simply keep percentages of carbohydrate/protein/fat to 40/30/30% and you will remain in the Zone. Sears presents the science behind the diet and exactly how it works (hormonal responses). Literature is cited at the end of the book.&lt;br/&gt;&lt;br/&gt;I plan to run a month-long experiment in October 2020 to test Sears' claims. Will update this review accordingly.</t>
  </si>
  <si>
    <t>You can read my &lt;a href="https://ethanmorse.github.io/research/vacuum/vacuum.html"&gt;full summary here&lt;/a&gt; (website is unadvertised). It includes some things I felt were important that O'Hanlon left out and excludes some things from the book I felt weren't as important if you have a basic physics/chemistry background, e.g., gas properties).&lt;br/&gt;&lt;br/&gt;If your career deals with vacuum, read this book cover-to-cover. O'Hanlon begins with the basics of gases (their properties, flow regimes, relation with solids) and progresses to actual vacuum concepts. The mathematics behind vacuum are included with explanations, as well as lay-person descriptions. While the descriptions are nice, I encourage the reader to search the internet for videos of how the various pumps operate, as it is much clearer than words and a static figure.&lt;br/&gt;&lt;br/&gt;Third edition should be purchased if possible—the second edition was published before the invention of some important technology, e.g., scroll pumps.</t>
  </si>
  <si>
    <t>(Short disclaimer: I am not nor have ever been a graduate student, but worked extensively around  a wide range of STEM Ph.D. students (over 100 total) at a &lt;a href="https://www.usnews.com/best-graduate-schools/top-engineering-schools/eng-rankings"&gt;top 20 in engineering U.S. university&lt;/a&gt; for three years).&lt;br/&gt;&lt;br/&gt;The book is short (took me about two hours to read) and discusses Guo's experiences as a Ph.D. student in computer science at one of the U.S.' most prestigious universities. Each of his six years has one chapter devoted to it: projects worked on, individuals met, mindset (happy, burnt out, frustrated, etc), and vision for the future. The epilogue includes 20 lessons Guo learned and serves as a good, high-level summary of his graduate studies.&lt;br/&gt;&lt;br/&gt;Academia has a lot of intricacies that generally aren't understood and can't be learned by outsiders—in order to understand, one has to be a part of a research group. Guo offers a vicarious glimpse into what academia is: he explains what certain things mean, why things are the way they are, and the reasons he did things.&lt;br/&gt;&lt;br/&gt;This is an especially valuable read for anyone considering entering into a Ph.D. program. While this is only one individual's experience, I know of others who have had very similar times in graduate school.&lt;br/&gt;&lt;br/&gt;Here is a &lt;a href="https://www.goodreads.com/review/show/951815008"&gt;negative review&lt;/a&gt; of the book. Reading the review prior to the book and keeping it mind may be helpful.</t>
  </si>
  <si>
    <t>More of a parable than entire book, &lt;i&gt;A Message to Garcia&lt;/i&gt; is meant to illustrate the virtue of initiative when given a task.&lt;br/&gt;&lt;br/&gt;I've seen it myself firsthand: someone is told to complete task, and replies with a barrage of questions that are easily answered with 10 minutes of cursory Google searches. Is it laziness that causes this? Does the task-doer just want most of the job to be done for him, so he can move on to more interesting (at least to him) things? This is absolutely part of it. What about selfishness and fairness? Does the task-doer want the task-master to take some amount of ownership in the task, since he seems to be doing nothing other than ordering his inferiors around? This is a plausible explanation, but one likely taken by the ignorant (although in some cases this absolutely can be true): the task-master likely has higher-level tasks needing to be done, and delegation is a great tool for improving efficiency. The last cause can be attributed to ignorance. The task-doer simply doesn't know that he can find the answers to his questions independently, leading him to ask his questions. This should be explained and forgiven only once: show him how to find answers, and for any questions asked for future tasks, precede the answers with a simple counter-questions: have you tried searching for it?&lt;br/&gt;&lt;br/&gt;There are controversial views present (especially in the age of mega-corporations and their inhumane treatment of their serva...employees), but they are mostly reflected at small businesses with direct relationships between the head honcho and the employees. Regardless, some quotes: (1) "My heart goes out to the man who does his work when the “boss” is away, as well as when he is at home." (2) "I know one man of really brilliant parts who has not the ability to manage a business of his own, and yet who is absolutely worthless to any one else, because he carries with him constantly the insane suspicion that his employer is oppressing, or intending to oppress, him." Oh, how Hubbard would be surprised. (3) "I think if I worked for a man, I would work for him. I would not work for him a part of his time, but all of his time. I would give an undivided service or none."&lt;br/&gt;&lt;br/&gt;The message is still relevant, but some parts dated and no longer applicable to life now. The story and its apologia can be read for free and in less than 15 minutes &lt;a href="https://www.gutenberg.org/files/17195/17195-h/17195-h.htm"&gt;here on Project Gutenberg&lt;/a&gt;. Another nice resource is &lt;a href="https://lmgtfy.com/"&gt;lmgtfy&lt;/a&gt; (let me Google that for you), whose motto is "For all those people who find it more convenient to bother you with their question rather than search it for themselves."</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</si>
  <si>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</si>
  <si>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freedom—freedom of speech, freedom of religion, and freedom to do what you like within reason—and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"Fuzhou—Hong Kong—Bangkok—Moscow—Havana—Managua—Tucson".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by—you guessed it—an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</si>
  <si>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My comprehensive, 10+ man-hour review can be found on my (advertisement-free) Github site: &lt;a href="https://ethanmorse.github.io/knowledge/books/human_accomplishment/human_accomplishment.html"&gt;https://ethanmorse.github.io/knowledge/books/human_accomplishment/human_accomplishment.html&lt;/a&gt;. Below is the introduction section, compelling you to read this book.&lt;br/&gt;&lt;br/&gt;There are reasons to read this book and &lt;i&gt;not&lt;/i&gt; to read this book. First, the not-reason. From the title, &lt;i&gt;Human Accomplishment&lt;/i&gt; details the successes of humans from 800 BCE to 1950—2750 years of achievement by the top-tier of &lt;i&gt;homo sapiens&lt;/i&gt;. Statistically speaking, the average person will neither contribute nor perform anything absolutely significant to society. (They may contribute some relatively significant, but nothing absolute.) This book serves as a stark reminder of this fact. Some are uncomfortable with this and prefer to live thinking that they have or eventually will have a profound impact on the world, which is perfectly fine. Don't read this book nor this review. Done.&lt;br/&gt;&lt;br/&gt;Now, the more compelling to-reason from another perspective. From the title, &lt;i&gt;Human Accomplishment&lt;/i&gt; details the successes of humans from 800 BCE to 1950—2750 years of achievement by the top-tier of &lt;i&gt;homo sapiens&lt;/i&gt;. Conveniently compiled in a single 668-page book (which includes the main body chapter, appendices, notes, bibliography, and index), Murray objectively (more on the use of this term later) lays out the crowning moments of the human race in science and the arts. No need to go through volumes of text wondering if your favorite author is considered among the best ever (hint: they're probably not). Instead, consult this book and find out who the best ever are among sciences, philosophy, art, technology, and literature.&lt;br/&gt;&lt;br/&gt;Do not let Murray's reputation from his book &lt;a href="https://en.wikipedia.org/wiki/The_Bell_Curve"&gt;&lt;i&gt;The Bell Curve&lt;/i&gt;&lt;/a&gt; dissuade you from reading this book. While there are some topics that will no doubt draw criticisms from some readers (e.g., the lack of women among the significant figures), Murray defends his position both qualitatively and quantitatively and invites the reader to challenge him with a rebuttal of their own.</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</si>
  <si>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</si>
  <si>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job—she's lost over 25 pounds—but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pleasure—video games, food, theme parks—pales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</si>
  <si>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</si>
  <si>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</si>
  <si>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Féin&lt;/a&gt;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</si>
  <si>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</si>
  <si>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</si>
  <si>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</si>
  <si>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</si>
  <si>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</si>
  <si>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</si>
  <si>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</si>
  <si>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</si>
  <si>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</si>
  <si>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</si>
  <si>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</si>
  <si>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</si>
  <si>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</si>
  <si>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</si>
  <si>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</si>
  <si>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</si>
  <si>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David-Néel&lt;/a&gt;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David-Néel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David-Néel does a good (and respectful) job of not diminishing, but rather objectively explains their perspective. The book ends in a request for scientists to "undertake serious investigations of the phenomena [which David-Néel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</si>
</sst>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caryforkids.com/" TargetMode="External"/></Relationships>
</file>

<file path=xl/worksheets/sheet1.xml><?xml version="1.0" encoding="utf-8"?>
<worksheet xmlns="http://schemas.openxmlformats.org/spreadsheetml/2006/main" xmlns:r="http://schemas.openxmlformats.org/officeDocument/2006/relationships">
  <dimension ref="A1:AF1033"/>
  <sheetViews>
    <sheetView tabSelected="1" workbookViewId="0"/>
  </sheetViews>
  <sheetFormatPr defaultRowHeight="15"/>
  <sheetData>
    <row r="1" spans="1:3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row>
    <row r="2" spans="1:32">
      <c r="A2" s="1">
        <v>0</v>
      </c>
      <c r="B2">
        <v>61033953</v>
      </c>
      <c r="C2" t="s">
        <v>31</v>
      </c>
      <c r="D2" t="s">
        <v>1062</v>
      </c>
      <c r="E2" t="s">
        <v>1868</v>
      </c>
      <c r="G2">
        <f>""</f>
        <v>0</v>
      </c>
      <c r="H2">
        <f>""</f>
        <v>0</v>
      </c>
      <c r="I2">
        <v>5</v>
      </c>
      <c r="J2">
        <v>4.5</v>
      </c>
      <c r="L2" t="s">
        <v>3491</v>
      </c>
      <c r="M2">
        <v>456</v>
      </c>
      <c r="N2">
        <v>2022</v>
      </c>
      <c r="P2" t="s">
        <v>3501</v>
      </c>
      <c r="Q2" t="s">
        <v>3574</v>
      </c>
      <c r="R2" t="s">
        <v>3862</v>
      </c>
      <c r="S2" t="s">
        <v>3865</v>
      </c>
      <c r="T2" t="s">
        <v>4621</v>
      </c>
      <c r="U2" t="s">
        <v>4622</v>
      </c>
      <c r="X2">
        <v>1</v>
      </c>
      <c r="AA2">
        <v>0</v>
      </c>
    </row>
    <row r="3" spans="1:32">
      <c r="A3" s="1">
        <v>1</v>
      </c>
      <c r="B3">
        <v>44667183</v>
      </c>
      <c r="C3" t="s">
        <v>32</v>
      </c>
      <c r="D3" t="s">
        <v>1063</v>
      </c>
      <c r="E3" t="s">
        <v>1869</v>
      </c>
      <c r="G3">
        <f>"1635579988"</f>
        <v>0</v>
      </c>
      <c r="H3">
        <f>"9781635579987"</f>
        <v>0</v>
      </c>
      <c r="I3">
        <v>0</v>
      </c>
      <c r="J3">
        <v>4.23</v>
      </c>
      <c r="K3" t="s">
        <v>2996</v>
      </c>
      <c r="L3" t="s">
        <v>3492</v>
      </c>
      <c r="M3">
        <v>288</v>
      </c>
      <c r="N3">
        <v>2019</v>
      </c>
      <c r="O3">
        <v>2019</v>
      </c>
      <c r="Q3" t="s">
        <v>3575</v>
      </c>
      <c r="R3" t="s">
        <v>3863</v>
      </c>
      <c r="S3" t="s">
        <v>3866</v>
      </c>
      <c r="T3" t="s">
        <v>3863</v>
      </c>
      <c r="X3">
        <v>0</v>
      </c>
      <c r="AA3">
        <v>0</v>
      </c>
    </row>
    <row r="4" spans="1:32">
      <c r="A4" s="1">
        <v>2</v>
      </c>
      <c r="B4">
        <v>66354</v>
      </c>
      <c r="C4" t="s">
        <v>33</v>
      </c>
      <c r="D4" t="s">
        <v>1064</v>
      </c>
      <c r="E4" t="s">
        <v>1870</v>
      </c>
      <c r="G4">
        <f>"0060920432"</f>
        <v>0</v>
      </c>
      <c r="H4">
        <f>"9780060920432"</f>
        <v>0</v>
      </c>
      <c r="I4">
        <v>0</v>
      </c>
      <c r="J4">
        <v>4.09</v>
      </c>
      <c r="K4" t="s">
        <v>2997</v>
      </c>
      <c r="L4" t="s">
        <v>3491</v>
      </c>
      <c r="M4">
        <v>303</v>
      </c>
      <c r="N4">
        <v>1990</v>
      </c>
      <c r="O4">
        <v>1990</v>
      </c>
      <c r="Q4" t="s">
        <v>3575</v>
      </c>
      <c r="R4" t="s">
        <v>3863</v>
      </c>
      <c r="S4" t="s">
        <v>3867</v>
      </c>
      <c r="T4" t="s">
        <v>3863</v>
      </c>
      <c r="X4">
        <v>0</v>
      </c>
      <c r="AA4">
        <v>0</v>
      </c>
    </row>
    <row r="5" spans="1:32">
      <c r="A5" s="1">
        <v>3</v>
      </c>
      <c r="B5">
        <v>133518</v>
      </c>
      <c r="C5" t="s">
        <v>34</v>
      </c>
      <c r="D5" t="s">
        <v>1065</v>
      </c>
      <c r="E5" t="s">
        <v>1871</v>
      </c>
      <c r="G5">
        <f>"0767902890"</f>
        <v>0</v>
      </c>
      <c r="H5">
        <f>"9780767902892"</f>
        <v>0</v>
      </c>
      <c r="I5">
        <v>0</v>
      </c>
      <c r="J5">
        <v>4.13</v>
      </c>
      <c r="K5" t="s">
        <v>2998</v>
      </c>
      <c r="L5" t="s">
        <v>3491</v>
      </c>
      <c r="M5">
        <v>246</v>
      </c>
      <c r="N5">
        <v>1998</v>
      </c>
      <c r="O5">
        <v>1990</v>
      </c>
      <c r="Q5" t="s">
        <v>3575</v>
      </c>
      <c r="R5" t="s">
        <v>3863</v>
      </c>
      <c r="S5" t="s">
        <v>3868</v>
      </c>
      <c r="T5" t="s">
        <v>3863</v>
      </c>
      <c r="X5">
        <v>0</v>
      </c>
      <c r="AA5">
        <v>0</v>
      </c>
    </row>
    <row r="6" spans="1:32">
      <c r="A6" s="1">
        <v>4</v>
      </c>
      <c r="B6">
        <v>298663</v>
      </c>
      <c r="C6" t="s">
        <v>35</v>
      </c>
      <c r="D6" t="s">
        <v>1066</v>
      </c>
      <c r="E6" t="s">
        <v>1872</v>
      </c>
      <c r="G6">
        <f>"0679733973"</f>
        <v>0</v>
      </c>
      <c r="H6">
        <f>"9780679733973"</f>
        <v>0</v>
      </c>
      <c r="I6">
        <v>0</v>
      </c>
      <c r="J6">
        <v>3.88</v>
      </c>
      <c r="K6" t="s">
        <v>2999</v>
      </c>
      <c r="L6" t="s">
        <v>3491</v>
      </c>
      <c r="M6">
        <v>244</v>
      </c>
      <c r="N6">
        <v>1991</v>
      </c>
      <c r="O6">
        <v>1952</v>
      </c>
      <c r="Q6" t="s">
        <v>3576</v>
      </c>
      <c r="R6" t="s">
        <v>3864</v>
      </c>
      <c r="S6" t="s">
        <v>3869</v>
      </c>
      <c r="T6" t="s">
        <v>3864</v>
      </c>
      <c r="X6">
        <v>1</v>
      </c>
      <c r="AA6">
        <v>0</v>
      </c>
    </row>
    <row r="7" spans="1:32">
      <c r="A7" s="1">
        <v>5</v>
      </c>
      <c r="B7">
        <v>13259887</v>
      </c>
      <c r="C7" t="s">
        <v>36</v>
      </c>
      <c r="D7" t="s">
        <v>1067</v>
      </c>
      <c r="E7" t="s">
        <v>1873</v>
      </c>
      <c r="G7">
        <f>"1439198705"</f>
        <v>0</v>
      </c>
      <c r="H7">
        <f>"9781439198704"</f>
        <v>0</v>
      </c>
      <c r="I7">
        <v>0</v>
      </c>
      <c r="J7">
        <v>4.16</v>
      </c>
      <c r="K7" t="s">
        <v>3000</v>
      </c>
      <c r="L7" t="s">
        <v>3492</v>
      </c>
      <c r="M7">
        <v>240</v>
      </c>
      <c r="N7">
        <v>2012</v>
      </c>
      <c r="O7">
        <v>2012</v>
      </c>
      <c r="Q7" t="s">
        <v>3577</v>
      </c>
      <c r="R7" t="s">
        <v>3863</v>
      </c>
      <c r="S7" t="s">
        <v>3870</v>
      </c>
      <c r="T7" t="s">
        <v>3863</v>
      </c>
      <c r="X7">
        <v>0</v>
      </c>
      <c r="AA7">
        <v>0</v>
      </c>
    </row>
    <row r="8" spans="1:32">
      <c r="A8" s="1">
        <v>6</v>
      </c>
      <c r="B8">
        <v>22146898</v>
      </c>
      <c r="C8" t="s">
        <v>37</v>
      </c>
      <c r="D8" t="s">
        <v>1068</v>
      </c>
      <c r="E8" t="s">
        <v>1874</v>
      </c>
      <c r="G8">
        <f>""</f>
        <v>0</v>
      </c>
      <c r="H8">
        <f>""</f>
        <v>0</v>
      </c>
      <c r="I8">
        <v>0</v>
      </c>
      <c r="J8">
        <v>1.5</v>
      </c>
      <c r="L8" t="s">
        <v>3493</v>
      </c>
      <c r="M8">
        <v>83</v>
      </c>
      <c r="N8">
        <v>2011</v>
      </c>
      <c r="O8">
        <v>2011</v>
      </c>
      <c r="Q8" t="s">
        <v>3578</v>
      </c>
      <c r="R8" t="s">
        <v>3864</v>
      </c>
      <c r="S8" t="s">
        <v>3871</v>
      </c>
      <c r="T8" t="s">
        <v>3864</v>
      </c>
      <c r="X8">
        <v>1</v>
      </c>
      <c r="AA8">
        <v>0</v>
      </c>
    </row>
    <row r="9" spans="1:32">
      <c r="A9" s="1">
        <v>7</v>
      </c>
      <c r="B9">
        <v>54493401</v>
      </c>
      <c r="C9" t="s">
        <v>38</v>
      </c>
      <c r="D9" t="s">
        <v>1069</v>
      </c>
      <c r="E9" t="s">
        <v>1875</v>
      </c>
      <c r="G9">
        <f>"0593135202"</f>
        <v>0</v>
      </c>
      <c r="H9">
        <f>"9780593135204"</f>
        <v>0</v>
      </c>
      <c r="I9">
        <v>3</v>
      </c>
      <c r="J9">
        <v>4.52</v>
      </c>
      <c r="K9" t="s">
        <v>3001</v>
      </c>
      <c r="L9" t="s">
        <v>3492</v>
      </c>
      <c r="M9">
        <v>476</v>
      </c>
      <c r="N9">
        <v>2021</v>
      </c>
      <c r="O9">
        <v>2021</v>
      </c>
      <c r="P9" t="s">
        <v>3502</v>
      </c>
      <c r="Q9" t="s">
        <v>3579</v>
      </c>
      <c r="T9" t="s">
        <v>4621</v>
      </c>
      <c r="X9">
        <v>1</v>
      </c>
      <c r="AA9">
        <v>0</v>
      </c>
    </row>
    <row r="10" spans="1:32">
      <c r="A10" s="1">
        <v>8</v>
      </c>
      <c r="B10">
        <v>88432</v>
      </c>
      <c r="C10" t="s">
        <v>39</v>
      </c>
      <c r="D10" t="s">
        <v>1070</v>
      </c>
      <c r="E10" t="s">
        <v>1876</v>
      </c>
      <c r="F10" t="s">
        <v>2674</v>
      </c>
      <c r="G10">
        <f>"0099506165"</f>
        <v>0</v>
      </c>
      <c r="H10">
        <f>"9780099506164"</f>
        <v>0</v>
      </c>
      <c r="I10">
        <v>0</v>
      </c>
      <c r="J10">
        <v>4.42</v>
      </c>
      <c r="K10" t="s">
        <v>3002</v>
      </c>
      <c r="L10" t="s">
        <v>3491</v>
      </c>
      <c r="M10">
        <v>864</v>
      </c>
      <c r="N10">
        <v>2006</v>
      </c>
      <c r="O10">
        <v>1960</v>
      </c>
      <c r="Q10" t="s">
        <v>3580</v>
      </c>
      <c r="R10" t="s">
        <v>3863</v>
      </c>
      <c r="S10" t="s">
        <v>3872</v>
      </c>
      <c r="T10" t="s">
        <v>3863</v>
      </c>
      <c r="X10">
        <v>0</v>
      </c>
      <c r="AA10">
        <v>0</v>
      </c>
    </row>
    <row r="11" spans="1:32">
      <c r="A11" s="1">
        <v>9</v>
      </c>
      <c r="B11">
        <v>42194293</v>
      </c>
      <c r="C11" t="s">
        <v>40</v>
      </c>
      <c r="D11" t="s">
        <v>1070</v>
      </c>
      <c r="E11" t="s">
        <v>1876</v>
      </c>
      <c r="F11" t="s">
        <v>2675</v>
      </c>
      <c r="G11">
        <f>"1681373270"</f>
        <v>0</v>
      </c>
      <c r="H11">
        <f>"9781681373270"</f>
        <v>0</v>
      </c>
      <c r="I11">
        <v>0</v>
      </c>
      <c r="J11">
        <v>4.3</v>
      </c>
      <c r="K11" t="s">
        <v>3003</v>
      </c>
      <c r="L11" t="s">
        <v>3491</v>
      </c>
      <c r="M11">
        <v>1088</v>
      </c>
      <c r="N11">
        <v>2019</v>
      </c>
      <c r="O11">
        <v>1952</v>
      </c>
      <c r="Q11" t="s">
        <v>3580</v>
      </c>
      <c r="R11" t="s">
        <v>3863</v>
      </c>
      <c r="S11" t="s">
        <v>3873</v>
      </c>
      <c r="T11" t="s">
        <v>3863</v>
      </c>
      <c r="X11">
        <v>0</v>
      </c>
      <c r="AA11">
        <v>0</v>
      </c>
    </row>
    <row r="12" spans="1:32">
      <c r="A12" s="1">
        <v>10</v>
      </c>
      <c r="B12">
        <v>36262251</v>
      </c>
      <c r="C12" t="s">
        <v>41</v>
      </c>
      <c r="D12" t="s">
        <v>1071</v>
      </c>
      <c r="E12" t="s">
        <v>1877</v>
      </c>
      <c r="F12" t="s">
        <v>1203</v>
      </c>
      <c r="G12">
        <f>"1788542207"</f>
        <v>0</v>
      </c>
      <c r="H12">
        <f>"9781788542203"</f>
        <v>0</v>
      </c>
      <c r="I12">
        <v>0</v>
      </c>
      <c r="J12">
        <v>3.64</v>
      </c>
      <c r="K12" t="s">
        <v>3004</v>
      </c>
      <c r="L12" t="s">
        <v>3492</v>
      </c>
      <c r="M12">
        <v>400</v>
      </c>
      <c r="N12">
        <v>2019</v>
      </c>
      <c r="O12">
        <v>2011</v>
      </c>
      <c r="P12" t="s">
        <v>3503</v>
      </c>
      <c r="Q12" t="s">
        <v>3581</v>
      </c>
      <c r="T12" t="s">
        <v>4621</v>
      </c>
      <c r="X12">
        <v>1</v>
      </c>
      <c r="AA12">
        <v>0</v>
      </c>
    </row>
    <row r="13" spans="1:32">
      <c r="A13" s="1">
        <v>11</v>
      </c>
      <c r="B13">
        <v>52179420</v>
      </c>
      <c r="C13" t="s">
        <v>42</v>
      </c>
      <c r="D13" t="s">
        <v>1072</v>
      </c>
      <c r="E13" t="s">
        <v>1878</v>
      </c>
      <c r="G13">
        <f>"1526616785"</f>
        <v>0</v>
      </c>
      <c r="H13">
        <f>"9781526616784"</f>
        <v>0</v>
      </c>
      <c r="I13">
        <v>1</v>
      </c>
      <c r="J13">
        <v>3.89</v>
      </c>
      <c r="K13" t="s">
        <v>3005</v>
      </c>
      <c r="L13" t="s">
        <v>3492</v>
      </c>
      <c r="M13">
        <v>352</v>
      </c>
      <c r="N13">
        <v>2020</v>
      </c>
      <c r="O13">
        <v>2019</v>
      </c>
      <c r="Q13" t="s">
        <v>3582</v>
      </c>
      <c r="T13" t="s">
        <v>4621</v>
      </c>
      <c r="X13">
        <v>1</v>
      </c>
      <c r="AA13">
        <v>0</v>
      </c>
    </row>
    <row r="14" spans="1:32">
      <c r="A14" s="1">
        <v>12</v>
      </c>
      <c r="B14">
        <v>49203415</v>
      </c>
      <c r="C14" t="s">
        <v>43</v>
      </c>
      <c r="D14" t="s">
        <v>1073</v>
      </c>
      <c r="E14" t="s">
        <v>1879</v>
      </c>
      <c r="F14" t="s">
        <v>2676</v>
      </c>
      <c r="G14">
        <f>"0063027291"</f>
        <v>0</v>
      </c>
      <c r="H14">
        <f>"9780063027299"</f>
        <v>0</v>
      </c>
      <c r="I14">
        <v>0</v>
      </c>
      <c r="J14">
        <v>4.19</v>
      </c>
      <c r="K14" t="s">
        <v>3006</v>
      </c>
      <c r="L14" t="s">
        <v>3492</v>
      </c>
      <c r="M14">
        <v>368</v>
      </c>
      <c r="N14">
        <v>2020</v>
      </c>
      <c r="O14">
        <v>2018</v>
      </c>
      <c r="Q14" t="s">
        <v>3503</v>
      </c>
      <c r="R14" t="s">
        <v>3863</v>
      </c>
      <c r="S14" t="s">
        <v>3874</v>
      </c>
      <c r="T14" t="s">
        <v>3863</v>
      </c>
      <c r="X14">
        <v>0</v>
      </c>
      <c r="AA14">
        <v>0</v>
      </c>
    </row>
    <row r="15" spans="1:32">
      <c r="A15" s="1">
        <v>13</v>
      </c>
      <c r="B15">
        <v>36681373</v>
      </c>
      <c r="C15" t="s">
        <v>44</v>
      </c>
      <c r="D15" t="s">
        <v>913</v>
      </c>
      <c r="E15" t="s">
        <v>1880</v>
      </c>
      <c r="G15">
        <f>""</f>
        <v>0</v>
      </c>
      <c r="H15">
        <f>""</f>
        <v>0</v>
      </c>
      <c r="I15">
        <v>2</v>
      </c>
      <c r="J15">
        <v>3.96</v>
      </c>
      <c r="K15" t="s">
        <v>3007</v>
      </c>
      <c r="L15" t="s">
        <v>3493</v>
      </c>
      <c r="M15">
        <v>1063</v>
      </c>
      <c r="N15">
        <v>2017</v>
      </c>
      <c r="O15">
        <v>1519</v>
      </c>
      <c r="Q15" t="s">
        <v>3583</v>
      </c>
      <c r="T15" t="s">
        <v>4621</v>
      </c>
      <c r="X15">
        <v>1</v>
      </c>
      <c r="AA15">
        <v>0</v>
      </c>
    </row>
    <row r="16" spans="1:32">
      <c r="A16" s="1">
        <v>14</v>
      </c>
      <c r="B16">
        <v>17568373</v>
      </c>
      <c r="C16" t="s">
        <v>45</v>
      </c>
      <c r="D16" t="s">
        <v>1074</v>
      </c>
      <c r="E16" t="s">
        <v>1881</v>
      </c>
      <c r="G16">
        <f>""</f>
        <v>0</v>
      </c>
      <c r="H16">
        <f>""</f>
        <v>0</v>
      </c>
      <c r="I16">
        <v>4</v>
      </c>
      <c r="J16">
        <v>4.11</v>
      </c>
      <c r="K16" s="2" t="s">
        <v>3008</v>
      </c>
      <c r="L16" t="s">
        <v>3494</v>
      </c>
      <c r="M16">
        <v>15</v>
      </c>
      <c r="O16">
        <v>1951</v>
      </c>
      <c r="Q16" t="s">
        <v>3584</v>
      </c>
      <c r="T16" t="s">
        <v>4621</v>
      </c>
      <c r="X16">
        <v>1</v>
      </c>
      <c r="AA16">
        <v>0</v>
      </c>
    </row>
    <row r="17" spans="1:27">
      <c r="A17" s="1">
        <v>15</v>
      </c>
      <c r="B17">
        <v>31283667</v>
      </c>
      <c r="C17" t="s">
        <v>46</v>
      </c>
      <c r="D17" t="s">
        <v>1075</v>
      </c>
      <c r="E17" t="s">
        <v>1882</v>
      </c>
      <c r="G17">
        <f>""</f>
        <v>0</v>
      </c>
      <c r="H17">
        <f>""</f>
        <v>0</v>
      </c>
      <c r="I17">
        <v>3</v>
      </c>
      <c r="J17">
        <v>3.78</v>
      </c>
      <c r="K17" t="s">
        <v>3009</v>
      </c>
      <c r="L17" t="s">
        <v>3493</v>
      </c>
      <c r="M17">
        <v>127</v>
      </c>
      <c r="N17">
        <v>2018</v>
      </c>
      <c r="Q17" t="s">
        <v>3584</v>
      </c>
      <c r="T17" t="s">
        <v>4621</v>
      </c>
      <c r="U17" t="s">
        <v>4623</v>
      </c>
      <c r="X17">
        <v>1</v>
      </c>
      <c r="AA17">
        <v>0</v>
      </c>
    </row>
    <row r="18" spans="1:27">
      <c r="A18" s="1">
        <v>16</v>
      </c>
      <c r="B18">
        <v>48800</v>
      </c>
      <c r="C18" t="s">
        <v>47</v>
      </c>
      <c r="D18" t="s">
        <v>1076</v>
      </c>
      <c r="E18" t="s">
        <v>1883</v>
      </c>
      <c r="F18" t="s">
        <v>2677</v>
      </c>
      <c r="G18">
        <f>"0140286829"</f>
        <v>0</v>
      </c>
      <c r="H18">
        <f>"9780140286823"</f>
        <v>0</v>
      </c>
      <c r="I18">
        <v>0</v>
      </c>
      <c r="J18">
        <v>3.8</v>
      </c>
      <c r="K18" t="s">
        <v>3010</v>
      </c>
      <c r="L18" t="s">
        <v>3491</v>
      </c>
      <c r="M18">
        <v>157</v>
      </c>
      <c r="N18">
        <v>1999</v>
      </c>
      <c r="O18">
        <v>1949</v>
      </c>
      <c r="Q18" t="s">
        <v>3576</v>
      </c>
      <c r="R18" t="s">
        <v>3863</v>
      </c>
      <c r="S18" t="s">
        <v>3875</v>
      </c>
      <c r="T18" t="s">
        <v>3863</v>
      </c>
      <c r="X18">
        <v>0</v>
      </c>
      <c r="AA18">
        <v>0</v>
      </c>
    </row>
    <row r="19" spans="1:27">
      <c r="A19" s="1">
        <v>17</v>
      </c>
      <c r="B19">
        <v>5962102</v>
      </c>
      <c r="C19" t="s">
        <v>48</v>
      </c>
      <c r="D19" t="s">
        <v>1077</v>
      </c>
      <c r="E19" t="s">
        <v>1884</v>
      </c>
      <c r="F19" t="s">
        <v>2678</v>
      </c>
      <c r="G19">
        <f>"1422117367"</f>
        <v>0</v>
      </c>
      <c r="H19">
        <f>"9781422117361"</f>
        <v>0</v>
      </c>
      <c r="I19">
        <v>0</v>
      </c>
      <c r="J19">
        <v>4.06</v>
      </c>
      <c r="K19" t="s">
        <v>3011</v>
      </c>
      <c r="L19" t="s">
        <v>3492</v>
      </c>
      <c r="M19">
        <v>340</v>
      </c>
      <c r="N19">
        <v>2009</v>
      </c>
      <c r="O19">
        <v>2009</v>
      </c>
      <c r="Q19" t="s">
        <v>3576</v>
      </c>
      <c r="R19" t="s">
        <v>3863</v>
      </c>
      <c r="S19" t="s">
        <v>3876</v>
      </c>
      <c r="T19" t="s">
        <v>3863</v>
      </c>
      <c r="X19">
        <v>0</v>
      </c>
      <c r="AA19">
        <v>0</v>
      </c>
    </row>
    <row r="20" spans="1:27">
      <c r="A20" s="1">
        <v>18</v>
      </c>
      <c r="B20">
        <v>3114313</v>
      </c>
      <c r="C20" t="s">
        <v>49</v>
      </c>
      <c r="D20" t="s">
        <v>1078</v>
      </c>
      <c r="E20" t="s">
        <v>1885</v>
      </c>
      <c r="F20" t="s">
        <v>2679</v>
      </c>
      <c r="G20">
        <f>"1591842158"</f>
        <v>0</v>
      </c>
      <c r="H20">
        <f>"9781591842156"</f>
        <v>0</v>
      </c>
      <c r="I20">
        <v>0</v>
      </c>
      <c r="J20">
        <v>3.95</v>
      </c>
      <c r="K20" t="s">
        <v>3012</v>
      </c>
      <c r="L20" t="s">
        <v>3491</v>
      </c>
      <c r="M20">
        <v>272</v>
      </c>
      <c r="N20">
        <v>2008</v>
      </c>
      <c r="O20">
        <v>2007</v>
      </c>
      <c r="Q20" t="s">
        <v>3576</v>
      </c>
      <c r="R20" t="s">
        <v>3863</v>
      </c>
      <c r="S20" t="s">
        <v>3877</v>
      </c>
      <c r="T20" t="s">
        <v>3863</v>
      </c>
      <c r="X20">
        <v>0</v>
      </c>
      <c r="AA20">
        <v>0</v>
      </c>
    </row>
    <row r="21" spans="1:27">
      <c r="A21" s="1">
        <v>19</v>
      </c>
      <c r="B21">
        <v>290979</v>
      </c>
      <c r="C21" t="s">
        <v>50</v>
      </c>
      <c r="D21" t="s">
        <v>1079</v>
      </c>
      <c r="E21" t="s">
        <v>1886</v>
      </c>
      <c r="F21" t="s">
        <v>2680</v>
      </c>
      <c r="G21">
        <f>"0307266931"</f>
        <v>0</v>
      </c>
      <c r="H21">
        <f>"9780307266934"</f>
        <v>0</v>
      </c>
      <c r="I21">
        <v>5</v>
      </c>
      <c r="J21">
        <v>4.14</v>
      </c>
      <c r="K21" t="s">
        <v>3013</v>
      </c>
      <c r="L21" t="s">
        <v>3492</v>
      </c>
      <c r="M21">
        <v>1273</v>
      </c>
      <c r="N21">
        <v>2007</v>
      </c>
      <c r="O21">
        <v>1869</v>
      </c>
      <c r="P21" t="s">
        <v>3504</v>
      </c>
      <c r="Q21" t="s">
        <v>3585</v>
      </c>
      <c r="R21" t="s">
        <v>3862</v>
      </c>
      <c r="S21" t="s">
        <v>3878</v>
      </c>
      <c r="T21" t="s">
        <v>4621</v>
      </c>
      <c r="U21" t="s">
        <v>4624</v>
      </c>
      <c r="X21">
        <v>1</v>
      </c>
      <c r="AA21">
        <v>0</v>
      </c>
    </row>
    <row r="22" spans="1:27">
      <c r="A22" s="1">
        <v>20</v>
      </c>
      <c r="B22">
        <v>24233708</v>
      </c>
      <c r="C22" t="s">
        <v>51</v>
      </c>
      <c r="D22" t="s">
        <v>1080</v>
      </c>
      <c r="E22" t="s">
        <v>1887</v>
      </c>
      <c r="G22">
        <f>""</f>
        <v>0</v>
      </c>
      <c r="H22">
        <f>""</f>
        <v>0</v>
      </c>
      <c r="I22">
        <v>0</v>
      </c>
      <c r="J22">
        <v>4.04</v>
      </c>
      <c r="K22" t="s">
        <v>3014</v>
      </c>
      <c r="L22" t="s">
        <v>3493</v>
      </c>
      <c r="M22">
        <v>343</v>
      </c>
      <c r="N22">
        <v>2018</v>
      </c>
      <c r="O22">
        <v>2018</v>
      </c>
      <c r="Q22" t="s">
        <v>3586</v>
      </c>
      <c r="R22" t="s">
        <v>3863</v>
      </c>
      <c r="S22" t="s">
        <v>3879</v>
      </c>
      <c r="T22" t="s">
        <v>3863</v>
      </c>
      <c r="X22">
        <v>0</v>
      </c>
      <c r="AA22">
        <v>0</v>
      </c>
    </row>
    <row r="23" spans="1:27">
      <c r="A23" s="1">
        <v>21</v>
      </c>
      <c r="B23">
        <v>30066446</v>
      </c>
      <c r="C23" t="s">
        <v>52</v>
      </c>
      <c r="D23" t="s">
        <v>1081</v>
      </c>
      <c r="E23" t="s">
        <v>1888</v>
      </c>
      <c r="F23" t="s">
        <v>2681</v>
      </c>
      <c r="G23">
        <f>""</f>
        <v>0</v>
      </c>
      <c r="H23">
        <f>""</f>
        <v>0</v>
      </c>
      <c r="I23">
        <v>0</v>
      </c>
      <c r="J23">
        <v>3.96</v>
      </c>
      <c r="L23" t="s">
        <v>3494</v>
      </c>
      <c r="N23">
        <v>2016</v>
      </c>
      <c r="O23">
        <v>2019</v>
      </c>
      <c r="Q23" t="s">
        <v>3587</v>
      </c>
      <c r="R23" t="s">
        <v>3863</v>
      </c>
      <c r="S23" t="s">
        <v>3880</v>
      </c>
      <c r="T23" t="s">
        <v>3863</v>
      </c>
      <c r="X23">
        <v>0</v>
      </c>
      <c r="AA23">
        <v>0</v>
      </c>
    </row>
    <row r="24" spans="1:27">
      <c r="A24" s="1">
        <v>22</v>
      </c>
      <c r="B24">
        <v>189989</v>
      </c>
      <c r="C24" t="s">
        <v>53</v>
      </c>
      <c r="D24" t="s">
        <v>1082</v>
      </c>
      <c r="E24" t="s">
        <v>1889</v>
      </c>
      <c r="G24">
        <f>"0345341848"</f>
        <v>0</v>
      </c>
      <c r="H24">
        <f>"9780345341846"</f>
        <v>0</v>
      </c>
      <c r="I24">
        <v>0</v>
      </c>
      <c r="J24">
        <v>3.85</v>
      </c>
      <c r="K24" t="s">
        <v>3001</v>
      </c>
      <c r="L24" t="s">
        <v>3495</v>
      </c>
      <c r="M24">
        <v>192</v>
      </c>
      <c r="N24">
        <v>1987</v>
      </c>
      <c r="O24">
        <v>1986</v>
      </c>
      <c r="Q24" t="s">
        <v>3587</v>
      </c>
      <c r="R24" t="s">
        <v>3863</v>
      </c>
      <c r="S24" t="s">
        <v>3881</v>
      </c>
      <c r="T24" t="s">
        <v>3863</v>
      </c>
      <c r="X24">
        <v>0</v>
      </c>
      <c r="AA24">
        <v>0</v>
      </c>
    </row>
    <row r="25" spans="1:27">
      <c r="A25" s="1">
        <v>23</v>
      </c>
      <c r="B25">
        <v>38796298</v>
      </c>
      <c r="C25" t="s">
        <v>54</v>
      </c>
      <c r="D25" t="s">
        <v>1083</v>
      </c>
      <c r="E25" t="s">
        <v>1890</v>
      </c>
      <c r="G25">
        <f>"0525534733"</f>
        <v>0</v>
      </c>
      <c r="H25">
        <f>"9780525534730"</f>
        <v>0</v>
      </c>
      <c r="I25">
        <v>0</v>
      </c>
      <c r="J25">
        <v>4.08</v>
      </c>
      <c r="K25" t="s">
        <v>3015</v>
      </c>
      <c r="L25" t="s">
        <v>3492</v>
      </c>
      <c r="M25">
        <v>304</v>
      </c>
      <c r="N25">
        <v>2019</v>
      </c>
      <c r="O25">
        <v>2019</v>
      </c>
      <c r="Q25" t="s">
        <v>3588</v>
      </c>
      <c r="R25" t="s">
        <v>3863</v>
      </c>
      <c r="S25" t="s">
        <v>3882</v>
      </c>
      <c r="T25" t="s">
        <v>3863</v>
      </c>
      <c r="X25">
        <v>0</v>
      </c>
      <c r="AA25">
        <v>0</v>
      </c>
    </row>
    <row r="26" spans="1:27">
      <c r="A26" s="1">
        <v>24</v>
      </c>
      <c r="B26">
        <v>292616</v>
      </c>
      <c r="C26" t="s">
        <v>55</v>
      </c>
      <c r="D26" t="s">
        <v>1084</v>
      </c>
      <c r="E26" t="s">
        <v>1891</v>
      </c>
      <c r="G26">
        <f>"0691018529"</f>
        <v>0</v>
      </c>
      <c r="H26">
        <f>"9780691018522"</f>
        <v>0</v>
      </c>
      <c r="I26">
        <v>0</v>
      </c>
      <c r="J26">
        <v>3.91</v>
      </c>
      <c r="K26" t="s">
        <v>3016</v>
      </c>
      <c r="L26" t="s">
        <v>3491</v>
      </c>
      <c r="M26">
        <v>436</v>
      </c>
      <c r="N26">
        <v>1965</v>
      </c>
      <c r="O26">
        <v>1959</v>
      </c>
      <c r="Q26" t="s">
        <v>3589</v>
      </c>
      <c r="R26" t="s">
        <v>3863</v>
      </c>
      <c r="S26" t="s">
        <v>3883</v>
      </c>
      <c r="T26" t="s">
        <v>3863</v>
      </c>
      <c r="X26">
        <v>0</v>
      </c>
      <c r="AA26">
        <v>0</v>
      </c>
    </row>
    <row r="27" spans="1:27">
      <c r="A27" s="1">
        <v>25</v>
      </c>
      <c r="B27">
        <v>828025</v>
      </c>
      <c r="C27" t="s">
        <v>56</v>
      </c>
      <c r="D27" t="s">
        <v>1085</v>
      </c>
      <c r="E27" t="s">
        <v>1892</v>
      </c>
      <c r="G27">
        <f>"0691021015"</f>
        <v>0</v>
      </c>
      <c r="H27">
        <f>"9780691021010"</f>
        <v>0</v>
      </c>
      <c r="I27">
        <v>0</v>
      </c>
      <c r="J27">
        <v>4.1</v>
      </c>
      <c r="K27" t="s">
        <v>3016</v>
      </c>
      <c r="L27" t="s">
        <v>3491</v>
      </c>
      <c r="M27">
        <v>302</v>
      </c>
      <c r="N27">
        <v>1995</v>
      </c>
      <c r="O27">
        <v>1993</v>
      </c>
      <c r="Q27" t="s">
        <v>3589</v>
      </c>
      <c r="R27" t="s">
        <v>3863</v>
      </c>
      <c r="S27" t="s">
        <v>3884</v>
      </c>
      <c r="T27" t="s">
        <v>3863</v>
      </c>
      <c r="X27">
        <v>0</v>
      </c>
      <c r="AA27">
        <v>0</v>
      </c>
    </row>
    <row r="28" spans="1:27">
      <c r="A28" s="1">
        <v>26</v>
      </c>
      <c r="B28">
        <v>25526260</v>
      </c>
      <c r="C28" t="s">
        <v>57</v>
      </c>
      <c r="D28" t="s">
        <v>1086</v>
      </c>
      <c r="E28" t="s">
        <v>1893</v>
      </c>
      <c r="G28">
        <f>""</f>
        <v>0</v>
      </c>
      <c r="H28">
        <f>""</f>
        <v>0</v>
      </c>
      <c r="I28">
        <v>0</v>
      </c>
      <c r="J28">
        <v>4.1</v>
      </c>
      <c r="L28" t="s">
        <v>3493</v>
      </c>
      <c r="M28">
        <v>173</v>
      </c>
      <c r="N28">
        <v>2015</v>
      </c>
      <c r="O28">
        <v>2015</v>
      </c>
      <c r="Q28" t="s">
        <v>3590</v>
      </c>
      <c r="R28" t="s">
        <v>3863</v>
      </c>
      <c r="S28" t="s">
        <v>3885</v>
      </c>
      <c r="T28" t="s">
        <v>3863</v>
      </c>
      <c r="X28">
        <v>0</v>
      </c>
      <c r="AA28">
        <v>0</v>
      </c>
    </row>
    <row r="29" spans="1:27">
      <c r="A29" s="1">
        <v>27</v>
      </c>
      <c r="B29">
        <v>25305666</v>
      </c>
      <c r="C29" t="s">
        <v>58</v>
      </c>
      <c r="D29" t="s">
        <v>1087</v>
      </c>
      <c r="E29" t="s">
        <v>1894</v>
      </c>
      <c r="G29">
        <f>""</f>
        <v>0</v>
      </c>
      <c r="H29">
        <f>""</f>
        <v>0</v>
      </c>
      <c r="I29">
        <v>0</v>
      </c>
      <c r="J29">
        <v>4.67</v>
      </c>
      <c r="K29" t="s">
        <v>3017</v>
      </c>
      <c r="L29" t="s">
        <v>3493</v>
      </c>
      <c r="M29">
        <v>256</v>
      </c>
      <c r="N29">
        <v>2014</v>
      </c>
      <c r="O29">
        <v>2014</v>
      </c>
      <c r="Q29" t="s">
        <v>3591</v>
      </c>
      <c r="R29" t="s">
        <v>3863</v>
      </c>
      <c r="S29" t="s">
        <v>3886</v>
      </c>
      <c r="T29" t="s">
        <v>3863</v>
      </c>
      <c r="X29">
        <v>0</v>
      </c>
      <c r="AA29">
        <v>0</v>
      </c>
    </row>
    <row r="30" spans="1:27">
      <c r="A30" s="1">
        <v>28</v>
      </c>
      <c r="B30">
        <v>20186</v>
      </c>
      <c r="C30" t="s">
        <v>59</v>
      </c>
      <c r="D30" t="s">
        <v>1088</v>
      </c>
      <c r="E30" t="s">
        <v>1895</v>
      </c>
      <c r="G30">
        <f>"0300078153"</f>
        <v>0</v>
      </c>
      <c r="H30">
        <f>"9780300078152"</f>
        <v>0</v>
      </c>
      <c r="I30">
        <v>0</v>
      </c>
      <c r="J30">
        <v>4.21</v>
      </c>
      <c r="K30" t="s">
        <v>3018</v>
      </c>
      <c r="L30" t="s">
        <v>3491</v>
      </c>
      <c r="M30">
        <v>445</v>
      </c>
      <c r="N30">
        <v>1998</v>
      </c>
      <c r="O30">
        <v>1998</v>
      </c>
      <c r="Q30" t="s">
        <v>3592</v>
      </c>
      <c r="R30" t="s">
        <v>3864</v>
      </c>
      <c r="S30" t="s">
        <v>3887</v>
      </c>
      <c r="T30" t="s">
        <v>3864</v>
      </c>
      <c r="X30">
        <v>1</v>
      </c>
      <c r="AA30">
        <v>0</v>
      </c>
    </row>
    <row r="31" spans="1:27">
      <c r="A31" s="1">
        <v>29</v>
      </c>
      <c r="B31">
        <v>20527133</v>
      </c>
      <c r="C31" t="s">
        <v>60</v>
      </c>
      <c r="D31" t="s">
        <v>1089</v>
      </c>
      <c r="E31" t="s">
        <v>1896</v>
      </c>
      <c r="G31">
        <f>"0199678111"</f>
        <v>0</v>
      </c>
      <c r="H31">
        <f>"9780199678112"</f>
        <v>0</v>
      </c>
      <c r="I31">
        <v>0</v>
      </c>
      <c r="J31">
        <v>3.87</v>
      </c>
      <c r="K31" t="s">
        <v>3019</v>
      </c>
      <c r="L31" t="s">
        <v>3492</v>
      </c>
      <c r="M31">
        <v>352</v>
      </c>
      <c r="N31">
        <v>2014</v>
      </c>
      <c r="O31">
        <v>2014</v>
      </c>
      <c r="Q31" t="s">
        <v>3593</v>
      </c>
      <c r="R31" t="s">
        <v>3864</v>
      </c>
      <c r="S31" t="s">
        <v>3888</v>
      </c>
      <c r="T31" t="s">
        <v>3864</v>
      </c>
      <c r="X31">
        <v>1</v>
      </c>
      <c r="AA31">
        <v>0</v>
      </c>
    </row>
    <row r="32" spans="1:27">
      <c r="A32" s="1">
        <v>30</v>
      </c>
      <c r="B32">
        <v>25783307</v>
      </c>
      <c r="C32" t="s">
        <v>61</v>
      </c>
      <c r="D32" t="s">
        <v>1090</v>
      </c>
      <c r="E32" t="s">
        <v>1897</v>
      </c>
      <c r="G32">
        <f>""</f>
        <v>0</v>
      </c>
      <c r="H32">
        <f>""</f>
        <v>0</v>
      </c>
      <c r="I32">
        <v>0</v>
      </c>
      <c r="J32">
        <v>4.32</v>
      </c>
      <c r="K32" t="s">
        <v>3020</v>
      </c>
      <c r="L32" t="s">
        <v>3493</v>
      </c>
      <c r="M32">
        <v>262</v>
      </c>
      <c r="N32">
        <v>2015</v>
      </c>
      <c r="O32">
        <v>2015</v>
      </c>
      <c r="Q32" t="s">
        <v>3594</v>
      </c>
      <c r="R32" t="s">
        <v>3863</v>
      </c>
      <c r="S32" t="s">
        <v>3889</v>
      </c>
      <c r="T32" t="s">
        <v>3863</v>
      </c>
      <c r="X32">
        <v>0</v>
      </c>
      <c r="AA32">
        <v>0</v>
      </c>
    </row>
    <row r="33" spans="1:27">
      <c r="A33" s="1">
        <v>31</v>
      </c>
      <c r="B33">
        <v>29378</v>
      </c>
      <c r="C33" t="s">
        <v>62</v>
      </c>
      <c r="D33" t="s">
        <v>1091</v>
      </c>
      <c r="E33" t="s">
        <v>1898</v>
      </c>
      <c r="G33">
        <f>"052143971X"</f>
        <v>0</v>
      </c>
      <c r="H33">
        <f>"9780521439718"</f>
        <v>0</v>
      </c>
      <c r="I33">
        <v>0</v>
      </c>
      <c r="J33">
        <v>4.08</v>
      </c>
      <c r="K33" t="s">
        <v>3021</v>
      </c>
      <c r="L33" t="s">
        <v>3491</v>
      </c>
      <c r="M33">
        <v>411</v>
      </c>
      <c r="N33">
        <v>1993</v>
      </c>
      <c r="O33">
        <v>1979</v>
      </c>
      <c r="Q33" t="s">
        <v>3595</v>
      </c>
      <c r="R33" t="s">
        <v>3863</v>
      </c>
      <c r="S33" t="s">
        <v>3890</v>
      </c>
      <c r="T33" t="s">
        <v>3863</v>
      </c>
      <c r="X33">
        <v>0</v>
      </c>
      <c r="AA33">
        <v>0</v>
      </c>
    </row>
    <row r="34" spans="1:27">
      <c r="A34" s="1">
        <v>32</v>
      </c>
      <c r="B34">
        <v>4799</v>
      </c>
      <c r="C34" t="s">
        <v>63</v>
      </c>
      <c r="D34" t="s">
        <v>1092</v>
      </c>
      <c r="E34" t="s">
        <v>1899</v>
      </c>
      <c r="G34">
        <f>"014200068X"</f>
        <v>0</v>
      </c>
      <c r="H34">
        <f>"9780142000687"</f>
        <v>0</v>
      </c>
      <c r="I34">
        <v>3</v>
      </c>
      <c r="J34">
        <v>4.05</v>
      </c>
      <c r="K34" t="s">
        <v>3010</v>
      </c>
      <c r="L34" t="s">
        <v>3491</v>
      </c>
      <c r="M34">
        <v>181</v>
      </c>
      <c r="N34">
        <v>2002</v>
      </c>
      <c r="O34">
        <v>1945</v>
      </c>
      <c r="Q34" t="s">
        <v>3596</v>
      </c>
      <c r="T34" t="s">
        <v>4621</v>
      </c>
      <c r="U34" t="s">
        <v>4625</v>
      </c>
      <c r="X34">
        <v>1</v>
      </c>
      <c r="AA34">
        <v>0</v>
      </c>
    </row>
    <row r="35" spans="1:27">
      <c r="A35" s="1">
        <v>33</v>
      </c>
      <c r="B35">
        <v>154246</v>
      </c>
      <c r="C35" t="s">
        <v>64</v>
      </c>
      <c r="D35" t="s">
        <v>1093</v>
      </c>
      <c r="E35" t="s">
        <v>1900</v>
      </c>
      <c r="F35" t="s">
        <v>2682</v>
      </c>
      <c r="G35">
        <f>"0913966703"</f>
        <v>0</v>
      </c>
      <c r="H35">
        <f>"9780913966709"</f>
        <v>0</v>
      </c>
      <c r="I35">
        <v>0</v>
      </c>
      <c r="J35">
        <v>4.23</v>
      </c>
      <c r="K35" t="s">
        <v>3022</v>
      </c>
      <c r="L35" t="s">
        <v>3492</v>
      </c>
      <c r="M35">
        <v>544</v>
      </c>
      <c r="N35">
        <v>1981</v>
      </c>
      <c r="O35">
        <v>1912</v>
      </c>
      <c r="Q35" t="s">
        <v>3597</v>
      </c>
      <c r="R35" t="s">
        <v>3863</v>
      </c>
      <c r="S35" t="s">
        <v>3891</v>
      </c>
      <c r="T35" t="s">
        <v>3863</v>
      </c>
      <c r="X35">
        <v>0</v>
      </c>
      <c r="AA35">
        <v>0</v>
      </c>
    </row>
    <row r="36" spans="1:27">
      <c r="A36" s="1">
        <v>34</v>
      </c>
      <c r="B36">
        <v>24723229</v>
      </c>
      <c r="C36" t="s">
        <v>65</v>
      </c>
      <c r="D36" t="s">
        <v>1094</v>
      </c>
      <c r="E36" t="s">
        <v>1901</v>
      </c>
      <c r="G36">
        <f>"0062276166"</f>
        <v>0</v>
      </c>
      <c r="H36">
        <f>"9780062276162"</f>
        <v>0</v>
      </c>
      <c r="I36">
        <v>0</v>
      </c>
      <c r="J36">
        <v>4.31</v>
      </c>
      <c r="K36" t="s">
        <v>3023</v>
      </c>
      <c r="L36" t="s">
        <v>3492</v>
      </c>
      <c r="M36">
        <v>704</v>
      </c>
      <c r="N36">
        <v>2015</v>
      </c>
      <c r="O36">
        <v>2015</v>
      </c>
      <c r="Q36" t="s">
        <v>3598</v>
      </c>
      <c r="R36" t="s">
        <v>3863</v>
      </c>
      <c r="S36" t="s">
        <v>3892</v>
      </c>
      <c r="T36" t="s">
        <v>3863</v>
      </c>
      <c r="X36">
        <v>0</v>
      </c>
      <c r="AA36">
        <v>0</v>
      </c>
    </row>
    <row r="37" spans="1:27">
      <c r="A37" s="1">
        <v>35</v>
      </c>
      <c r="B37">
        <v>348310</v>
      </c>
      <c r="C37" t="s">
        <v>66</v>
      </c>
      <c r="D37" t="s">
        <v>1095</v>
      </c>
      <c r="E37" t="s">
        <v>1902</v>
      </c>
      <c r="G37">
        <f>"3822816191"</f>
        <v>0</v>
      </c>
      <c r="H37">
        <f>"9783822816196"</f>
        <v>0</v>
      </c>
      <c r="I37">
        <v>0</v>
      </c>
      <c r="J37">
        <v>4.05</v>
      </c>
      <c r="K37" t="s">
        <v>3024</v>
      </c>
      <c r="L37" t="s">
        <v>3492</v>
      </c>
      <c r="M37">
        <v>320</v>
      </c>
      <c r="N37">
        <v>2002</v>
      </c>
      <c r="O37">
        <v>2002</v>
      </c>
      <c r="Q37" t="s">
        <v>3599</v>
      </c>
      <c r="R37" t="s">
        <v>3863</v>
      </c>
      <c r="S37" t="s">
        <v>3893</v>
      </c>
      <c r="T37" t="s">
        <v>3863</v>
      </c>
      <c r="X37">
        <v>0</v>
      </c>
      <c r="AA37">
        <v>0</v>
      </c>
    </row>
    <row r="38" spans="1:27">
      <c r="A38" s="1">
        <v>36</v>
      </c>
      <c r="B38">
        <v>13400</v>
      </c>
      <c r="C38" t="s">
        <v>67</v>
      </c>
      <c r="D38" t="s">
        <v>1096</v>
      </c>
      <c r="E38" t="s">
        <v>1903</v>
      </c>
      <c r="F38" t="s">
        <v>2683</v>
      </c>
      <c r="G38">
        <f>"0815332181"</f>
        <v>0</v>
      </c>
      <c r="H38">
        <f>"9780815332183"</f>
        <v>0</v>
      </c>
      <c r="I38">
        <v>0</v>
      </c>
      <c r="J38">
        <v>4.35</v>
      </c>
      <c r="K38" t="s">
        <v>3025</v>
      </c>
      <c r="L38" t="s">
        <v>3492</v>
      </c>
      <c r="M38">
        <v>1616</v>
      </c>
      <c r="N38">
        <v>2002</v>
      </c>
      <c r="O38">
        <v>1983</v>
      </c>
      <c r="Q38" t="s">
        <v>3599</v>
      </c>
      <c r="R38" t="s">
        <v>3863</v>
      </c>
      <c r="S38" t="s">
        <v>3894</v>
      </c>
      <c r="T38" t="s">
        <v>3863</v>
      </c>
      <c r="X38">
        <v>0</v>
      </c>
      <c r="AA38">
        <v>0</v>
      </c>
    </row>
    <row r="39" spans="1:27">
      <c r="A39" s="1">
        <v>37</v>
      </c>
      <c r="B39">
        <v>890</v>
      </c>
      <c r="C39" t="s">
        <v>68</v>
      </c>
      <c r="D39" t="s">
        <v>1092</v>
      </c>
      <c r="E39" t="s">
        <v>1899</v>
      </c>
      <c r="G39">
        <f>"0142000671"</f>
        <v>0</v>
      </c>
      <c r="H39">
        <f>"9780142000670"</f>
        <v>0</v>
      </c>
      <c r="I39">
        <v>3</v>
      </c>
      <c r="J39">
        <v>3.88</v>
      </c>
      <c r="K39" t="s">
        <v>3010</v>
      </c>
      <c r="L39" t="s">
        <v>3491</v>
      </c>
      <c r="M39">
        <v>112</v>
      </c>
      <c r="N39">
        <v>2002</v>
      </c>
      <c r="O39">
        <v>1937</v>
      </c>
      <c r="Q39" t="s">
        <v>3600</v>
      </c>
      <c r="T39" t="s">
        <v>4621</v>
      </c>
      <c r="U39" t="s">
        <v>4626</v>
      </c>
      <c r="X39">
        <v>1</v>
      </c>
      <c r="AA39">
        <v>0</v>
      </c>
    </row>
    <row r="40" spans="1:27">
      <c r="A40" s="1">
        <v>38</v>
      </c>
      <c r="B40">
        <v>26156469</v>
      </c>
      <c r="C40" t="s">
        <v>69</v>
      </c>
      <c r="D40" t="s">
        <v>1097</v>
      </c>
      <c r="E40" t="s">
        <v>1904</v>
      </c>
      <c r="F40" t="s">
        <v>2684</v>
      </c>
      <c r="G40">
        <f>"0062407805"</f>
        <v>0</v>
      </c>
      <c r="H40">
        <f>"9780062407801"</f>
        <v>0</v>
      </c>
      <c r="I40">
        <v>0</v>
      </c>
      <c r="J40">
        <v>4.37</v>
      </c>
      <c r="K40" t="s">
        <v>3026</v>
      </c>
      <c r="L40" t="s">
        <v>3492</v>
      </c>
      <c r="M40">
        <v>274</v>
      </c>
      <c r="N40">
        <v>2016</v>
      </c>
      <c r="O40">
        <v>2016</v>
      </c>
      <c r="Q40" t="s">
        <v>3601</v>
      </c>
      <c r="R40" t="s">
        <v>3863</v>
      </c>
      <c r="S40" t="s">
        <v>3895</v>
      </c>
      <c r="T40" t="s">
        <v>3863</v>
      </c>
      <c r="X40">
        <v>0</v>
      </c>
      <c r="AA40">
        <v>0</v>
      </c>
    </row>
    <row r="41" spans="1:27">
      <c r="A41" s="1">
        <v>39</v>
      </c>
      <c r="B41">
        <v>11890</v>
      </c>
      <c r="C41" t="s">
        <v>70</v>
      </c>
      <c r="D41" t="s">
        <v>1098</v>
      </c>
      <c r="E41" t="s">
        <v>1905</v>
      </c>
      <c r="F41" t="s">
        <v>2685</v>
      </c>
      <c r="G41">
        <f>"0060528877"</f>
        <v>0</v>
      </c>
      <c r="H41">
        <f>"9780060528874"</f>
        <v>0</v>
      </c>
      <c r="I41">
        <v>0</v>
      </c>
      <c r="J41">
        <v>3.76</v>
      </c>
      <c r="K41" t="s">
        <v>3027</v>
      </c>
      <c r="L41" t="s">
        <v>3491</v>
      </c>
      <c r="M41">
        <v>352</v>
      </c>
      <c r="N41">
        <v>2003</v>
      </c>
      <c r="O41">
        <v>1957</v>
      </c>
      <c r="Q41" t="s">
        <v>3602</v>
      </c>
      <c r="R41" t="s">
        <v>3863</v>
      </c>
      <c r="S41" t="s">
        <v>3896</v>
      </c>
      <c r="T41" t="s">
        <v>3863</v>
      </c>
      <c r="X41">
        <v>0</v>
      </c>
      <c r="AA41">
        <v>0</v>
      </c>
    </row>
    <row r="42" spans="1:27">
      <c r="A42" s="1">
        <v>40</v>
      </c>
      <c r="B42">
        <v>824912</v>
      </c>
      <c r="C42" t="s">
        <v>71</v>
      </c>
      <c r="D42" t="s">
        <v>1099</v>
      </c>
      <c r="E42" t="s">
        <v>1906</v>
      </c>
      <c r="G42">
        <f>"0747506191"</f>
        <v>0</v>
      </c>
      <c r="H42">
        <f>"9780747506195"</f>
        <v>0</v>
      </c>
      <c r="I42">
        <v>0</v>
      </c>
      <c r="J42">
        <v>4.2</v>
      </c>
      <c r="K42" t="s">
        <v>3028</v>
      </c>
      <c r="L42" t="s">
        <v>3491</v>
      </c>
      <c r="N42">
        <v>1990</v>
      </c>
      <c r="O42">
        <v>1989</v>
      </c>
      <c r="Q42" t="s">
        <v>3602</v>
      </c>
      <c r="R42" t="s">
        <v>3863</v>
      </c>
      <c r="S42" t="s">
        <v>3897</v>
      </c>
      <c r="T42" t="s">
        <v>3863</v>
      </c>
      <c r="X42">
        <v>0</v>
      </c>
      <c r="AA42">
        <v>0</v>
      </c>
    </row>
    <row r="43" spans="1:27">
      <c r="A43" s="1">
        <v>41</v>
      </c>
      <c r="B43">
        <v>59900956</v>
      </c>
      <c r="C43" t="s">
        <v>72</v>
      </c>
      <c r="D43" t="s">
        <v>1100</v>
      </c>
      <c r="E43" t="s">
        <v>1907</v>
      </c>
      <c r="F43" t="s">
        <v>2686</v>
      </c>
      <c r="G43">
        <f>"0645321400"</f>
        <v>0</v>
      </c>
      <c r="H43">
        <f>"9780645321401"</f>
        <v>0</v>
      </c>
      <c r="I43">
        <v>0</v>
      </c>
      <c r="J43">
        <v>4</v>
      </c>
      <c r="K43" t="s">
        <v>1100</v>
      </c>
      <c r="L43" t="s">
        <v>3491</v>
      </c>
      <c r="M43">
        <v>116</v>
      </c>
      <c r="N43">
        <v>2021</v>
      </c>
      <c r="Q43" t="s">
        <v>3602</v>
      </c>
      <c r="R43" t="s">
        <v>3863</v>
      </c>
      <c r="S43" t="s">
        <v>3898</v>
      </c>
      <c r="T43" t="s">
        <v>3863</v>
      </c>
      <c r="X43">
        <v>0</v>
      </c>
      <c r="AA43">
        <v>0</v>
      </c>
    </row>
    <row r="44" spans="1:27">
      <c r="A44" s="1">
        <v>42</v>
      </c>
      <c r="B44">
        <v>588138</v>
      </c>
      <c r="C44" t="s">
        <v>73</v>
      </c>
      <c r="D44" t="s">
        <v>1101</v>
      </c>
      <c r="E44" t="s">
        <v>1908</v>
      </c>
      <c r="G44">
        <f>"0691017840"</f>
        <v>0</v>
      </c>
      <c r="H44">
        <f>"9780691017846"</f>
        <v>0</v>
      </c>
      <c r="I44">
        <v>0</v>
      </c>
      <c r="J44">
        <v>4.13</v>
      </c>
      <c r="K44" t="s">
        <v>3016</v>
      </c>
      <c r="L44" t="s">
        <v>3491</v>
      </c>
      <c r="M44">
        <v>416</v>
      </c>
      <c r="N44">
        <v>1972</v>
      </c>
      <c r="O44">
        <v>1949</v>
      </c>
      <c r="Q44" t="s">
        <v>3603</v>
      </c>
      <c r="R44" t="s">
        <v>3863</v>
      </c>
      <c r="S44" t="s">
        <v>3899</v>
      </c>
      <c r="T44" t="s">
        <v>3863</v>
      </c>
      <c r="X44">
        <v>0</v>
      </c>
      <c r="AA44">
        <v>0</v>
      </c>
    </row>
    <row r="45" spans="1:27">
      <c r="A45" s="1">
        <v>43</v>
      </c>
      <c r="B45">
        <v>174621</v>
      </c>
      <c r="C45" t="s">
        <v>74</v>
      </c>
      <c r="D45" t="s">
        <v>1102</v>
      </c>
      <c r="E45" t="s">
        <v>1909</v>
      </c>
      <c r="G45">
        <f>"0375703926"</f>
        <v>0</v>
      </c>
      <c r="H45">
        <f>"9780375703928"</f>
        <v>0</v>
      </c>
      <c r="I45">
        <v>0</v>
      </c>
      <c r="J45">
        <v>4.1</v>
      </c>
      <c r="K45" t="s">
        <v>3029</v>
      </c>
      <c r="L45" t="s">
        <v>3491</v>
      </c>
      <c r="M45">
        <v>256</v>
      </c>
      <c r="N45">
        <v>1999</v>
      </c>
      <c r="O45">
        <v>1956</v>
      </c>
      <c r="Q45" t="s">
        <v>3579</v>
      </c>
      <c r="R45" t="s">
        <v>3863</v>
      </c>
      <c r="S45" t="s">
        <v>3900</v>
      </c>
      <c r="T45" t="s">
        <v>3863</v>
      </c>
      <c r="X45">
        <v>0</v>
      </c>
      <c r="AA45">
        <v>0</v>
      </c>
    </row>
    <row r="46" spans="1:27">
      <c r="A46" s="1">
        <v>44</v>
      </c>
      <c r="B46">
        <v>55563</v>
      </c>
      <c r="C46" t="s">
        <v>75</v>
      </c>
      <c r="D46" t="s">
        <v>1103</v>
      </c>
      <c r="E46" t="s">
        <v>1910</v>
      </c>
      <c r="F46" t="s">
        <v>2687</v>
      </c>
      <c r="G46">
        <f>"1862076375"</f>
        <v>0</v>
      </c>
      <c r="H46">
        <f>"9781862076372"</f>
        <v>0</v>
      </c>
      <c r="I46">
        <v>0</v>
      </c>
      <c r="J46">
        <v>3.8</v>
      </c>
      <c r="K46" t="s">
        <v>3030</v>
      </c>
      <c r="L46" t="s">
        <v>3491</v>
      </c>
      <c r="M46">
        <v>163</v>
      </c>
      <c r="N46">
        <v>2004</v>
      </c>
      <c r="O46">
        <v>1990</v>
      </c>
      <c r="Q46" t="s">
        <v>3579</v>
      </c>
      <c r="R46" t="s">
        <v>3863</v>
      </c>
      <c r="S46" t="s">
        <v>3901</v>
      </c>
      <c r="T46" t="s">
        <v>3863</v>
      </c>
      <c r="X46">
        <v>0</v>
      </c>
      <c r="AA46">
        <v>0</v>
      </c>
    </row>
    <row r="47" spans="1:27">
      <c r="A47" s="1">
        <v>45</v>
      </c>
      <c r="B47">
        <v>27310479</v>
      </c>
      <c r="C47" t="s">
        <v>76</v>
      </c>
      <c r="D47" t="s">
        <v>1104</v>
      </c>
      <c r="E47" t="s">
        <v>1911</v>
      </c>
      <c r="G47">
        <f>"0262034182"</f>
        <v>0</v>
      </c>
      <c r="H47">
        <f>"9780262034180"</f>
        <v>0</v>
      </c>
      <c r="I47">
        <v>0</v>
      </c>
      <c r="J47">
        <v>3.33</v>
      </c>
      <c r="K47" t="s">
        <v>3031</v>
      </c>
      <c r="L47" t="s">
        <v>3492</v>
      </c>
      <c r="M47">
        <v>312</v>
      </c>
      <c r="N47">
        <v>2016</v>
      </c>
      <c r="O47">
        <v>2016</v>
      </c>
      <c r="Q47" t="s">
        <v>3579</v>
      </c>
      <c r="R47" t="s">
        <v>3863</v>
      </c>
      <c r="S47" t="s">
        <v>3902</v>
      </c>
      <c r="T47" t="s">
        <v>3863</v>
      </c>
      <c r="X47">
        <v>0</v>
      </c>
      <c r="AA47">
        <v>0</v>
      </c>
    </row>
    <row r="48" spans="1:27">
      <c r="A48" s="1">
        <v>46</v>
      </c>
      <c r="B48">
        <v>25387260</v>
      </c>
      <c r="C48" t="s">
        <v>77</v>
      </c>
      <c r="D48" t="s">
        <v>1105</v>
      </c>
      <c r="E48" t="s">
        <v>1912</v>
      </c>
      <c r="F48" t="s">
        <v>2688</v>
      </c>
      <c r="G48">
        <f>"1590179277"</f>
        <v>0</v>
      </c>
      <c r="H48">
        <f>"9781590179277"</f>
        <v>0</v>
      </c>
      <c r="I48">
        <v>0</v>
      </c>
      <c r="J48">
        <v>3.97</v>
      </c>
      <c r="K48" t="s">
        <v>3032</v>
      </c>
      <c r="L48" t="s">
        <v>3494</v>
      </c>
      <c r="M48">
        <v>216</v>
      </c>
      <c r="N48">
        <v>2016</v>
      </c>
      <c r="O48">
        <v>2016</v>
      </c>
      <c r="Q48" t="s">
        <v>3579</v>
      </c>
      <c r="R48" t="s">
        <v>3863</v>
      </c>
      <c r="S48" t="s">
        <v>3903</v>
      </c>
      <c r="T48" t="s">
        <v>3863</v>
      </c>
      <c r="X48">
        <v>0</v>
      </c>
      <c r="AA48">
        <v>0</v>
      </c>
    </row>
    <row r="49" spans="1:27">
      <c r="A49" s="1">
        <v>47</v>
      </c>
      <c r="B49">
        <v>3339527</v>
      </c>
      <c r="C49" t="s">
        <v>78</v>
      </c>
      <c r="D49" t="s">
        <v>1106</v>
      </c>
      <c r="E49" t="s">
        <v>1913</v>
      </c>
      <c r="F49" t="s">
        <v>2689</v>
      </c>
      <c r="G49">
        <f>"0151013551"</f>
        <v>0</v>
      </c>
      <c r="H49">
        <f>"9780151013555"</f>
        <v>0</v>
      </c>
      <c r="I49">
        <v>0</v>
      </c>
      <c r="J49">
        <v>4.24</v>
      </c>
      <c r="K49" t="s">
        <v>3033</v>
      </c>
      <c r="L49" t="s">
        <v>3492</v>
      </c>
      <c r="M49">
        <v>374</v>
      </c>
      <c r="N49">
        <v>2008</v>
      </c>
      <c r="O49">
        <v>1941</v>
      </c>
      <c r="Q49" t="s">
        <v>3579</v>
      </c>
      <c r="R49" t="s">
        <v>3863</v>
      </c>
      <c r="S49" t="s">
        <v>3904</v>
      </c>
      <c r="T49" t="s">
        <v>3863</v>
      </c>
      <c r="X49">
        <v>0</v>
      </c>
      <c r="AA49">
        <v>0</v>
      </c>
    </row>
    <row r="50" spans="1:27">
      <c r="A50" s="1">
        <v>48</v>
      </c>
      <c r="B50">
        <v>11761</v>
      </c>
      <c r="C50" t="s">
        <v>79</v>
      </c>
      <c r="D50" t="s">
        <v>1107</v>
      </c>
      <c r="E50" t="s">
        <v>1914</v>
      </c>
      <c r="G50">
        <f>"0330369954"</f>
        <v>0</v>
      </c>
      <c r="H50">
        <f>"9780330369954"</f>
        <v>0</v>
      </c>
      <c r="I50">
        <v>0</v>
      </c>
      <c r="J50">
        <v>3.93</v>
      </c>
      <c r="K50" t="s">
        <v>3034</v>
      </c>
      <c r="L50" t="s">
        <v>3491</v>
      </c>
      <c r="M50">
        <v>827</v>
      </c>
      <c r="N50">
        <v>1999</v>
      </c>
      <c r="O50">
        <v>1997</v>
      </c>
      <c r="Q50" t="s">
        <v>3579</v>
      </c>
      <c r="R50" t="s">
        <v>3863</v>
      </c>
      <c r="S50" t="s">
        <v>3905</v>
      </c>
      <c r="T50" t="s">
        <v>3863</v>
      </c>
      <c r="X50">
        <v>0</v>
      </c>
      <c r="AA50">
        <v>0</v>
      </c>
    </row>
    <row r="51" spans="1:27">
      <c r="A51" s="1">
        <v>49</v>
      </c>
      <c r="B51">
        <v>680338</v>
      </c>
      <c r="C51" t="s">
        <v>80</v>
      </c>
      <c r="D51" t="s">
        <v>1108</v>
      </c>
      <c r="E51" t="s">
        <v>1915</v>
      </c>
      <c r="G51">
        <f>"1888869275"</f>
        <v>0</v>
      </c>
      <c r="H51">
        <f>"9781888869279"</f>
        <v>0</v>
      </c>
      <c r="I51">
        <v>0</v>
      </c>
      <c r="J51">
        <v>3.84</v>
      </c>
      <c r="K51" t="s">
        <v>3035</v>
      </c>
      <c r="L51" t="s">
        <v>3491</v>
      </c>
      <c r="M51">
        <v>151</v>
      </c>
      <c r="N51">
        <v>1997</v>
      </c>
      <c r="O51">
        <v>1997</v>
      </c>
      <c r="Q51" t="s">
        <v>3579</v>
      </c>
      <c r="R51" t="s">
        <v>3863</v>
      </c>
      <c r="S51" t="s">
        <v>3906</v>
      </c>
      <c r="T51" t="s">
        <v>3863</v>
      </c>
      <c r="X51">
        <v>0</v>
      </c>
      <c r="AA51">
        <v>0</v>
      </c>
    </row>
    <row r="52" spans="1:27">
      <c r="A52" s="1">
        <v>50</v>
      </c>
      <c r="B52">
        <v>27209431</v>
      </c>
      <c r="C52" t="s">
        <v>81</v>
      </c>
      <c r="D52" t="s">
        <v>1109</v>
      </c>
      <c r="E52" t="s">
        <v>1902</v>
      </c>
      <c r="G52">
        <f>""</f>
        <v>0</v>
      </c>
      <c r="H52">
        <f>""</f>
        <v>0</v>
      </c>
      <c r="I52">
        <v>0</v>
      </c>
      <c r="J52">
        <v>3.9</v>
      </c>
      <c r="K52" t="s">
        <v>3036</v>
      </c>
      <c r="L52" t="s">
        <v>3492</v>
      </c>
      <c r="M52">
        <v>336</v>
      </c>
      <c r="N52">
        <v>2016</v>
      </c>
      <c r="O52">
        <v>2016</v>
      </c>
      <c r="Q52" t="s">
        <v>3579</v>
      </c>
      <c r="R52" t="s">
        <v>3863</v>
      </c>
      <c r="S52" t="s">
        <v>3907</v>
      </c>
      <c r="T52" t="s">
        <v>3863</v>
      </c>
      <c r="X52">
        <v>0</v>
      </c>
      <c r="AA52">
        <v>0</v>
      </c>
    </row>
    <row r="53" spans="1:27">
      <c r="A53" s="1">
        <v>51</v>
      </c>
      <c r="B53">
        <v>28999823</v>
      </c>
      <c r="C53" t="s">
        <v>82</v>
      </c>
      <c r="D53" t="s">
        <v>1110</v>
      </c>
      <c r="E53" t="s">
        <v>1916</v>
      </c>
      <c r="F53" t="s">
        <v>2690</v>
      </c>
      <c r="G53">
        <f>"1445654644"</f>
        <v>0</v>
      </c>
      <c r="H53">
        <f>"9781445654645"</f>
        <v>0</v>
      </c>
      <c r="I53">
        <v>0</v>
      </c>
      <c r="J53">
        <v>3.75</v>
      </c>
      <c r="K53" t="s">
        <v>3037</v>
      </c>
      <c r="L53" t="s">
        <v>3491</v>
      </c>
      <c r="M53">
        <v>160</v>
      </c>
      <c r="N53">
        <v>2016</v>
      </c>
      <c r="Q53" t="s">
        <v>3579</v>
      </c>
      <c r="R53" t="s">
        <v>3863</v>
      </c>
      <c r="S53" t="s">
        <v>3908</v>
      </c>
      <c r="T53" t="s">
        <v>3863</v>
      </c>
      <c r="X53">
        <v>0</v>
      </c>
      <c r="AA53">
        <v>0</v>
      </c>
    </row>
    <row r="54" spans="1:27">
      <c r="A54" s="1">
        <v>52</v>
      </c>
      <c r="B54">
        <v>282447</v>
      </c>
      <c r="C54" t="s">
        <v>83</v>
      </c>
      <c r="D54" t="s">
        <v>1111</v>
      </c>
      <c r="E54" t="s">
        <v>1917</v>
      </c>
      <c r="G54">
        <f>"0393310957"</f>
        <v>0</v>
      </c>
      <c r="H54">
        <f>"9780393310955"</f>
        <v>0</v>
      </c>
      <c r="I54">
        <v>0</v>
      </c>
      <c r="J54">
        <v>4.04</v>
      </c>
      <c r="K54" t="s">
        <v>3038</v>
      </c>
      <c r="L54" t="s">
        <v>3491</v>
      </c>
      <c r="M54">
        <v>192</v>
      </c>
      <c r="N54">
        <v>1994</v>
      </c>
      <c r="O54">
        <v>1930</v>
      </c>
      <c r="Q54" t="s">
        <v>3579</v>
      </c>
      <c r="R54" t="s">
        <v>3863</v>
      </c>
      <c r="S54" t="s">
        <v>3909</v>
      </c>
      <c r="T54" t="s">
        <v>3863</v>
      </c>
      <c r="X54">
        <v>0</v>
      </c>
      <c r="AA54">
        <v>0</v>
      </c>
    </row>
    <row r="55" spans="1:27">
      <c r="A55" s="1">
        <v>53</v>
      </c>
      <c r="B55">
        <v>24388341</v>
      </c>
      <c r="C55" t="s">
        <v>84</v>
      </c>
      <c r="D55" t="s">
        <v>1112</v>
      </c>
      <c r="E55" t="s">
        <v>1918</v>
      </c>
      <c r="F55" t="s">
        <v>2691</v>
      </c>
      <c r="G55">
        <f>"0679644814"</f>
        <v>0</v>
      </c>
      <c r="H55">
        <f>"9780679644811"</f>
        <v>0</v>
      </c>
      <c r="I55">
        <v>0</v>
      </c>
      <c r="J55">
        <v>4.11</v>
      </c>
      <c r="K55" t="s">
        <v>3039</v>
      </c>
      <c r="L55" t="s">
        <v>3492</v>
      </c>
      <c r="M55">
        <v>784</v>
      </c>
      <c r="N55">
        <v>2015</v>
      </c>
      <c r="O55">
        <v>2015</v>
      </c>
      <c r="Q55" t="s">
        <v>3579</v>
      </c>
      <c r="R55" t="s">
        <v>3863</v>
      </c>
      <c r="S55" t="s">
        <v>3910</v>
      </c>
      <c r="T55" t="s">
        <v>3863</v>
      </c>
      <c r="X55">
        <v>0</v>
      </c>
      <c r="AA55">
        <v>0</v>
      </c>
    </row>
    <row r="56" spans="1:27">
      <c r="A56" s="1">
        <v>54</v>
      </c>
      <c r="B56">
        <v>28814790</v>
      </c>
      <c r="C56" t="s">
        <v>85</v>
      </c>
      <c r="D56" t="s">
        <v>1112</v>
      </c>
      <c r="E56" t="s">
        <v>1918</v>
      </c>
      <c r="F56" t="s">
        <v>2692</v>
      </c>
      <c r="G56">
        <f>"0679644830"</f>
        <v>0</v>
      </c>
      <c r="H56">
        <f>"9780679644835"</f>
        <v>0</v>
      </c>
      <c r="I56">
        <v>0</v>
      </c>
      <c r="J56">
        <v>4.02</v>
      </c>
      <c r="K56" t="s">
        <v>3039</v>
      </c>
      <c r="L56" t="s">
        <v>3492</v>
      </c>
      <c r="M56">
        <v>720</v>
      </c>
      <c r="N56">
        <v>2016</v>
      </c>
      <c r="O56">
        <v>2016</v>
      </c>
      <c r="Q56" t="s">
        <v>3579</v>
      </c>
      <c r="R56" t="s">
        <v>3863</v>
      </c>
      <c r="S56" t="s">
        <v>3911</v>
      </c>
      <c r="T56" t="s">
        <v>3863</v>
      </c>
      <c r="X56">
        <v>0</v>
      </c>
      <c r="AA56">
        <v>0</v>
      </c>
    </row>
    <row r="57" spans="1:27">
      <c r="A57" s="1">
        <v>55</v>
      </c>
      <c r="B57">
        <v>18310234</v>
      </c>
      <c r="C57" t="s">
        <v>86</v>
      </c>
      <c r="D57" t="s">
        <v>1112</v>
      </c>
      <c r="E57" t="s">
        <v>1918</v>
      </c>
      <c r="F57" t="s">
        <v>2693</v>
      </c>
      <c r="G57">
        <f>"0679644792"</f>
        <v>0</v>
      </c>
      <c r="H57">
        <f>"9780679644798"</f>
        <v>0</v>
      </c>
      <c r="I57">
        <v>0</v>
      </c>
      <c r="J57">
        <v>4.28</v>
      </c>
      <c r="K57" t="s">
        <v>3039</v>
      </c>
      <c r="L57" t="s">
        <v>3492</v>
      </c>
      <c r="M57">
        <v>696</v>
      </c>
      <c r="N57">
        <v>2014</v>
      </c>
      <c r="O57">
        <v>2014</v>
      </c>
      <c r="Q57" t="s">
        <v>3579</v>
      </c>
      <c r="R57" t="s">
        <v>3863</v>
      </c>
      <c r="S57" t="s">
        <v>3912</v>
      </c>
      <c r="T57" t="s">
        <v>3863</v>
      </c>
      <c r="X57">
        <v>0</v>
      </c>
      <c r="AA57">
        <v>0</v>
      </c>
    </row>
    <row r="58" spans="1:27">
      <c r="A58" s="1">
        <v>56</v>
      </c>
      <c r="B58">
        <v>138349</v>
      </c>
      <c r="C58" t="s">
        <v>87</v>
      </c>
      <c r="D58" t="s">
        <v>1113</v>
      </c>
      <c r="E58" t="s">
        <v>1919</v>
      </c>
      <c r="G58">
        <f>"0809028581"</f>
        <v>0</v>
      </c>
      <c r="H58">
        <f>"9780809028580"</f>
        <v>0</v>
      </c>
      <c r="I58">
        <v>0</v>
      </c>
      <c r="J58">
        <v>4.23</v>
      </c>
      <c r="K58" t="s">
        <v>3040</v>
      </c>
      <c r="L58" t="s">
        <v>3491</v>
      </c>
      <c r="M58">
        <v>672</v>
      </c>
      <c r="N58">
        <v>2002</v>
      </c>
      <c r="O58">
        <v>2001</v>
      </c>
      <c r="Q58" t="s">
        <v>3579</v>
      </c>
      <c r="R58" t="s">
        <v>3863</v>
      </c>
      <c r="S58" t="s">
        <v>3913</v>
      </c>
      <c r="T58" t="s">
        <v>3863</v>
      </c>
      <c r="X58">
        <v>0</v>
      </c>
      <c r="AA58">
        <v>0</v>
      </c>
    </row>
    <row r="59" spans="1:27">
      <c r="A59" s="1">
        <v>57</v>
      </c>
      <c r="B59">
        <v>17912386</v>
      </c>
      <c r="C59" t="s">
        <v>88</v>
      </c>
      <c r="D59" t="s">
        <v>1114</v>
      </c>
      <c r="E59" t="s">
        <v>1920</v>
      </c>
      <c r="G59">
        <f>"1610914945"</f>
        <v>0</v>
      </c>
      <c r="H59">
        <f>"9781610914949"</f>
        <v>0</v>
      </c>
      <c r="I59">
        <v>0</v>
      </c>
      <c r="J59">
        <v>4.53</v>
      </c>
      <c r="K59" t="s">
        <v>3041</v>
      </c>
      <c r="L59" t="s">
        <v>3492</v>
      </c>
      <c r="M59">
        <v>192</v>
      </c>
      <c r="N59">
        <v>2013</v>
      </c>
      <c r="O59">
        <v>2013</v>
      </c>
      <c r="Q59" t="s">
        <v>3579</v>
      </c>
      <c r="R59" t="s">
        <v>3863</v>
      </c>
      <c r="S59" t="s">
        <v>3914</v>
      </c>
      <c r="T59" t="s">
        <v>3863</v>
      </c>
      <c r="X59">
        <v>0</v>
      </c>
      <c r="AA59">
        <v>0</v>
      </c>
    </row>
    <row r="60" spans="1:27">
      <c r="A60" s="1">
        <v>58</v>
      </c>
      <c r="B60">
        <v>12622262</v>
      </c>
      <c r="C60" t="s">
        <v>89</v>
      </c>
      <c r="D60" t="s">
        <v>1115</v>
      </c>
      <c r="E60" t="s">
        <v>1921</v>
      </c>
      <c r="G60">
        <f>"1933452528"</f>
        <v>0</v>
      </c>
      <c r="H60">
        <f>"9781933452524"</f>
        <v>0</v>
      </c>
      <c r="I60">
        <v>0</v>
      </c>
      <c r="J60">
        <v>4</v>
      </c>
      <c r="K60" t="s">
        <v>1115</v>
      </c>
      <c r="L60" t="s">
        <v>3492</v>
      </c>
      <c r="M60">
        <v>215</v>
      </c>
      <c r="N60">
        <v>2010</v>
      </c>
      <c r="O60">
        <v>2010</v>
      </c>
      <c r="Q60" t="s">
        <v>3579</v>
      </c>
      <c r="R60" t="s">
        <v>3863</v>
      </c>
      <c r="S60" t="s">
        <v>3915</v>
      </c>
      <c r="T60" t="s">
        <v>3863</v>
      </c>
      <c r="X60">
        <v>0</v>
      </c>
      <c r="AA60">
        <v>0</v>
      </c>
    </row>
    <row r="61" spans="1:27">
      <c r="A61" s="1">
        <v>59</v>
      </c>
      <c r="B61">
        <v>29150489</v>
      </c>
      <c r="C61" t="s">
        <v>90</v>
      </c>
      <c r="D61" t="s">
        <v>1116</v>
      </c>
      <c r="E61" t="s">
        <v>1922</v>
      </c>
      <c r="F61" t="s">
        <v>2694</v>
      </c>
      <c r="G61">
        <f>"3899556453"</f>
        <v>0</v>
      </c>
      <c r="H61">
        <f>"9783899556452"</f>
        <v>0</v>
      </c>
      <c r="I61">
        <v>0</v>
      </c>
      <c r="J61">
        <v>4.3</v>
      </c>
      <c r="K61" t="s">
        <v>3042</v>
      </c>
      <c r="L61" t="s">
        <v>3492</v>
      </c>
      <c r="M61">
        <v>240</v>
      </c>
      <c r="N61">
        <v>2016</v>
      </c>
      <c r="Q61" t="s">
        <v>3579</v>
      </c>
      <c r="R61" t="s">
        <v>3863</v>
      </c>
      <c r="S61" t="s">
        <v>3916</v>
      </c>
      <c r="T61" t="s">
        <v>3863</v>
      </c>
      <c r="X61">
        <v>0</v>
      </c>
      <c r="AA61">
        <v>0</v>
      </c>
    </row>
    <row r="62" spans="1:27">
      <c r="A62" s="1">
        <v>60</v>
      </c>
      <c r="B62">
        <v>25810399</v>
      </c>
      <c r="C62" t="s">
        <v>91</v>
      </c>
      <c r="D62" t="s">
        <v>1117</v>
      </c>
      <c r="E62" t="s">
        <v>1923</v>
      </c>
      <c r="F62" t="s">
        <v>2695</v>
      </c>
      <c r="G62">
        <f>"0525429840"</f>
        <v>0</v>
      </c>
      <c r="H62">
        <f>"9780525429845"</f>
        <v>0</v>
      </c>
      <c r="I62">
        <v>0</v>
      </c>
      <c r="J62">
        <v>4.27</v>
      </c>
      <c r="K62" t="s">
        <v>3036</v>
      </c>
      <c r="L62" t="s">
        <v>3492</v>
      </c>
      <c r="M62">
        <v>368</v>
      </c>
      <c r="N62">
        <v>2016</v>
      </c>
      <c r="O62">
        <v>2016</v>
      </c>
      <c r="Q62" t="s">
        <v>3579</v>
      </c>
      <c r="R62" t="s">
        <v>3863</v>
      </c>
      <c r="S62" t="s">
        <v>3917</v>
      </c>
      <c r="T62" t="s">
        <v>3863</v>
      </c>
      <c r="X62">
        <v>0</v>
      </c>
      <c r="AA62">
        <v>0</v>
      </c>
    </row>
    <row r="63" spans="1:27">
      <c r="A63" s="1">
        <v>61</v>
      </c>
      <c r="B63">
        <v>26831944</v>
      </c>
      <c r="C63" t="s">
        <v>92</v>
      </c>
      <c r="D63" t="s">
        <v>1118</v>
      </c>
      <c r="E63" t="s">
        <v>1924</v>
      </c>
      <c r="G63">
        <f>"0198754620"</f>
        <v>0</v>
      </c>
      <c r="H63">
        <f>"9780198754626"</f>
        <v>0</v>
      </c>
      <c r="I63">
        <v>0</v>
      </c>
      <c r="J63">
        <v>3.42</v>
      </c>
      <c r="K63" t="s">
        <v>3019</v>
      </c>
      <c r="L63" t="s">
        <v>3492</v>
      </c>
      <c r="M63">
        <v>368</v>
      </c>
      <c r="N63">
        <v>2016</v>
      </c>
      <c r="O63">
        <v>2016</v>
      </c>
      <c r="Q63" t="s">
        <v>3579</v>
      </c>
      <c r="R63" t="s">
        <v>3863</v>
      </c>
      <c r="S63" t="s">
        <v>3918</v>
      </c>
      <c r="T63" t="s">
        <v>3863</v>
      </c>
      <c r="X63">
        <v>0</v>
      </c>
      <c r="AA63">
        <v>0</v>
      </c>
    </row>
    <row r="64" spans="1:27">
      <c r="A64" s="1">
        <v>62</v>
      </c>
      <c r="B64">
        <v>25229734</v>
      </c>
      <c r="C64" t="s">
        <v>93</v>
      </c>
      <c r="D64" t="s">
        <v>1119</v>
      </c>
      <c r="E64" t="s">
        <v>1925</v>
      </c>
      <c r="G64">
        <f>""</f>
        <v>0</v>
      </c>
      <c r="H64">
        <f>""</f>
        <v>0</v>
      </c>
      <c r="I64">
        <v>0</v>
      </c>
      <c r="J64">
        <v>4</v>
      </c>
      <c r="K64" t="s">
        <v>3043</v>
      </c>
      <c r="L64" t="s">
        <v>3493</v>
      </c>
      <c r="M64">
        <v>416</v>
      </c>
      <c r="N64">
        <v>2015</v>
      </c>
      <c r="O64">
        <v>2015</v>
      </c>
      <c r="Q64" t="s">
        <v>3579</v>
      </c>
      <c r="R64" t="s">
        <v>3863</v>
      </c>
      <c r="S64" t="s">
        <v>3919</v>
      </c>
      <c r="T64" t="s">
        <v>3863</v>
      </c>
      <c r="X64">
        <v>0</v>
      </c>
      <c r="AA64">
        <v>0</v>
      </c>
    </row>
    <row r="65" spans="1:27">
      <c r="A65" s="1">
        <v>63</v>
      </c>
      <c r="B65">
        <v>213280</v>
      </c>
      <c r="C65" t="s">
        <v>94</v>
      </c>
      <c r="D65" t="s">
        <v>1120</v>
      </c>
      <c r="E65" t="s">
        <v>1926</v>
      </c>
      <c r="G65">
        <f>"0060742755"</f>
        <v>0</v>
      </c>
      <c r="H65">
        <f>"9780060742751"</f>
        <v>0</v>
      </c>
      <c r="I65">
        <v>0</v>
      </c>
      <c r="J65">
        <v>4.03</v>
      </c>
      <c r="K65" t="s">
        <v>3023</v>
      </c>
      <c r="L65" t="s">
        <v>3492</v>
      </c>
      <c r="M65">
        <v>336</v>
      </c>
      <c r="N65">
        <v>2006</v>
      </c>
      <c r="O65">
        <v>2006</v>
      </c>
      <c r="Q65" t="s">
        <v>3579</v>
      </c>
      <c r="R65" t="s">
        <v>3863</v>
      </c>
      <c r="S65" t="s">
        <v>3920</v>
      </c>
      <c r="T65" t="s">
        <v>3863</v>
      </c>
      <c r="X65">
        <v>0</v>
      </c>
      <c r="AA65">
        <v>0</v>
      </c>
    </row>
    <row r="66" spans="1:27">
      <c r="A66" s="1">
        <v>64</v>
      </c>
      <c r="B66">
        <v>22155</v>
      </c>
      <c r="C66" t="s">
        <v>95</v>
      </c>
      <c r="D66" t="s">
        <v>1121</v>
      </c>
      <c r="E66" t="s">
        <v>1927</v>
      </c>
      <c r="G66">
        <f>"0143037838"</f>
        <v>0</v>
      </c>
      <c r="H66">
        <f>"9780143037835"</f>
        <v>0</v>
      </c>
      <c r="I66">
        <v>0</v>
      </c>
      <c r="J66">
        <v>4.19</v>
      </c>
      <c r="K66" t="s">
        <v>3010</v>
      </c>
      <c r="L66" t="s">
        <v>3491</v>
      </c>
      <c r="M66">
        <v>272</v>
      </c>
      <c r="N66">
        <v>2006</v>
      </c>
      <c r="O66">
        <v>2005</v>
      </c>
      <c r="Q66" t="s">
        <v>3579</v>
      </c>
      <c r="R66" t="s">
        <v>3863</v>
      </c>
      <c r="S66" t="s">
        <v>3921</v>
      </c>
      <c r="T66" t="s">
        <v>3863</v>
      </c>
      <c r="X66">
        <v>0</v>
      </c>
      <c r="AA66">
        <v>0</v>
      </c>
    </row>
    <row r="67" spans="1:27">
      <c r="A67" s="1">
        <v>65</v>
      </c>
      <c r="B67">
        <v>286525</v>
      </c>
      <c r="C67" t="s">
        <v>96</v>
      </c>
      <c r="D67" t="s">
        <v>1122</v>
      </c>
      <c r="E67" t="s">
        <v>1928</v>
      </c>
      <c r="G67">
        <f>"0521299551"</f>
        <v>0</v>
      </c>
      <c r="H67">
        <f>"9780521299558"</f>
        <v>0</v>
      </c>
      <c r="I67">
        <v>0</v>
      </c>
      <c r="J67">
        <v>4.09</v>
      </c>
      <c r="K67" t="s">
        <v>3021</v>
      </c>
      <c r="L67" t="s">
        <v>3491</v>
      </c>
      <c r="M67">
        <v>820</v>
      </c>
      <c r="N67">
        <v>1982</v>
      </c>
      <c r="O67">
        <v>1979</v>
      </c>
      <c r="Q67" t="s">
        <v>3579</v>
      </c>
      <c r="R67" t="s">
        <v>3863</v>
      </c>
      <c r="S67" t="s">
        <v>3922</v>
      </c>
      <c r="T67" t="s">
        <v>3863</v>
      </c>
      <c r="X67">
        <v>0</v>
      </c>
      <c r="AA67">
        <v>0</v>
      </c>
    </row>
    <row r="68" spans="1:27">
      <c r="A68" s="1">
        <v>66</v>
      </c>
      <c r="B68">
        <v>795898</v>
      </c>
      <c r="C68" t="s">
        <v>97</v>
      </c>
      <c r="D68" t="s">
        <v>1123</v>
      </c>
      <c r="E68" t="s">
        <v>1929</v>
      </c>
      <c r="G68">
        <f>"0394709411"</f>
        <v>0</v>
      </c>
      <c r="H68">
        <f>"9780394709413"</f>
        <v>0</v>
      </c>
      <c r="I68">
        <v>0</v>
      </c>
      <c r="J68">
        <v>3.78</v>
      </c>
      <c r="K68" t="s">
        <v>3039</v>
      </c>
      <c r="L68" t="s">
        <v>3491</v>
      </c>
      <c r="M68">
        <v>224</v>
      </c>
      <c r="N68">
        <v>1974</v>
      </c>
      <c r="O68">
        <v>1974</v>
      </c>
      <c r="Q68" t="s">
        <v>3579</v>
      </c>
      <c r="R68" t="s">
        <v>3863</v>
      </c>
      <c r="S68" t="s">
        <v>3923</v>
      </c>
      <c r="T68" t="s">
        <v>3863</v>
      </c>
      <c r="X68">
        <v>0</v>
      </c>
      <c r="AA68">
        <v>0</v>
      </c>
    </row>
    <row r="69" spans="1:27">
      <c r="A69" s="1">
        <v>67</v>
      </c>
      <c r="B69">
        <v>9809</v>
      </c>
      <c r="C69" t="s">
        <v>98</v>
      </c>
      <c r="D69" t="s">
        <v>1124</v>
      </c>
      <c r="E69" t="s">
        <v>1930</v>
      </c>
      <c r="F69" t="s">
        <v>2696</v>
      </c>
      <c r="G69">
        <f>"0156453800"</f>
        <v>0</v>
      </c>
      <c r="H69">
        <f>"9780156453806"</f>
        <v>0</v>
      </c>
      <c r="I69">
        <v>0</v>
      </c>
      <c r="J69">
        <v>4.13</v>
      </c>
      <c r="K69" t="s">
        <v>3044</v>
      </c>
      <c r="L69" t="s">
        <v>3491</v>
      </c>
      <c r="M69">
        <v>165</v>
      </c>
      <c r="N69">
        <v>1974</v>
      </c>
      <c r="O69">
        <v>1972</v>
      </c>
      <c r="Q69" t="s">
        <v>3579</v>
      </c>
      <c r="R69" t="s">
        <v>3863</v>
      </c>
      <c r="S69" t="s">
        <v>3924</v>
      </c>
      <c r="T69" t="s">
        <v>3863</v>
      </c>
      <c r="X69">
        <v>0</v>
      </c>
      <c r="AA69">
        <v>0</v>
      </c>
    </row>
    <row r="70" spans="1:27">
      <c r="A70" s="1">
        <v>68</v>
      </c>
      <c r="B70">
        <v>2749148</v>
      </c>
      <c r="C70" t="s">
        <v>99</v>
      </c>
      <c r="D70" t="s">
        <v>1125</v>
      </c>
      <c r="E70" t="s">
        <v>1931</v>
      </c>
      <c r="G70">
        <f>"0486466825"</f>
        <v>0</v>
      </c>
      <c r="H70">
        <f>"9780486466828"</f>
        <v>0</v>
      </c>
      <c r="I70">
        <v>0</v>
      </c>
      <c r="J70">
        <v>3.79</v>
      </c>
      <c r="K70" t="s">
        <v>3045</v>
      </c>
      <c r="L70" t="s">
        <v>3491</v>
      </c>
      <c r="M70">
        <v>246</v>
      </c>
      <c r="N70">
        <v>2008</v>
      </c>
      <c r="O70">
        <v>1930</v>
      </c>
      <c r="Q70" t="s">
        <v>3579</v>
      </c>
      <c r="R70" t="s">
        <v>3863</v>
      </c>
      <c r="S70" t="s">
        <v>3925</v>
      </c>
      <c r="T70" t="s">
        <v>3863</v>
      </c>
      <c r="X70">
        <v>0</v>
      </c>
      <c r="AA70">
        <v>0</v>
      </c>
    </row>
    <row r="71" spans="1:27">
      <c r="A71" s="1">
        <v>69</v>
      </c>
      <c r="B71">
        <v>920607</v>
      </c>
      <c r="C71" t="s">
        <v>100</v>
      </c>
      <c r="D71" t="s">
        <v>1126</v>
      </c>
      <c r="E71" t="s">
        <v>1932</v>
      </c>
      <c r="G71">
        <f>""</f>
        <v>0</v>
      </c>
      <c r="H71">
        <f>""</f>
        <v>0</v>
      </c>
      <c r="I71">
        <v>0</v>
      </c>
      <c r="J71">
        <v>4.34</v>
      </c>
      <c r="K71" t="s">
        <v>3046</v>
      </c>
      <c r="L71" t="s">
        <v>3492</v>
      </c>
      <c r="M71">
        <v>132</v>
      </c>
      <c r="N71">
        <v>2007</v>
      </c>
      <c r="O71">
        <v>2007</v>
      </c>
      <c r="Q71" t="s">
        <v>3579</v>
      </c>
      <c r="R71" t="s">
        <v>3863</v>
      </c>
      <c r="S71" t="s">
        <v>3926</v>
      </c>
      <c r="T71" t="s">
        <v>3863</v>
      </c>
      <c r="X71">
        <v>0</v>
      </c>
      <c r="AA71">
        <v>0</v>
      </c>
    </row>
    <row r="72" spans="1:27">
      <c r="A72" s="1">
        <v>70</v>
      </c>
      <c r="B72">
        <v>187806</v>
      </c>
      <c r="C72" t="s">
        <v>101</v>
      </c>
      <c r="D72" t="s">
        <v>1127</v>
      </c>
      <c r="E72" t="s">
        <v>1933</v>
      </c>
      <c r="G72">
        <f>"1891620029"</f>
        <v>0</v>
      </c>
      <c r="H72">
        <f>"9781891620027"</f>
        <v>0</v>
      </c>
      <c r="I72">
        <v>0</v>
      </c>
      <c r="J72">
        <v>4.43</v>
      </c>
      <c r="K72" t="s">
        <v>3047</v>
      </c>
      <c r="L72" t="s">
        <v>3491</v>
      </c>
      <c r="M72">
        <v>464</v>
      </c>
      <c r="N72">
        <v>1998</v>
      </c>
      <c r="O72">
        <v>1988</v>
      </c>
      <c r="Q72" t="s">
        <v>3579</v>
      </c>
      <c r="R72" t="s">
        <v>3863</v>
      </c>
      <c r="S72" t="s">
        <v>3927</v>
      </c>
      <c r="T72" t="s">
        <v>3863</v>
      </c>
      <c r="X72">
        <v>0</v>
      </c>
      <c r="AA72">
        <v>0</v>
      </c>
    </row>
    <row r="73" spans="1:27">
      <c r="A73" s="1">
        <v>71</v>
      </c>
      <c r="B73">
        <v>2090304</v>
      </c>
      <c r="C73" t="s">
        <v>102</v>
      </c>
      <c r="D73" t="s">
        <v>1128</v>
      </c>
      <c r="E73" t="s">
        <v>1934</v>
      </c>
      <c r="G73">
        <f>"026206264X"</f>
        <v>0</v>
      </c>
      <c r="H73">
        <f>"9780262062640"</f>
        <v>0</v>
      </c>
      <c r="I73">
        <v>0</v>
      </c>
      <c r="J73">
        <v>3.51</v>
      </c>
      <c r="K73" t="s">
        <v>3048</v>
      </c>
      <c r="L73" t="s">
        <v>3492</v>
      </c>
      <c r="M73">
        <v>304</v>
      </c>
      <c r="N73">
        <v>2007</v>
      </c>
      <c r="O73">
        <v>2007</v>
      </c>
      <c r="Q73" t="s">
        <v>3579</v>
      </c>
      <c r="R73" t="s">
        <v>3863</v>
      </c>
      <c r="S73" t="s">
        <v>3928</v>
      </c>
      <c r="T73" t="s">
        <v>3863</v>
      </c>
      <c r="X73">
        <v>0</v>
      </c>
      <c r="AA73">
        <v>0</v>
      </c>
    </row>
    <row r="74" spans="1:27">
      <c r="A74" s="1">
        <v>72</v>
      </c>
      <c r="B74">
        <v>61278</v>
      </c>
      <c r="C74" t="s">
        <v>103</v>
      </c>
      <c r="D74" t="s">
        <v>1129</v>
      </c>
      <c r="E74" t="s">
        <v>1935</v>
      </c>
      <c r="G74">
        <f>"0691124523"</f>
        <v>0</v>
      </c>
      <c r="H74">
        <f>"9780691124520"</f>
        <v>0</v>
      </c>
      <c r="I74">
        <v>0</v>
      </c>
      <c r="J74">
        <v>3.66</v>
      </c>
      <c r="K74" t="s">
        <v>3016</v>
      </c>
      <c r="L74" t="s">
        <v>3491</v>
      </c>
      <c r="M74">
        <v>320</v>
      </c>
      <c r="N74">
        <v>2005</v>
      </c>
      <c r="O74">
        <v>2004</v>
      </c>
      <c r="Q74" t="s">
        <v>3579</v>
      </c>
      <c r="R74" t="s">
        <v>3863</v>
      </c>
      <c r="S74" t="s">
        <v>3929</v>
      </c>
      <c r="T74" t="s">
        <v>3863</v>
      </c>
      <c r="X74">
        <v>0</v>
      </c>
      <c r="AA74">
        <v>0</v>
      </c>
    </row>
    <row r="75" spans="1:27">
      <c r="A75" s="1">
        <v>73</v>
      </c>
      <c r="B75">
        <v>74787</v>
      </c>
      <c r="C75" t="s">
        <v>104</v>
      </c>
      <c r="D75" t="s">
        <v>1130</v>
      </c>
      <c r="E75" t="s">
        <v>1936</v>
      </c>
      <c r="G75">
        <f>"0140172459"</f>
        <v>0</v>
      </c>
      <c r="H75">
        <f>"9780140172454"</f>
        <v>0</v>
      </c>
      <c r="I75">
        <v>0</v>
      </c>
      <c r="J75">
        <v>3.8</v>
      </c>
      <c r="K75" t="s">
        <v>3010</v>
      </c>
      <c r="L75" t="s">
        <v>3491</v>
      </c>
      <c r="M75">
        <v>288</v>
      </c>
      <c r="N75">
        <v>1993</v>
      </c>
      <c r="O75">
        <v>1983</v>
      </c>
      <c r="Q75" t="s">
        <v>3604</v>
      </c>
      <c r="R75" t="s">
        <v>3863</v>
      </c>
      <c r="S75" t="s">
        <v>3930</v>
      </c>
      <c r="T75" t="s">
        <v>3863</v>
      </c>
      <c r="X75">
        <v>0</v>
      </c>
      <c r="AA75">
        <v>0</v>
      </c>
    </row>
    <row r="76" spans="1:27">
      <c r="A76" s="1">
        <v>74</v>
      </c>
      <c r="B76">
        <v>25739</v>
      </c>
      <c r="C76" t="s">
        <v>105</v>
      </c>
      <c r="D76" t="s">
        <v>1131</v>
      </c>
      <c r="E76" t="s">
        <v>1937</v>
      </c>
      <c r="G76">
        <f>"0451166639"</f>
        <v>0</v>
      </c>
      <c r="H76">
        <f>"9780451166630"</f>
        <v>0</v>
      </c>
      <c r="I76">
        <v>0</v>
      </c>
      <c r="J76">
        <v>3.96</v>
      </c>
      <c r="K76" t="s">
        <v>3049</v>
      </c>
      <c r="L76" t="s">
        <v>3491</v>
      </c>
      <c r="M76">
        <v>345</v>
      </c>
      <c r="N76">
        <v>1989</v>
      </c>
      <c r="O76">
        <v>1966</v>
      </c>
      <c r="Q76" t="s">
        <v>3604</v>
      </c>
      <c r="R76" t="s">
        <v>3863</v>
      </c>
      <c r="S76" t="s">
        <v>3931</v>
      </c>
      <c r="T76" t="s">
        <v>3863</v>
      </c>
      <c r="X76">
        <v>0</v>
      </c>
      <c r="AA76">
        <v>0</v>
      </c>
    </row>
    <row r="77" spans="1:27">
      <c r="A77" s="1">
        <v>75</v>
      </c>
      <c r="B77">
        <v>15814168</v>
      </c>
      <c r="C77" t="s">
        <v>106</v>
      </c>
      <c r="D77" t="s">
        <v>1132</v>
      </c>
      <c r="E77" t="s">
        <v>1938</v>
      </c>
      <c r="G77">
        <f>"0399161309"</f>
        <v>0</v>
      </c>
      <c r="H77">
        <f>"9780399161308"</f>
        <v>0</v>
      </c>
      <c r="I77">
        <v>0</v>
      </c>
      <c r="J77">
        <v>3.46</v>
      </c>
      <c r="K77" t="s">
        <v>3050</v>
      </c>
      <c r="L77" t="s">
        <v>3492</v>
      </c>
      <c r="M77">
        <v>386</v>
      </c>
      <c r="N77">
        <v>2013</v>
      </c>
      <c r="O77">
        <v>2013</v>
      </c>
      <c r="Q77" t="s">
        <v>3604</v>
      </c>
      <c r="R77" t="s">
        <v>3863</v>
      </c>
      <c r="S77" t="s">
        <v>3932</v>
      </c>
      <c r="T77" t="s">
        <v>3863</v>
      </c>
      <c r="X77">
        <v>0</v>
      </c>
      <c r="AA77">
        <v>0</v>
      </c>
    </row>
    <row r="78" spans="1:27">
      <c r="A78" s="1">
        <v>76</v>
      </c>
      <c r="B78">
        <v>2141713</v>
      </c>
      <c r="C78" t="s">
        <v>107</v>
      </c>
      <c r="D78" t="s">
        <v>1133</v>
      </c>
      <c r="E78" t="s">
        <v>1939</v>
      </c>
      <c r="F78" t="s">
        <v>2697</v>
      </c>
      <c r="G78">
        <f>"0201115190"</f>
        <v>0</v>
      </c>
      <c r="H78">
        <f>"9780201115192"</f>
        <v>0</v>
      </c>
      <c r="I78">
        <v>0</v>
      </c>
      <c r="J78">
        <v>3.29</v>
      </c>
      <c r="K78" t="s">
        <v>3051</v>
      </c>
      <c r="L78" t="s">
        <v>3492</v>
      </c>
      <c r="M78">
        <v>275</v>
      </c>
      <c r="N78">
        <v>1983</v>
      </c>
      <c r="O78">
        <v>1983</v>
      </c>
      <c r="Q78" t="s">
        <v>3604</v>
      </c>
      <c r="R78" t="s">
        <v>3863</v>
      </c>
      <c r="S78" t="s">
        <v>3933</v>
      </c>
      <c r="T78" t="s">
        <v>3863</v>
      </c>
      <c r="X78">
        <v>0</v>
      </c>
      <c r="AA78">
        <v>0</v>
      </c>
    </row>
    <row r="79" spans="1:27">
      <c r="A79" s="1">
        <v>77</v>
      </c>
      <c r="B79">
        <v>17942017</v>
      </c>
      <c r="C79" t="s">
        <v>108</v>
      </c>
      <c r="D79" t="s">
        <v>1134</v>
      </c>
      <c r="E79" t="s">
        <v>1940</v>
      </c>
      <c r="G79">
        <f>"1400847966"</f>
        <v>0</v>
      </c>
      <c r="H79">
        <f>"9781400847969"</f>
        <v>0</v>
      </c>
      <c r="I79">
        <v>0</v>
      </c>
      <c r="J79">
        <v>3.84</v>
      </c>
      <c r="K79" t="s">
        <v>3016</v>
      </c>
      <c r="L79" t="s">
        <v>3494</v>
      </c>
      <c r="M79">
        <v>376</v>
      </c>
      <c r="N79">
        <v>2013</v>
      </c>
      <c r="O79">
        <v>2013</v>
      </c>
      <c r="Q79" t="s">
        <v>3604</v>
      </c>
      <c r="R79" t="s">
        <v>3863</v>
      </c>
      <c r="S79" t="s">
        <v>3934</v>
      </c>
      <c r="T79" t="s">
        <v>3863</v>
      </c>
      <c r="X79">
        <v>0</v>
      </c>
      <c r="AA79">
        <v>0</v>
      </c>
    </row>
    <row r="80" spans="1:27">
      <c r="A80" s="1">
        <v>78</v>
      </c>
      <c r="B80">
        <v>381339</v>
      </c>
      <c r="C80" t="s">
        <v>109</v>
      </c>
      <c r="D80" t="s">
        <v>1135</v>
      </c>
      <c r="E80" t="s">
        <v>1941</v>
      </c>
      <c r="G80">
        <f>"0226476766"</f>
        <v>0</v>
      </c>
      <c r="H80">
        <f>"9780226476766"</f>
        <v>0</v>
      </c>
      <c r="I80">
        <v>0</v>
      </c>
      <c r="J80">
        <v>3.98</v>
      </c>
      <c r="K80" t="s">
        <v>3052</v>
      </c>
      <c r="L80" t="s">
        <v>3492</v>
      </c>
      <c r="M80">
        <v>368</v>
      </c>
      <c r="N80">
        <v>2004</v>
      </c>
      <c r="O80">
        <v>2004</v>
      </c>
      <c r="Q80" t="s">
        <v>3604</v>
      </c>
      <c r="R80" t="s">
        <v>3863</v>
      </c>
      <c r="S80" t="s">
        <v>3935</v>
      </c>
      <c r="T80" t="s">
        <v>3863</v>
      </c>
      <c r="X80">
        <v>0</v>
      </c>
      <c r="AA80">
        <v>0</v>
      </c>
    </row>
    <row r="81" spans="1:27">
      <c r="A81" s="1">
        <v>79</v>
      </c>
      <c r="B81">
        <v>2120575</v>
      </c>
      <c r="C81" t="s">
        <v>110</v>
      </c>
      <c r="D81" t="s">
        <v>1136</v>
      </c>
      <c r="E81" t="s">
        <v>1942</v>
      </c>
      <c r="G81">
        <f>"0262630184"</f>
        <v>0</v>
      </c>
      <c r="H81">
        <f>"9780262630184"</f>
        <v>0</v>
      </c>
      <c r="I81">
        <v>0</v>
      </c>
      <c r="J81">
        <v>3.9</v>
      </c>
      <c r="K81" t="s">
        <v>3048</v>
      </c>
      <c r="L81" t="s">
        <v>3491</v>
      </c>
      <c r="M81">
        <v>246</v>
      </c>
      <c r="N81">
        <v>1968</v>
      </c>
      <c r="O81">
        <v>1966</v>
      </c>
      <c r="Q81" t="s">
        <v>3604</v>
      </c>
      <c r="R81" t="s">
        <v>3863</v>
      </c>
      <c r="S81" t="s">
        <v>3936</v>
      </c>
      <c r="T81" t="s">
        <v>3863</v>
      </c>
      <c r="X81">
        <v>0</v>
      </c>
      <c r="AA81">
        <v>0</v>
      </c>
    </row>
    <row r="82" spans="1:27">
      <c r="A82" s="1">
        <v>80</v>
      </c>
      <c r="B82">
        <v>8723692</v>
      </c>
      <c r="C82" t="s">
        <v>111</v>
      </c>
      <c r="D82" t="s">
        <v>1137</v>
      </c>
      <c r="E82" t="s">
        <v>1943</v>
      </c>
      <c r="G82">
        <f>"0385523335"</f>
        <v>0</v>
      </c>
      <c r="H82">
        <f>"9780385523332"</f>
        <v>0</v>
      </c>
      <c r="I82">
        <v>0</v>
      </c>
      <c r="J82">
        <v>3.88</v>
      </c>
      <c r="K82" t="s">
        <v>3053</v>
      </c>
      <c r="L82" t="s">
        <v>3492</v>
      </c>
      <c r="M82">
        <v>614</v>
      </c>
      <c r="N82">
        <v>2010</v>
      </c>
      <c r="O82">
        <v>2010</v>
      </c>
      <c r="Q82" t="s">
        <v>3604</v>
      </c>
      <c r="R82" t="s">
        <v>3863</v>
      </c>
      <c r="S82" t="s">
        <v>3937</v>
      </c>
      <c r="T82" t="s">
        <v>3863</v>
      </c>
      <c r="X82">
        <v>0</v>
      </c>
      <c r="AA82">
        <v>0</v>
      </c>
    </row>
    <row r="83" spans="1:27">
      <c r="A83" s="1">
        <v>81</v>
      </c>
      <c r="B83">
        <v>461104</v>
      </c>
      <c r="C83" t="s">
        <v>112</v>
      </c>
      <c r="D83" t="s">
        <v>1138</v>
      </c>
      <c r="E83" t="s">
        <v>1944</v>
      </c>
      <c r="G83">
        <f>"0316109339"</f>
        <v>0</v>
      </c>
      <c r="H83">
        <f>"9780316109338"</f>
        <v>0</v>
      </c>
      <c r="I83">
        <v>0</v>
      </c>
      <c r="J83">
        <v>4.2</v>
      </c>
      <c r="K83" t="s">
        <v>3054</v>
      </c>
      <c r="L83" t="s">
        <v>3491</v>
      </c>
      <c r="M83">
        <v>520</v>
      </c>
      <c r="N83">
        <v>1976</v>
      </c>
      <c r="O83">
        <v>1973</v>
      </c>
      <c r="Q83" t="s">
        <v>3604</v>
      </c>
      <c r="R83" t="s">
        <v>3863</v>
      </c>
      <c r="S83" t="s">
        <v>3938</v>
      </c>
      <c r="T83" t="s">
        <v>3863</v>
      </c>
      <c r="X83">
        <v>0</v>
      </c>
      <c r="AA83">
        <v>0</v>
      </c>
    </row>
    <row r="84" spans="1:27">
      <c r="A84" s="1">
        <v>82</v>
      </c>
      <c r="B84">
        <v>61552</v>
      </c>
      <c r="C84" t="s">
        <v>113</v>
      </c>
      <c r="D84" t="s">
        <v>1139</v>
      </c>
      <c r="E84" t="s">
        <v>1945</v>
      </c>
      <c r="F84" t="s">
        <v>2698</v>
      </c>
      <c r="G84">
        <f>"0691020310"</f>
        <v>0</v>
      </c>
      <c r="H84">
        <f>"9780691020310"</f>
        <v>0</v>
      </c>
      <c r="I84">
        <v>0</v>
      </c>
      <c r="J84">
        <v>4.09</v>
      </c>
      <c r="K84" t="s">
        <v>3016</v>
      </c>
      <c r="L84" t="s">
        <v>3491</v>
      </c>
      <c r="M84">
        <v>479</v>
      </c>
      <c r="N84">
        <v>1985</v>
      </c>
      <c r="O84">
        <v>1985</v>
      </c>
      <c r="Q84" t="s">
        <v>3604</v>
      </c>
      <c r="R84" t="s">
        <v>3863</v>
      </c>
      <c r="S84" t="s">
        <v>3939</v>
      </c>
      <c r="T84" t="s">
        <v>3863</v>
      </c>
      <c r="X84">
        <v>0</v>
      </c>
      <c r="AA84">
        <v>0</v>
      </c>
    </row>
    <row r="85" spans="1:27">
      <c r="A85" s="1">
        <v>83</v>
      </c>
      <c r="B85">
        <v>34811390</v>
      </c>
      <c r="C85" t="s">
        <v>114</v>
      </c>
      <c r="D85" t="s">
        <v>1140</v>
      </c>
      <c r="E85" t="s">
        <v>1946</v>
      </c>
      <c r="G85">
        <f>""</f>
        <v>0</v>
      </c>
      <c r="H85">
        <f>""</f>
        <v>0</v>
      </c>
      <c r="I85">
        <v>0</v>
      </c>
      <c r="J85">
        <v>4.02</v>
      </c>
      <c r="K85" t="s">
        <v>3023</v>
      </c>
      <c r="L85" t="s">
        <v>3493</v>
      </c>
      <c r="M85">
        <v>512</v>
      </c>
      <c r="O85">
        <v>2015</v>
      </c>
      <c r="Q85" t="s">
        <v>3604</v>
      </c>
      <c r="R85" t="s">
        <v>3863</v>
      </c>
      <c r="S85" t="s">
        <v>3940</v>
      </c>
      <c r="T85" t="s">
        <v>3863</v>
      </c>
      <c r="X85">
        <v>0</v>
      </c>
      <c r="AA85">
        <v>0</v>
      </c>
    </row>
    <row r="86" spans="1:27">
      <c r="A86" s="1">
        <v>84</v>
      </c>
      <c r="B86">
        <v>26634594</v>
      </c>
      <c r="C86" t="s">
        <v>115</v>
      </c>
      <c r="D86" t="s">
        <v>1141</v>
      </c>
      <c r="E86" t="s">
        <v>1947</v>
      </c>
      <c r="G86">
        <f>"0691147728"</f>
        <v>0</v>
      </c>
      <c r="H86">
        <f>"9780691147727"</f>
        <v>0</v>
      </c>
      <c r="I86">
        <v>0</v>
      </c>
      <c r="J86">
        <v>4.19</v>
      </c>
      <c r="K86" t="s">
        <v>3016</v>
      </c>
      <c r="L86" t="s">
        <v>3492</v>
      </c>
      <c r="M86">
        <v>784</v>
      </c>
      <c r="N86">
        <v>2016</v>
      </c>
      <c r="O86">
        <v>2016</v>
      </c>
      <c r="Q86" t="s">
        <v>3604</v>
      </c>
      <c r="R86" t="s">
        <v>3863</v>
      </c>
      <c r="S86" t="s">
        <v>3941</v>
      </c>
      <c r="T86" t="s">
        <v>3863</v>
      </c>
      <c r="X86">
        <v>0</v>
      </c>
      <c r="AA86">
        <v>0</v>
      </c>
    </row>
    <row r="87" spans="1:27">
      <c r="A87" s="1">
        <v>85</v>
      </c>
      <c r="B87">
        <v>1940245</v>
      </c>
      <c r="C87" t="s">
        <v>116</v>
      </c>
      <c r="D87" t="s">
        <v>1142</v>
      </c>
      <c r="E87" t="s">
        <v>1948</v>
      </c>
      <c r="G87">
        <f>"083064282X"</f>
        <v>0</v>
      </c>
      <c r="H87">
        <f>"9780830642823"</f>
        <v>0</v>
      </c>
      <c r="I87">
        <v>0</v>
      </c>
      <c r="J87">
        <v>3.71</v>
      </c>
      <c r="K87" t="s">
        <v>3055</v>
      </c>
      <c r="L87" t="s">
        <v>3491</v>
      </c>
      <c r="M87">
        <v>225</v>
      </c>
      <c r="N87">
        <v>1994</v>
      </c>
      <c r="O87">
        <v>1994</v>
      </c>
      <c r="Q87" t="s">
        <v>3604</v>
      </c>
      <c r="R87" t="s">
        <v>3863</v>
      </c>
      <c r="S87" t="s">
        <v>3942</v>
      </c>
      <c r="T87" t="s">
        <v>3863</v>
      </c>
      <c r="X87">
        <v>0</v>
      </c>
      <c r="AA87">
        <v>0</v>
      </c>
    </row>
    <row r="88" spans="1:27">
      <c r="A88" s="1">
        <v>86</v>
      </c>
      <c r="B88">
        <v>272545</v>
      </c>
      <c r="C88" t="s">
        <v>117</v>
      </c>
      <c r="D88" t="s">
        <v>1143</v>
      </c>
      <c r="E88" t="s">
        <v>1949</v>
      </c>
      <c r="G88">
        <f>"0801495563"</f>
        <v>0</v>
      </c>
      <c r="H88">
        <f>"9780801495564"</f>
        <v>0</v>
      </c>
      <c r="I88">
        <v>0</v>
      </c>
      <c r="J88">
        <v>3.9</v>
      </c>
      <c r="K88" t="s">
        <v>3056</v>
      </c>
      <c r="L88" t="s">
        <v>3491</v>
      </c>
      <c r="M88">
        <v>420</v>
      </c>
      <c r="N88">
        <v>1989</v>
      </c>
      <c r="O88">
        <v>1969</v>
      </c>
      <c r="Q88" t="s">
        <v>3604</v>
      </c>
      <c r="R88" t="s">
        <v>3863</v>
      </c>
      <c r="S88" t="s">
        <v>3943</v>
      </c>
      <c r="T88" t="s">
        <v>3863</v>
      </c>
      <c r="X88">
        <v>0</v>
      </c>
      <c r="AA88">
        <v>0</v>
      </c>
    </row>
    <row r="89" spans="1:27">
      <c r="A89" s="1">
        <v>87</v>
      </c>
      <c r="B89">
        <v>2836459</v>
      </c>
      <c r="C89" t="s">
        <v>118</v>
      </c>
      <c r="D89" t="s">
        <v>1144</v>
      </c>
      <c r="E89" t="s">
        <v>1950</v>
      </c>
      <c r="G89">
        <f>"0674028201"</f>
        <v>0</v>
      </c>
      <c r="H89">
        <f>"9780674028203"</f>
        <v>0</v>
      </c>
      <c r="I89">
        <v>0</v>
      </c>
      <c r="J89">
        <v>3.8</v>
      </c>
      <c r="K89" t="s">
        <v>3057</v>
      </c>
      <c r="L89" t="s">
        <v>3492</v>
      </c>
      <c r="M89">
        <v>387</v>
      </c>
      <c r="N89">
        <v>2008</v>
      </c>
      <c r="O89">
        <v>2008</v>
      </c>
      <c r="Q89" t="s">
        <v>3604</v>
      </c>
      <c r="R89" t="s">
        <v>3863</v>
      </c>
      <c r="S89" t="s">
        <v>3944</v>
      </c>
      <c r="T89" t="s">
        <v>3863</v>
      </c>
      <c r="X89">
        <v>0</v>
      </c>
      <c r="AA89">
        <v>0</v>
      </c>
    </row>
    <row r="90" spans="1:27">
      <c r="A90" s="1">
        <v>88</v>
      </c>
      <c r="B90">
        <v>3018307</v>
      </c>
      <c r="C90" t="s">
        <v>119</v>
      </c>
      <c r="D90" t="s">
        <v>1145</v>
      </c>
      <c r="E90" t="s">
        <v>1951</v>
      </c>
      <c r="G90">
        <f>"0061672475"</f>
        <v>0</v>
      </c>
      <c r="H90">
        <f>"9780061672477"</f>
        <v>0</v>
      </c>
      <c r="I90">
        <v>0</v>
      </c>
      <c r="J90">
        <v>4.09</v>
      </c>
      <c r="K90" t="s">
        <v>3058</v>
      </c>
      <c r="L90" t="s">
        <v>3492</v>
      </c>
      <c r="M90">
        <v>232</v>
      </c>
      <c r="N90">
        <v>2008</v>
      </c>
      <c r="O90">
        <v>2008</v>
      </c>
      <c r="Q90" t="s">
        <v>3605</v>
      </c>
      <c r="R90" t="s">
        <v>3863</v>
      </c>
      <c r="S90" t="s">
        <v>3945</v>
      </c>
      <c r="T90" t="s">
        <v>3863</v>
      </c>
      <c r="X90">
        <v>0</v>
      </c>
      <c r="AA90">
        <v>0</v>
      </c>
    </row>
    <row r="91" spans="1:27">
      <c r="A91" s="1">
        <v>89</v>
      </c>
      <c r="B91">
        <v>226004</v>
      </c>
      <c r="C91" t="s">
        <v>120</v>
      </c>
      <c r="D91" t="s">
        <v>1146</v>
      </c>
      <c r="E91" t="s">
        <v>1952</v>
      </c>
      <c r="G91">
        <f>"0812536355"</f>
        <v>0</v>
      </c>
      <c r="H91">
        <f>"9780812536355"</f>
        <v>0</v>
      </c>
      <c r="I91">
        <v>0</v>
      </c>
      <c r="J91">
        <v>4.31</v>
      </c>
      <c r="K91" t="s">
        <v>3059</v>
      </c>
      <c r="L91" t="s">
        <v>3495</v>
      </c>
      <c r="M91">
        <v>775</v>
      </c>
      <c r="N91">
        <v>2000</v>
      </c>
      <c r="O91">
        <v>1999</v>
      </c>
      <c r="Q91" t="s">
        <v>3605</v>
      </c>
      <c r="R91" t="s">
        <v>3863</v>
      </c>
      <c r="S91" t="s">
        <v>3946</v>
      </c>
      <c r="T91" t="s">
        <v>3863</v>
      </c>
      <c r="X91">
        <v>0</v>
      </c>
      <c r="AA91">
        <v>0</v>
      </c>
    </row>
    <row r="92" spans="1:27">
      <c r="A92" s="1">
        <v>90</v>
      </c>
      <c r="B92">
        <v>77711</v>
      </c>
      <c r="C92" t="s">
        <v>121</v>
      </c>
      <c r="D92" t="s">
        <v>1146</v>
      </c>
      <c r="E92" t="s">
        <v>1952</v>
      </c>
      <c r="G92">
        <f>"0812515285"</f>
        <v>0</v>
      </c>
      <c r="H92">
        <f>"9780812515282"</f>
        <v>0</v>
      </c>
      <c r="I92">
        <v>0</v>
      </c>
      <c r="J92">
        <v>4.13</v>
      </c>
      <c r="K92" t="s">
        <v>3059</v>
      </c>
      <c r="L92" t="s">
        <v>3495</v>
      </c>
      <c r="M92">
        <v>613</v>
      </c>
      <c r="N92">
        <v>1993</v>
      </c>
      <c r="O92">
        <v>1992</v>
      </c>
      <c r="Q92" t="s">
        <v>3605</v>
      </c>
      <c r="R92" t="s">
        <v>3863</v>
      </c>
      <c r="S92" t="s">
        <v>3947</v>
      </c>
      <c r="T92" t="s">
        <v>3863</v>
      </c>
      <c r="X92">
        <v>0</v>
      </c>
      <c r="AA92">
        <v>0</v>
      </c>
    </row>
    <row r="93" spans="1:27">
      <c r="A93" s="1">
        <v>91</v>
      </c>
      <c r="B93">
        <v>6617037</v>
      </c>
      <c r="C93" t="s">
        <v>122</v>
      </c>
      <c r="D93" t="s">
        <v>1147</v>
      </c>
      <c r="E93" t="s">
        <v>1953</v>
      </c>
      <c r="G93">
        <f>"1933633867"</f>
        <v>0</v>
      </c>
      <c r="H93">
        <f>"9781933633862"</f>
        <v>0</v>
      </c>
      <c r="I93">
        <v>0</v>
      </c>
      <c r="J93">
        <v>4.2</v>
      </c>
      <c r="K93" t="s">
        <v>3060</v>
      </c>
      <c r="L93" t="s">
        <v>3492</v>
      </c>
      <c r="M93">
        <v>534</v>
      </c>
      <c r="N93">
        <v>2011</v>
      </c>
      <c r="O93">
        <v>2011</v>
      </c>
      <c r="Q93" t="s">
        <v>3606</v>
      </c>
      <c r="R93" t="s">
        <v>3863</v>
      </c>
      <c r="S93" t="s">
        <v>3948</v>
      </c>
      <c r="T93" t="s">
        <v>3863</v>
      </c>
      <c r="X93">
        <v>0</v>
      </c>
      <c r="AA93">
        <v>0</v>
      </c>
    </row>
    <row r="94" spans="1:27">
      <c r="A94" s="1">
        <v>92</v>
      </c>
      <c r="B94">
        <v>106728</v>
      </c>
      <c r="C94" t="s">
        <v>123</v>
      </c>
      <c r="D94" t="s">
        <v>1148</v>
      </c>
      <c r="E94" t="s">
        <v>1954</v>
      </c>
      <c r="G94">
        <f>"0195024028"</f>
        <v>0</v>
      </c>
      <c r="H94">
        <f>"9780195024029"</f>
        <v>0</v>
      </c>
      <c r="I94">
        <v>0</v>
      </c>
      <c r="J94">
        <v>4.35</v>
      </c>
      <c r="K94" t="s">
        <v>3061</v>
      </c>
      <c r="L94" t="s">
        <v>3492</v>
      </c>
      <c r="M94">
        <v>552</v>
      </c>
      <c r="N94">
        <v>1979</v>
      </c>
      <c r="O94">
        <v>1978</v>
      </c>
      <c r="Q94" t="s">
        <v>3607</v>
      </c>
      <c r="R94" t="s">
        <v>3863</v>
      </c>
      <c r="S94" t="s">
        <v>3949</v>
      </c>
      <c r="T94" t="s">
        <v>3863</v>
      </c>
      <c r="X94">
        <v>0</v>
      </c>
      <c r="AA94">
        <v>0</v>
      </c>
    </row>
    <row r="95" spans="1:27">
      <c r="A95" s="1">
        <v>93</v>
      </c>
      <c r="B95">
        <v>54246153</v>
      </c>
      <c r="C95" t="s">
        <v>124</v>
      </c>
      <c r="D95" t="s">
        <v>1149</v>
      </c>
      <c r="E95" t="s">
        <v>1955</v>
      </c>
      <c r="G95">
        <f>"0571356613"</f>
        <v>0</v>
      </c>
      <c r="H95">
        <f>"9780571356614"</f>
        <v>0</v>
      </c>
      <c r="I95">
        <v>0</v>
      </c>
      <c r="J95">
        <v>4.28</v>
      </c>
      <c r="K95" t="s">
        <v>3062</v>
      </c>
      <c r="L95" t="s">
        <v>3491</v>
      </c>
      <c r="M95">
        <v>352</v>
      </c>
      <c r="N95">
        <v>2021</v>
      </c>
      <c r="O95">
        <v>2021</v>
      </c>
      <c r="Q95" t="s">
        <v>3607</v>
      </c>
      <c r="R95" t="s">
        <v>3863</v>
      </c>
      <c r="S95" t="s">
        <v>3950</v>
      </c>
      <c r="T95" t="s">
        <v>3863</v>
      </c>
      <c r="X95">
        <v>0</v>
      </c>
      <c r="AA95">
        <v>0</v>
      </c>
    </row>
    <row r="96" spans="1:27">
      <c r="A96" s="1">
        <v>94</v>
      </c>
      <c r="B96">
        <v>78024</v>
      </c>
      <c r="C96" t="s">
        <v>125</v>
      </c>
      <c r="D96" t="s">
        <v>1150</v>
      </c>
      <c r="E96" t="s">
        <v>1956</v>
      </c>
      <c r="G96">
        <f>"0460878905"</f>
        <v>0</v>
      </c>
      <c r="H96">
        <f>"9780460878906"</f>
        <v>0</v>
      </c>
      <c r="I96">
        <v>0</v>
      </c>
      <c r="J96">
        <v>4.1</v>
      </c>
      <c r="K96" t="s">
        <v>3063</v>
      </c>
      <c r="L96" t="s">
        <v>3491</v>
      </c>
      <c r="M96">
        <v>1408</v>
      </c>
      <c r="N96">
        <v>1996</v>
      </c>
      <c r="O96">
        <v>1928</v>
      </c>
      <c r="Q96" t="s">
        <v>3607</v>
      </c>
      <c r="R96" t="s">
        <v>3863</v>
      </c>
      <c r="S96" t="s">
        <v>3951</v>
      </c>
      <c r="T96" t="s">
        <v>3863</v>
      </c>
      <c r="X96">
        <v>0</v>
      </c>
      <c r="AA96">
        <v>0</v>
      </c>
    </row>
    <row r="97" spans="1:27">
      <c r="A97" s="1">
        <v>95</v>
      </c>
      <c r="B97">
        <v>13547504</v>
      </c>
      <c r="C97" t="s">
        <v>126</v>
      </c>
      <c r="D97" t="s">
        <v>1151</v>
      </c>
      <c r="E97" t="s">
        <v>1957</v>
      </c>
      <c r="G97">
        <f>""</f>
        <v>0</v>
      </c>
      <c r="H97">
        <f>""</f>
        <v>0</v>
      </c>
      <c r="I97">
        <v>0</v>
      </c>
      <c r="J97">
        <v>4.24</v>
      </c>
      <c r="K97" t="s">
        <v>3064</v>
      </c>
      <c r="L97" t="s">
        <v>3492</v>
      </c>
      <c r="M97">
        <v>962</v>
      </c>
      <c r="N97">
        <v>2012</v>
      </c>
      <c r="O97">
        <v>2012</v>
      </c>
      <c r="Q97" t="s">
        <v>3608</v>
      </c>
      <c r="R97" t="s">
        <v>3863</v>
      </c>
      <c r="S97" t="s">
        <v>3952</v>
      </c>
      <c r="T97" t="s">
        <v>3863</v>
      </c>
      <c r="X97">
        <v>0</v>
      </c>
      <c r="AA97">
        <v>0</v>
      </c>
    </row>
    <row r="98" spans="1:27">
      <c r="A98" s="1">
        <v>96</v>
      </c>
      <c r="B98">
        <v>6164070</v>
      </c>
      <c r="C98" t="s">
        <v>127</v>
      </c>
      <c r="D98" t="s">
        <v>1152</v>
      </c>
      <c r="E98" t="s">
        <v>1958</v>
      </c>
      <c r="G98">
        <f>"0307266893"</f>
        <v>0</v>
      </c>
      <c r="H98">
        <f>"9780307266897"</f>
        <v>0</v>
      </c>
      <c r="I98">
        <v>0</v>
      </c>
      <c r="J98">
        <v>3.75</v>
      </c>
      <c r="K98" t="s">
        <v>3013</v>
      </c>
      <c r="L98" t="s">
        <v>3492</v>
      </c>
      <c r="M98">
        <v>288</v>
      </c>
      <c r="N98">
        <v>2009</v>
      </c>
      <c r="O98">
        <v>2009</v>
      </c>
      <c r="Q98" t="s">
        <v>3608</v>
      </c>
      <c r="R98" t="s">
        <v>3863</v>
      </c>
      <c r="S98" t="s">
        <v>3953</v>
      </c>
      <c r="T98" t="s">
        <v>3863</v>
      </c>
      <c r="X98">
        <v>0</v>
      </c>
      <c r="AA98">
        <v>0</v>
      </c>
    </row>
    <row r="99" spans="1:27">
      <c r="A99" s="1">
        <v>97</v>
      </c>
      <c r="B99">
        <v>107745</v>
      </c>
      <c r="C99" t="s">
        <v>128</v>
      </c>
      <c r="D99" t="s">
        <v>1153</v>
      </c>
      <c r="E99" t="s">
        <v>1959</v>
      </c>
      <c r="G99">
        <f>"0674019989"</f>
        <v>0</v>
      </c>
      <c r="H99">
        <f>"9780674019980"</f>
        <v>0</v>
      </c>
      <c r="I99">
        <v>0</v>
      </c>
      <c r="J99">
        <v>3.87</v>
      </c>
      <c r="K99" t="s">
        <v>3065</v>
      </c>
      <c r="L99" t="s">
        <v>3491</v>
      </c>
      <c r="M99">
        <v>445</v>
      </c>
      <c r="N99">
        <v>2006</v>
      </c>
      <c r="O99">
        <v>2004</v>
      </c>
      <c r="Q99" t="s">
        <v>3608</v>
      </c>
      <c r="R99" t="s">
        <v>3863</v>
      </c>
      <c r="S99" t="s">
        <v>3954</v>
      </c>
      <c r="T99" t="s">
        <v>3863</v>
      </c>
      <c r="X99">
        <v>0</v>
      </c>
      <c r="AA99">
        <v>0</v>
      </c>
    </row>
    <row r="100" spans="1:27">
      <c r="A100" s="1">
        <v>98</v>
      </c>
      <c r="B100">
        <v>166997</v>
      </c>
      <c r="C100" t="s">
        <v>129</v>
      </c>
      <c r="D100" t="s">
        <v>1154</v>
      </c>
      <c r="E100" t="s">
        <v>1960</v>
      </c>
      <c r="F100" t="s">
        <v>2699</v>
      </c>
      <c r="G100">
        <f>"1590171993"</f>
        <v>0</v>
      </c>
      <c r="H100">
        <f>"9781590171998"</f>
        <v>0</v>
      </c>
      <c r="I100">
        <v>0</v>
      </c>
      <c r="J100">
        <v>4.31</v>
      </c>
      <c r="K100" t="s">
        <v>3032</v>
      </c>
      <c r="L100" t="s">
        <v>3491</v>
      </c>
      <c r="M100">
        <v>278</v>
      </c>
      <c r="N100">
        <v>2006</v>
      </c>
      <c r="O100">
        <v>1965</v>
      </c>
      <c r="Q100" t="s">
        <v>3609</v>
      </c>
      <c r="R100" t="s">
        <v>3863</v>
      </c>
      <c r="S100" t="s">
        <v>3955</v>
      </c>
      <c r="T100" t="s">
        <v>3863</v>
      </c>
      <c r="X100">
        <v>0</v>
      </c>
      <c r="AA100">
        <v>0</v>
      </c>
    </row>
    <row r="101" spans="1:27">
      <c r="A101" s="1">
        <v>99</v>
      </c>
      <c r="B101">
        <v>457228</v>
      </c>
      <c r="C101" t="s">
        <v>130</v>
      </c>
      <c r="D101" t="s">
        <v>1154</v>
      </c>
      <c r="E101" t="s">
        <v>1960</v>
      </c>
      <c r="F101" t="s">
        <v>2700</v>
      </c>
      <c r="G101">
        <f>"1590171985"</f>
        <v>0</v>
      </c>
      <c r="H101">
        <f>"9781590171981"</f>
        <v>0</v>
      </c>
      <c r="I101">
        <v>0</v>
      </c>
      <c r="J101">
        <v>4.15</v>
      </c>
      <c r="K101" t="s">
        <v>3032</v>
      </c>
      <c r="L101" t="s">
        <v>3491</v>
      </c>
      <c r="M101">
        <v>274</v>
      </c>
      <c r="N101">
        <v>2007</v>
      </c>
      <c r="O101">
        <v>1960</v>
      </c>
      <c r="Q101" t="s">
        <v>3609</v>
      </c>
      <c r="R101" t="s">
        <v>3863</v>
      </c>
      <c r="S101" t="s">
        <v>3956</v>
      </c>
      <c r="T101" t="s">
        <v>3863</v>
      </c>
      <c r="X101">
        <v>0</v>
      </c>
      <c r="AA101">
        <v>0</v>
      </c>
    </row>
    <row r="102" spans="1:27">
      <c r="A102" s="1">
        <v>100</v>
      </c>
      <c r="B102">
        <v>2151216</v>
      </c>
      <c r="C102" t="s">
        <v>131</v>
      </c>
      <c r="D102" t="s">
        <v>1155</v>
      </c>
      <c r="E102" t="s">
        <v>1961</v>
      </c>
      <c r="G102">
        <f>"0060919930"</f>
        <v>0</v>
      </c>
      <c r="H102">
        <f>"9780060919931"</f>
        <v>0</v>
      </c>
      <c r="I102">
        <v>0</v>
      </c>
      <c r="J102">
        <v>3.84</v>
      </c>
      <c r="K102" t="s">
        <v>3066</v>
      </c>
      <c r="L102" t="s">
        <v>3491</v>
      </c>
      <c r="M102">
        <v>304</v>
      </c>
      <c r="N102">
        <v>1990</v>
      </c>
      <c r="O102">
        <v>1989</v>
      </c>
      <c r="Q102" t="s">
        <v>3610</v>
      </c>
      <c r="R102" t="s">
        <v>3863</v>
      </c>
      <c r="S102" t="s">
        <v>3957</v>
      </c>
      <c r="T102" t="s">
        <v>3863</v>
      </c>
      <c r="X102">
        <v>0</v>
      </c>
      <c r="AA102">
        <v>0</v>
      </c>
    </row>
    <row r="103" spans="1:27">
      <c r="A103" s="1">
        <v>101</v>
      </c>
      <c r="B103">
        <v>3157558</v>
      </c>
      <c r="C103" t="s">
        <v>132</v>
      </c>
      <c r="D103" t="s">
        <v>1156</v>
      </c>
      <c r="E103" t="s">
        <v>1962</v>
      </c>
      <c r="G103">
        <f>"0060920327"</f>
        <v>0</v>
      </c>
      <c r="H103">
        <f>"9780060920326"</f>
        <v>0</v>
      </c>
      <c r="I103">
        <v>0</v>
      </c>
      <c r="J103">
        <v>3.87</v>
      </c>
      <c r="K103" t="s">
        <v>3067</v>
      </c>
      <c r="L103" t="s">
        <v>3491</v>
      </c>
      <c r="M103">
        <v>0</v>
      </c>
      <c r="N103">
        <v>1990</v>
      </c>
      <c r="O103">
        <v>1990</v>
      </c>
      <c r="Q103" t="s">
        <v>3610</v>
      </c>
      <c r="R103" t="s">
        <v>3863</v>
      </c>
      <c r="S103" t="s">
        <v>3958</v>
      </c>
      <c r="T103" t="s">
        <v>3863</v>
      </c>
      <c r="X103">
        <v>0</v>
      </c>
      <c r="AA103">
        <v>0</v>
      </c>
    </row>
    <row r="104" spans="1:27">
      <c r="A104" s="1">
        <v>102</v>
      </c>
      <c r="B104">
        <v>64897</v>
      </c>
      <c r="C104" t="s">
        <v>133</v>
      </c>
      <c r="D104" t="s">
        <v>1157</v>
      </c>
      <c r="E104" t="s">
        <v>1963</v>
      </c>
      <c r="G104">
        <f>"1420927124"</f>
        <v>0</v>
      </c>
      <c r="H104">
        <f>"9781420927122"</f>
        <v>0</v>
      </c>
      <c r="I104">
        <v>0</v>
      </c>
      <c r="J104">
        <v>3.75</v>
      </c>
      <c r="K104" t="s">
        <v>3068</v>
      </c>
      <c r="L104" t="s">
        <v>3491</v>
      </c>
      <c r="M104">
        <v>116</v>
      </c>
      <c r="N104">
        <v>2006</v>
      </c>
      <c r="O104">
        <v>1865</v>
      </c>
      <c r="Q104" t="s">
        <v>3611</v>
      </c>
      <c r="R104" t="s">
        <v>3863</v>
      </c>
      <c r="S104" t="s">
        <v>3959</v>
      </c>
      <c r="T104" t="s">
        <v>3863</v>
      </c>
      <c r="X104">
        <v>0</v>
      </c>
      <c r="AA104">
        <v>0</v>
      </c>
    </row>
    <row r="105" spans="1:27">
      <c r="A105" s="1">
        <v>103</v>
      </c>
      <c r="B105">
        <v>79766</v>
      </c>
      <c r="C105" t="s">
        <v>134</v>
      </c>
      <c r="D105" t="s">
        <v>1148</v>
      </c>
      <c r="E105" t="s">
        <v>1954</v>
      </c>
      <c r="F105" t="s">
        <v>2701</v>
      </c>
      <c r="G105">
        <f>"0195019199"</f>
        <v>0</v>
      </c>
      <c r="H105">
        <f>"9780195019193"</f>
        <v>0</v>
      </c>
      <c r="I105">
        <v>0</v>
      </c>
      <c r="J105">
        <v>4.41</v>
      </c>
      <c r="K105" t="s">
        <v>3019</v>
      </c>
      <c r="L105" t="s">
        <v>3492</v>
      </c>
      <c r="M105">
        <v>1171</v>
      </c>
      <c r="N105">
        <v>1977</v>
      </c>
      <c r="O105">
        <v>1977</v>
      </c>
      <c r="Q105" t="s">
        <v>3612</v>
      </c>
      <c r="R105" t="s">
        <v>3863</v>
      </c>
      <c r="S105" t="s">
        <v>3960</v>
      </c>
      <c r="T105" t="s">
        <v>3863</v>
      </c>
      <c r="X105">
        <v>0</v>
      </c>
      <c r="AA105">
        <v>0</v>
      </c>
    </row>
    <row r="106" spans="1:27">
      <c r="A106" s="1">
        <v>104</v>
      </c>
      <c r="B106">
        <v>12467</v>
      </c>
      <c r="C106" t="s">
        <v>135</v>
      </c>
      <c r="D106" t="s">
        <v>1158</v>
      </c>
      <c r="E106" t="s">
        <v>1964</v>
      </c>
      <c r="G106">
        <f>"0312265050"</f>
        <v>0</v>
      </c>
      <c r="H106">
        <f>"9780312265052"</f>
        <v>0</v>
      </c>
      <c r="I106">
        <v>0</v>
      </c>
      <c r="J106">
        <v>3.94</v>
      </c>
      <c r="K106" t="s">
        <v>3034</v>
      </c>
      <c r="L106" t="s">
        <v>3491</v>
      </c>
      <c r="M106">
        <v>721</v>
      </c>
      <c r="N106">
        <v>2000</v>
      </c>
      <c r="O106">
        <v>1948</v>
      </c>
      <c r="Q106" t="s">
        <v>3613</v>
      </c>
      <c r="R106" t="s">
        <v>3863</v>
      </c>
      <c r="S106" t="s">
        <v>3961</v>
      </c>
      <c r="T106" t="s">
        <v>3863</v>
      </c>
      <c r="X106">
        <v>0</v>
      </c>
      <c r="AA106">
        <v>0</v>
      </c>
    </row>
    <row r="107" spans="1:27">
      <c r="A107" s="1">
        <v>105</v>
      </c>
      <c r="B107">
        <v>143511</v>
      </c>
      <c r="C107" t="s">
        <v>136</v>
      </c>
      <c r="D107" t="s">
        <v>1159</v>
      </c>
      <c r="E107" t="s">
        <v>1965</v>
      </c>
      <c r="G107">
        <f>"0486431649"</f>
        <v>0</v>
      </c>
      <c r="H107">
        <f>"9780486431642"</f>
        <v>0</v>
      </c>
      <c r="I107">
        <v>0</v>
      </c>
      <c r="J107">
        <v>3.7</v>
      </c>
      <c r="K107" t="s">
        <v>3045</v>
      </c>
      <c r="L107" t="s">
        <v>3491</v>
      </c>
      <c r="M107">
        <v>240</v>
      </c>
      <c r="N107">
        <v>2003</v>
      </c>
      <c r="O107">
        <v>1911</v>
      </c>
      <c r="Q107" t="s">
        <v>3614</v>
      </c>
      <c r="R107" t="s">
        <v>3863</v>
      </c>
      <c r="S107" t="s">
        <v>3962</v>
      </c>
      <c r="T107" t="s">
        <v>3863</v>
      </c>
      <c r="X107">
        <v>0</v>
      </c>
      <c r="AA107">
        <v>0</v>
      </c>
    </row>
    <row r="108" spans="1:27">
      <c r="A108" s="1">
        <v>106</v>
      </c>
      <c r="B108">
        <v>76620</v>
      </c>
      <c r="C108" t="s">
        <v>137</v>
      </c>
      <c r="D108" t="s">
        <v>1160</v>
      </c>
      <c r="E108" t="s">
        <v>1966</v>
      </c>
      <c r="G108">
        <f>"038039586X"</f>
        <v>0</v>
      </c>
      <c r="H108">
        <f>"9780380395866"</f>
        <v>0</v>
      </c>
      <c r="I108">
        <v>0</v>
      </c>
      <c r="J108">
        <v>4.07</v>
      </c>
      <c r="K108" t="s">
        <v>3069</v>
      </c>
      <c r="L108" t="s">
        <v>3495</v>
      </c>
      <c r="M108">
        <v>478</v>
      </c>
      <c r="N108">
        <v>1975</v>
      </c>
      <c r="O108">
        <v>1972</v>
      </c>
      <c r="Q108" t="s">
        <v>3615</v>
      </c>
      <c r="R108" t="s">
        <v>3863</v>
      </c>
      <c r="S108" t="s">
        <v>3963</v>
      </c>
      <c r="T108" t="s">
        <v>3863</v>
      </c>
      <c r="X108">
        <v>0</v>
      </c>
      <c r="AA108">
        <v>0</v>
      </c>
    </row>
    <row r="109" spans="1:27">
      <c r="A109" s="1">
        <v>107</v>
      </c>
      <c r="B109">
        <v>395397</v>
      </c>
      <c r="C109" t="s">
        <v>138</v>
      </c>
      <c r="D109" t="s">
        <v>1161</v>
      </c>
      <c r="E109" t="s">
        <v>1967</v>
      </c>
      <c r="G109">
        <f>"0385285965"</f>
        <v>0</v>
      </c>
      <c r="H109">
        <f>"9780385285964"</f>
        <v>0</v>
      </c>
      <c r="I109">
        <v>0</v>
      </c>
      <c r="J109">
        <v>4.05</v>
      </c>
      <c r="K109" t="s">
        <v>3070</v>
      </c>
      <c r="L109" t="s">
        <v>3491</v>
      </c>
      <c r="M109">
        <v>276</v>
      </c>
      <c r="N109">
        <v>1980</v>
      </c>
      <c r="O109">
        <v>1979</v>
      </c>
      <c r="Q109" t="s">
        <v>3615</v>
      </c>
      <c r="R109" t="s">
        <v>3863</v>
      </c>
      <c r="S109" t="s">
        <v>3964</v>
      </c>
      <c r="T109" t="s">
        <v>3863</v>
      </c>
      <c r="X109">
        <v>0</v>
      </c>
      <c r="AA109">
        <v>0</v>
      </c>
    </row>
    <row r="110" spans="1:27">
      <c r="A110" s="1">
        <v>108</v>
      </c>
      <c r="B110">
        <v>60353424</v>
      </c>
      <c r="C110" t="s">
        <v>139</v>
      </c>
      <c r="D110" t="s">
        <v>1162</v>
      </c>
      <c r="E110" t="s">
        <v>1968</v>
      </c>
      <c r="G110">
        <f>""</f>
        <v>0</v>
      </c>
      <c r="H110">
        <f>""</f>
        <v>0</v>
      </c>
      <c r="I110">
        <v>0</v>
      </c>
      <c r="J110">
        <v>3.5</v>
      </c>
      <c r="L110" t="s">
        <v>3491</v>
      </c>
      <c r="M110">
        <v>212</v>
      </c>
      <c r="N110">
        <v>2021</v>
      </c>
      <c r="Q110" t="s">
        <v>3616</v>
      </c>
      <c r="T110" t="s">
        <v>4621</v>
      </c>
      <c r="X110">
        <v>1</v>
      </c>
      <c r="AA110">
        <v>0</v>
      </c>
    </row>
    <row r="111" spans="1:27">
      <c r="A111" s="1">
        <v>109</v>
      </c>
      <c r="B111">
        <v>1185365</v>
      </c>
      <c r="C111" t="s">
        <v>140</v>
      </c>
      <c r="D111" t="s">
        <v>1163</v>
      </c>
      <c r="E111" t="s">
        <v>1969</v>
      </c>
      <c r="G111">
        <f>"1901341011"</f>
        <v>0</v>
      </c>
      <c r="H111">
        <f>"9781901341010"</f>
        <v>0</v>
      </c>
      <c r="I111">
        <v>0</v>
      </c>
      <c r="J111">
        <v>3.85</v>
      </c>
      <c r="K111" t="s">
        <v>3071</v>
      </c>
      <c r="L111" t="s">
        <v>3491</v>
      </c>
      <c r="M111">
        <v>218</v>
      </c>
      <c r="N111">
        <v>1997</v>
      </c>
      <c r="O111">
        <v>1976</v>
      </c>
      <c r="Q111" t="s">
        <v>3617</v>
      </c>
      <c r="R111" t="s">
        <v>3863</v>
      </c>
      <c r="S111" t="s">
        <v>3965</v>
      </c>
      <c r="T111" t="s">
        <v>3863</v>
      </c>
      <c r="X111">
        <v>0</v>
      </c>
      <c r="AA111">
        <v>0</v>
      </c>
    </row>
    <row r="112" spans="1:27">
      <c r="A112" s="1">
        <v>110</v>
      </c>
      <c r="B112">
        <v>567906</v>
      </c>
      <c r="C112" t="s">
        <v>141</v>
      </c>
      <c r="D112" t="s">
        <v>1163</v>
      </c>
      <c r="E112" t="s">
        <v>1969</v>
      </c>
      <c r="G112">
        <f>"014013624X"</f>
        <v>0</v>
      </c>
      <c r="H112">
        <f>"9780140136241"</f>
        <v>0</v>
      </c>
      <c r="I112">
        <v>0</v>
      </c>
      <c r="J112">
        <v>3.97</v>
      </c>
      <c r="K112" t="s">
        <v>3072</v>
      </c>
      <c r="L112" t="s">
        <v>3491</v>
      </c>
      <c r="M112">
        <v>266</v>
      </c>
      <c r="N112">
        <v>1990</v>
      </c>
      <c r="O112">
        <v>1973</v>
      </c>
      <c r="Q112" t="s">
        <v>3617</v>
      </c>
      <c r="R112" t="s">
        <v>3863</v>
      </c>
      <c r="S112" t="s">
        <v>3966</v>
      </c>
      <c r="T112" t="s">
        <v>3863</v>
      </c>
      <c r="X112">
        <v>0</v>
      </c>
      <c r="AA112">
        <v>0</v>
      </c>
    </row>
    <row r="113" spans="1:27">
      <c r="A113" s="1">
        <v>111</v>
      </c>
      <c r="B113">
        <v>58349704</v>
      </c>
      <c r="C113" t="s">
        <v>142</v>
      </c>
      <c r="D113" t="s">
        <v>1164</v>
      </c>
      <c r="E113" t="s">
        <v>1970</v>
      </c>
      <c r="F113" t="s">
        <v>2702</v>
      </c>
      <c r="G113">
        <f>"0578918099"</f>
        <v>0</v>
      </c>
      <c r="H113">
        <f>"9780578918099"</f>
        <v>0</v>
      </c>
      <c r="I113">
        <v>0</v>
      </c>
      <c r="J113">
        <v>4.85</v>
      </c>
      <c r="K113" t="s">
        <v>3073</v>
      </c>
      <c r="L113" t="s">
        <v>3491</v>
      </c>
      <c r="M113">
        <v>538</v>
      </c>
      <c r="N113">
        <v>2021</v>
      </c>
      <c r="O113">
        <v>2020</v>
      </c>
      <c r="Q113" t="s">
        <v>3505</v>
      </c>
      <c r="R113" t="s">
        <v>3863</v>
      </c>
      <c r="S113" t="s">
        <v>3967</v>
      </c>
      <c r="T113" t="s">
        <v>3863</v>
      </c>
      <c r="X113">
        <v>0</v>
      </c>
      <c r="AA113">
        <v>0</v>
      </c>
    </row>
    <row r="114" spans="1:27">
      <c r="A114" s="1">
        <v>112</v>
      </c>
      <c r="B114">
        <v>64369</v>
      </c>
      <c r="C114" t="s">
        <v>143</v>
      </c>
      <c r="D114" t="s">
        <v>1165</v>
      </c>
      <c r="E114" t="s">
        <v>1971</v>
      </c>
      <c r="F114" t="s">
        <v>2703</v>
      </c>
      <c r="G114">
        <f>"0861713214"</f>
        <v>0</v>
      </c>
      <c r="H114">
        <f>"9780861713219"</f>
        <v>0</v>
      </c>
      <c r="I114">
        <v>4</v>
      </c>
      <c r="J114">
        <v>4.12</v>
      </c>
      <c r="K114" t="s">
        <v>3074</v>
      </c>
      <c r="L114" t="s">
        <v>3491</v>
      </c>
      <c r="M114">
        <v>208</v>
      </c>
      <c r="N114">
        <v>1996</v>
      </c>
      <c r="O114">
        <v>1992</v>
      </c>
      <c r="P114" t="s">
        <v>3505</v>
      </c>
      <c r="Q114" t="s">
        <v>3618</v>
      </c>
      <c r="T114" t="s">
        <v>4621</v>
      </c>
      <c r="U114" t="s">
        <v>4627</v>
      </c>
      <c r="X114">
        <v>1</v>
      </c>
      <c r="AA114">
        <v>0</v>
      </c>
    </row>
    <row r="115" spans="1:27">
      <c r="A115" s="1">
        <v>113</v>
      </c>
      <c r="B115">
        <v>9969571</v>
      </c>
      <c r="C115" t="s">
        <v>144</v>
      </c>
      <c r="D115" t="s">
        <v>1166</v>
      </c>
      <c r="E115" t="s">
        <v>1972</v>
      </c>
      <c r="G115">
        <f>"030788743X"</f>
        <v>0</v>
      </c>
      <c r="H115">
        <f>"9780307887436"</f>
        <v>0</v>
      </c>
      <c r="I115">
        <v>2</v>
      </c>
      <c r="J115">
        <v>4.24</v>
      </c>
      <c r="K115" t="s">
        <v>3075</v>
      </c>
      <c r="L115" t="s">
        <v>3492</v>
      </c>
      <c r="M115">
        <v>374</v>
      </c>
      <c r="N115">
        <v>2011</v>
      </c>
      <c r="O115">
        <v>2011</v>
      </c>
      <c r="P115" t="s">
        <v>3505</v>
      </c>
      <c r="Q115" t="s">
        <v>3505</v>
      </c>
      <c r="T115" t="s">
        <v>4621</v>
      </c>
      <c r="U115" t="s">
        <v>4628</v>
      </c>
      <c r="X115">
        <v>1</v>
      </c>
      <c r="AA115">
        <v>0</v>
      </c>
    </row>
    <row r="116" spans="1:27">
      <c r="A116" s="1">
        <v>114</v>
      </c>
      <c r="B116">
        <v>12530</v>
      </c>
      <c r="C116" t="s">
        <v>145</v>
      </c>
      <c r="D116" t="s">
        <v>1167</v>
      </c>
      <c r="E116" t="s">
        <v>1973</v>
      </c>
      <c r="G116">
        <f>"0060919884"</f>
        <v>0</v>
      </c>
      <c r="H116">
        <f>"9780060919887"</f>
        <v>0</v>
      </c>
      <c r="I116">
        <v>0</v>
      </c>
      <c r="J116">
        <v>3.98</v>
      </c>
      <c r="K116" t="s">
        <v>3076</v>
      </c>
      <c r="L116" t="s">
        <v>3491</v>
      </c>
      <c r="M116">
        <v>111</v>
      </c>
      <c r="N116">
        <v>2013</v>
      </c>
      <c r="O116">
        <v>1989</v>
      </c>
      <c r="Q116" t="s">
        <v>3619</v>
      </c>
      <c r="R116" t="s">
        <v>3863</v>
      </c>
      <c r="S116" t="s">
        <v>3968</v>
      </c>
      <c r="T116" t="s">
        <v>3863</v>
      </c>
      <c r="X116">
        <v>0</v>
      </c>
      <c r="AA116">
        <v>0</v>
      </c>
    </row>
    <row r="117" spans="1:27">
      <c r="A117" s="1">
        <v>115</v>
      </c>
      <c r="B117">
        <v>60353417</v>
      </c>
      <c r="C117" t="s">
        <v>146</v>
      </c>
      <c r="D117" t="s">
        <v>1162</v>
      </c>
      <c r="E117" t="s">
        <v>1968</v>
      </c>
      <c r="G117">
        <f>""</f>
        <v>0</v>
      </c>
      <c r="H117">
        <f>""</f>
        <v>0</v>
      </c>
      <c r="I117">
        <v>0</v>
      </c>
      <c r="J117">
        <v>3.5</v>
      </c>
      <c r="L117" t="s">
        <v>3491</v>
      </c>
      <c r="M117">
        <v>236</v>
      </c>
      <c r="N117">
        <v>2021</v>
      </c>
      <c r="Q117" t="s">
        <v>3620</v>
      </c>
      <c r="T117" t="s">
        <v>4621</v>
      </c>
      <c r="X117">
        <v>1</v>
      </c>
      <c r="AA117">
        <v>0</v>
      </c>
    </row>
    <row r="118" spans="1:27">
      <c r="A118" s="1">
        <v>116</v>
      </c>
      <c r="B118">
        <v>60353084</v>
      </c>
      <c r="C118" t="s">
        <v>147</v>
      </c>
      <c r="D118" t="s">
        <v>1162</v>
      </c>
      <c r="E118" t="s">
        <v>1968</v>
      </c>
      <c r="G118">
        <f>"9781736128"</f>
        <v>0</v>
      </c>
      <c r="H118">
        <f>""</f>
        <v>0</v>
      </c>
      <c r="I118">
        <v>0</v>
      </c>
      <c r="J118">
        <v>4</v>
      </c>
      <c r="L118" t="s">
        <v>3491</v>
      </c>
      <c r="M118">
        <v>248</v>
      </c>
      <c r="N118">
        <v>2021</v>
      </c>
      <c r="Q118" t="s">
        <v>3621</v>
      </c>
      <c r="T118" t="s">
        <v>4621</v>
      </c>
      <c r="U118" t="s">
        <v>4629</v>
      </c>
      <c r="X118">
        <v>1</v>
      </c>
      <c r="AA118">
        <v>0</v>
      </c>
    </row>
    <row r="119" spans="1:27">
      <c r="A119" s="1">
        <v>117</v>
      </c>
      <c r="B119">
        <v>56845753</v>
      </c>
      <c r="C119" t="s">
        <v>148</v>
      </c>
      <c r="D119" t="s">
        <v>1168</v>
      </c>
      <c r="E119" t="s">
        <v>1974</v>
      </c>
      <c r="G119">
        <f>"0593192206"</f>
        <v>0</v>
      </c>
      <c r="H119">
        <f>"9780593192207"</f>
        <v>0</v>
      </c>
      <c r="I119">
        <v>0</v>
      </c>
      <c r="J119">
        <v>3.62</v>
      </c>
      <c r="K119" t="s">
        <v>3012</v>
      </c>
      <c r="L119" t="s">
        <v>3492</v>
      </c>
      <c r="M119">
        <v>368</v>
      </c>
      <c r="N119">
        <v>2021</v>
      </c>
      <c r="Q119" t="s">
        <v>3582</v>
      </c>
      <c r="R119" t="s">
        <v>3863</v>
      </c>
      <c r="S119" t="s">
        <v>3969</v>
      </c>
      <c r="T119" t="s">
        <v>3863</v>
      </c>
      <c r="X119">
        <v>0</v>
      </c>
      <c r="AA119">
        <v>0</v>
      </c>
    </row>
    <row r="120" spans="1:27">
      <c r="A120" s="1">
        <v>118</v>
      </c>
      <c r="B120">
        <v>54680228</v>
      </c>
      <c r="C120" t="s">
        <v>149</v>
      </c>
      <c r="D120" t="s">
        <v>1169</v>
      </c>
      <c r="E120" t="s">
        <v>1975</v>
      </c>
      <c r="G120">
        <f>"1635577306"</f>
        <v>0</v>
      </c>
      <c r="H120">
        <f>"9781635577303"</f>
        <v>0</v>
      </c>
      <c r="I120">
        <v>0</v>
      </c>
      <c r="J120">
        <v>4.13</v>
      </c>
      <c r="K120" t="s">
        <v>3005</v>
      </c>
      <c r="L120" t="s">
        <v>3492</v>
      </c>
      <c r="M120">
        <v>272</v>
      </c>
      <c r="N120">
        <v>2021</v>
      </c>
      <c r="O120">
        <v>2021</v>
      </c>
      <c r="Q120" t="s">
        <v>3582</v>
      </c>
      <c r="R120" t="s">
        <v>3863</v>
      </c>
      <c r="S120" t="s">
        <v>3970</v>
      </c>
      <c r="T120" t="s">
        <v>3863</v>
      </c>
      <c r="X120">
        <v>0</v>
      </c>
      <c r="AA120">
        <v>0</v>
      </c>
    </row>
    <row r="121" spans="1:27">
      <c r="A121" s="1">
        <v>119</v>
      </c>
      <c r="B121">
        <v>29243729</v>
      </c>
      <c r="C121" t="s">
        <v>150</v>
      </c>
      <c r="D121" t="s">
        <v>1170</v>
      </c>
      <c r="E121" t="s">
        <v>1976</v>
      </c>
      <c r="F121" t="s">
        <v>2704</v>
      </c>
      <c r="G121">
        <f>"125008119X"</f>
        <v>0</v>
      </c>
      <c r="H121">
        <f>"9781250081193"</f>
        <v>0</v>
      </c>
      <c r="I121">
        <v>0</v>
      </c>
      <c r="J121">
        <v>4.08</v>
      </c>
      <c r="K121" t="s">
        <v>3077</v>
      </c>
      <c r="L121" t="s">
        <v>3492</v>
      </c>
      <c r="M121">
        <v>304</v>
      </c>
      <c r="N121">
        <v>2017</v>
      </c>
      <c r="O121">
        <v>2017</v>
      </c>
      <c r="Q121" t="s">
        <v>3622</v>
      </c>
      <c r="R121" t="s">
        <v>3863</v>
      </c>
      <c r="S121" t="s">
        <v>3971</v>
      </c>
      <c r="T121" t="s">
        <v>3863</v>
      </c>
      <c r="X121">
        <v>0</v>
      </c>
      <c r="AA121">
        <v>0</v>
      </c>
    </row>
    <row r="122" spans="1:27">
      <c r="A122" s="1">
        <v>120</v>
      </c>
      <c r="B122">
        <v>41881472</v>
      </c>
      <c r="C122" t="s">
        <v>151</v>
      </c>
      <c r="D122" t="s">
        <v>1171</v>
      </c>
      <c r="E122" t="s">
        <v>1977</v>
      </c>
      <c r="G122">
        <f>""</f>
        <v>0</v>
      </c>
      <c r="H122">
        <f>""</f>
        <v>0</v>
      </c>
      <c r="I122">
        <v>0</v>
      </c>
      <c r="J122">
        <v>4.39</v>
      </c>
      <c r="K122" t="s">
        <v>3078</v>
      </c>
      <c r="L122" t="s">
        <v>3491</v>
      </c>
      <c r="M122">
        <v>252</v>
      </c>
      <c r="N122">
        <v>2020</v>
      </c>
      <c r="O122">
        <v>2020</v>
      </c>
      <c r="Q122" t="s">
        <v>3623</v>
      </c>
      <c r="R122" t="s">
        <v>3863</v>
      </c>
      <c r="S122" t="s">
        <v>3972</v>
      </c>
      <c r="T122" t="s">
        <v>3863</v>
      </c>
      <c r="X122">
        <v>0</v>
      </c>
      <c r="AA122">
        <v>0</v>
      </c>
    </row>
    <row r="123" spans="1:27">
      <c r="A123" s="1">
        <v>121</v>
      </c>
      <c r="B123">
        <v>30231750</v>
      </c>
      <c r="C123" t="s">
        <v>152</v>
      </c>
      <c r="D123" t="s">
        <v>1172</v>
      </c>
      <c r="E123" t="s">
        <v>1978</v>
      </c>
      <c r="G123">
        <f>"0393353710"</f>
        <v>0</v>
      </c>
      <c r="H123">
        <f>"9780393353716"</f>
        <v>0</v>
      </c>
      <c r="I123">
        <v>0</v>
      </c>
      <c r="J123">
        <v>3.94</v>
      </c>
      <c r="K123" t="s">
        <v>3038</v>
      </c>
      <c r="L123" t="s">
        <v>3491</v>
      </c>
      <c r="M123">
        <v>295</v>
      </c>
      <c r="N123">
        <v>2017</v>
      </c>
      <c r="O123">
        <v>1998</v>
      </c>
      <c r="Q123" t="s">
        <v>3624</v>
      </c>
      <c r="R123" t="s">
        <v>3863</v>
      </c>
      <c r="S123" t="s">
        <v>3973</v>
      </c>
      <c r="T123" t="s">
        <v>3863</v>
      </c>
      <c r="X123">
        <v>0</v>
      </c>
      <c r="AA123">
        <v>0</v>
      </c>
    </row>
    <row r="124" spans="1:27">
      <c r="A124" s="1">
        <v>122</v>
      </c>
      <c r="B124">
        <v>4855</v>
      </c>
      <c r="C124" t="s">
        <v>153</v>
      </c>
      <c r="D124" t="s">
        <v>1173</v>
      </c>
      <c r="E124" t="s">
        <v>1979</v>
      </c>
      <c r="G124">
        <f>"1406922900"</f>
        <v>0</v>
      </c>
      <c r="H124">
        <f>"9781406922905"</f>
        <v>0</v>
      </c>
      <c r="I124">
        <v>0</v>
      </c>
      <c r="J124">
        <v>3.62</v>
      </c>
      <c r="K124" t="s">
        <v>3079</v>
      </c>
      <c r="L124" t="s">
        <v>3491</v>
      </c>
      <c r="M124">
        <v>92</v>
      </c>
      <c r="N124">
        <v>2006</v>
      </c>
      <c r="O124">
        <v>1908</v>
      </c>
      <c r="Q124" t="s">
        <v>3625</v>
      </c>
      <c r="R124" t="s">
        <v>3863</v>
      </c>
      <c r="S124" t="s">
        <v>3974</v>
      </c>
      <c r="T124" t="s">
        <v>3863</v>
      </c>
      <c r="X124">
        <v>0</v>
      </c>
      <c r="AA124">
        <v>0</v>
      </c>
    </row>
    <row r="125" spans="1:27">
      <c r="A125" s="1">
        <v>123</v>
      </c>
      <c r="B125">
        <v>15938487</v>
      </c>
      <c r="C125" t="s">
        <v>154</v>
      </c>
      <c r="D125" t="s">
        <v>1174</v>
      </c>
      <c r="E125" t="s">
        <v>1980</v>
      </c>
      <c r="G125">
        <f>"0824836065"</f>
        <v>0</v>
      </c>
      <c r="H125">
        <f>"9780824836061"</f>
        <v>0</v>
      </c>
      <c r="I125">
        <v>0</v>
      </c>
      <c r="J125">
        <v>3.74</v>
      </c>
      <c r="K125" t="s">
        <v>3080</v>
      </c>
      <c r="L125" t="s">
        <v>3491</v>
      </c>
      <c r="M125">
        <v>176</v>
      </c>
      <c r="N125">
        <v>2013</v>
      </c>
      <c r="O125">
        <v>2013</v>
      </c>
      <c r="Q125" t="s">
        <v>3626</v>
      </c>
      <c r="R125" t="s">
        <v>3863</v>
      </c>
      <c r="S125" t="s">
        <v>3975</v>
      </c>
      <c r="T125" t="s">
        <v>3863</v>
      </c>
      <c r="X125">
        <v>0</v>
      </c>
      <c r="AA125">
        <v>0</v>
      </c>
    </row>
    <row r="126" spans="1:27">
      <c r="A126" s="1">
        <v>124</v>
      </c>
      <c r="B126">
        <v>883405</v>
      </c>
      <c r="C126" t="s">
        <v>155</v>
      </c>
      <c r="D126" t="s">
        <v>1175</v>
      </c>
      <c r="E126" t="s">
        <v>1981</v>
      </c>
      <c r="F126" t="s">
        <v>2705</v>
      </c>
      <c r="G126">
        <f>"0316082775"</f>
        <v>0</v>
      </c>
      <c r="H126">
        <f>"9780316082778"</f>
        <v>0</v>
      </c>
      <c r="I126">
        <v>0</v>
      </c>
      <c r="J126">
        <v>4.28</v>
      </c>
      <c r="K126" t="s">
        <v>3081</v>
      </c>
      <c r="L126" t="s">
        <v>3492</v>
      </c>
      <c r="M126">
        <v>1472</v>
      </c>
      <c r="N126">
        <v>2002</v>
      </c>
      <c r="O126">
        <v>1855</v>
      </c>
      <c r="Q126" t="s">
        <v>3627</v>
      </c>
      <c r="R126" t="s">
        <v>3863</v>
      </c>
      <c r="S126" t="s">
        <v>3976</v>
      </c>
      <c r="T126" t="s">
        <v>3863</v>
      </c>
      <c r="X126">
        <v>0</v>
      </c>
      <c r="AA126">
        <v>0</v>
      </c>
    </row>
    <row r="127" spans="1:27">
      <c r="A127" s="1">
        <v>125</v>
      </c>
      <c r="B127">
        <v>13525945</v>
      </c>
      <c r="C127" t="s">
        <v>156</v>
      </c>
      <c r="D127" t="s">
        <v>1176</v>
      </c>
      <c r="E127" t="s">
        <v>1982</v>
      </c>
      <c r="G127">
        <f>"1455509108"</f>
        <v>0</v>
      </c>
      <c r="H127">
        <f>"9781455509102"</f>
        <v>0</v>
      </c>
      <c r="I127">
        <v>0</v>
      </c>
      <c r="J127">
        <v>4.08</v>
      </c>
      <c r="K127" t="s">
        <v>3082</v>
      </c>
      <c r="L127" t="s">
        <v>3494</v>
      </c>
      <c r="M127">
        <v>288</v>
      </c>
      <c r="N127">
        <v>2012</v>
      </c>
      <c r="O127">
        <v>2012</v>
      </c>
      <c r="Q127" t="s">
        <v>3628</v>
      </c>
      <c r="R127" t="s">
        <v>3863</v>
      </c>
      <c r="S127" t="s">
        <v>3977</v>
      </c>
      <c r="T127" t="s">
        <v>3863</v>
      </c>
      <c r="X127">
        <v>0</v>
      </c>
      <c r="AA127">
        <v>0</v>
      </c>
    </row>
    <row r="128" spans="1:27">
      <c r="A128" s="1">
        <v>126</v>
      </c>
      <c r="B128">
        <v>100834</v>
      </c>
      <c r="C128" t="s">
        <v>157</v>
      </c>
      <c r="D128" t="s">
        <v>1177</v>
      </c>
      <c r="E128" t="s">
        <v>1983</v>
      </c>
      <c r="G128">
        <f>"0553803549"</f>
        <v>0</v>
      </c>
      <c r="H128">
        <f>"9780553803549"</f>
        <v>0</v>
      </c>
      <c r="I128">
        <v>0</v>
      </c>
      <c r="J128">
        <v>4.34</v>
      </c>
      <c r="K128" t="s">
        <v>3083</v>
      </c>
      <c r="L128" t="s">
        <v>3492</v>
      </c>
      <c r="M128">
        <v>704</v>
      </c>
      <c r="N128">
        <v>2006</v>
      </c>
      <c r="O128">
        <v>2006</v>
      </c>
      <c r="Q128" t="s">
        <v>3629</v>
      </c>
      <c r="R128" t="s">
        <v>3863</v>
      </c>
      <c r="S128" t="s">
        <v>3978</v>
      </c>
      <c r="T128" t="s">
        <v>3863</v>
      </c>
      <c r="X128">
        <v>0</v>
      </c>
      <c r="AA128">
        <v>0</v>
      </c>
    </row>
    <row r="129" spans="1:27">
      <c r="A129" s="1">
        <v>127</v>
      </c>
      <c r="B129">
        <v>7285385</v>
      </c>
      <c r="C129" t="s">
        <v>158</v>
      </c>
      <c r="D129" t="s">
        <v>1178</v>
      </c>
      <c r="E129" t="s">
        <v>1984</v>
      </c>
      <c r="G129">
        <f>"046501948X"</f>
        <v>0</v>
      </c>
      <c r="H129">
        <f>"9780465019489"</f>
        <v>0</v>
      </c>
      <c r="I129">
        <v>0</v>
      </c>
      <c r="J129">
        <v>4.29</v>
      </c>
      <c r="K129" t="s">
        <v>3084</v>
      </c>
      <c r="L129" t="s">
        <v>3492</v>
      </c>
      <c r="M129">
        <v>398</v>
      </c>
      <c r="N129">
        <v>2010</v>
      </c>
      <c r="O129">
        <v>2009</v>
      </c>
      <c r="Q129" t="s">
        <v>3629</v>
      </c>
      <c r="R129" t="s">
        <v>3863</v>
      </c>
      <c r="S129" t="s">
        <v>3979</v>
      </c>
      <c r="T129" t="s">
        <v>3863</v>
      </c>
      <c r="X129">
        <v>0</v>
      </c>
      <c r="AA129">
        <v>0</v>
      </c>
    </row>
    <row r="130" spans="1:27">
      <c r="A130" s="1">
        <v>128</v>
      </c>
      <c r="B130">
        <v>302421</v>
      </c>
      <c r="C130" t="s">
        <v>159</v>
      </c>
      <c r="D130" t="s">
        <v>1179</v>
      </c>
      <c r="E130" t="s">
        <v>1985</v>
      </c>
      <c r="G130">
        <f>"0820320625"</f>
        <v>0</v>
      </c>
      <c r="H130">
        <f>"9780820320625"</f>
        <v>0</v>
      </c>
      <c r="I130">
        <v>0</v>
      </c>
      <c r="J130">
        <v>4.26</v>
      </c>
      <c r="K130" t="s">
        <v>3085</v>
      </c>
      <c r="L130" t="s">
        <v>3491</v>
      </c>
      <c r="M130">
        <v>592</v>
      </c>
      <c r="N130">
        <v>1998</v>
      </c>
      <c r="O130">
        <v>1997</v>
      </c>
      <c r="Q130" t="s">
        <v>3629</v>
      </c>
      <c r="R130" t="s">
        <v>3863</v>
      </c>
      <c r="S130" t="s">
        <v>3980</v>
      </c>
      <c r="T130" t="s">
        <v>3863</v>
      </c>
      <c r="X130">
        <v>0</v>
      </c>
      <c r="AA130">
        <v>0</v>
      </c>
    </row>
    <row r="131" spans="1:27">
      <c r="A131" s="1">
        <v>129</v>
      </c>
      <c r="B131">
        <v>52853</v>
      </c>
      <c r="C131" t="s">
        <v>160</v>
      </c>
      <c r="D131" t="s">
        <v>1180</v>
      </c>
      <c r="E131" t="s">
        <v>1986</v>
      </c>
      <c r="G131">
        <f>"0425171698"</f>
        <v>0</v>
      </c>
      <c r="H131">
        <f>"9780425171691"</f>
        <v>0</v>
      </c>
      <c r="I131">
        <v>0</v>
      </c>
      <c r="J131">
        <v>3.94</v>
      </c>
      <c r="K131" t="s">
        <v>3086</v>
      </c>
      <c r="L131" t="s">
        <v>3491</v>
      </c>
      <c r="M131">
        <v>240</v>
      </c>
      <c r="N131">
        <v>1999</v>
      </c>
      <c r="O131">
        <v>1998</v>
      </c>
      <c r="Q131" t="s">
        <v>3629</v>
      </c>
      <c r="R131" t="s">
        <v>3863</v>
      </c>
      <c r="S131" t="s">
        <v>3981</v>
      </c>
      <c r="T131" t="s">
        <v>3863</v>
      </c>
      <c r="X131">
        <v>0</v>
      </c>
      <c r="AA131">
        <v>0</v>
      </c>
    </row>
    <row r="132" spans="1:27">
      <c r="A132" s="1">
        <v>130</v>
      </c>
      <c r="B132">
        <v>58306840</v>
      </c>
      <c r="C132" t="s">
        <v>161</v>
      </c>
      <c r="D132" t="s">
        <v>1181</v>
      </c>
      <c r="E132" t="s">
        <v>1987</v>
      </c>
      <c r="G132">
        <f>""</f>
        <v>0</v>
      </c>
      <c r="H132">
        <f>""</f>
        <v>0</v>
      </c>
      <c r="I132">
        <v>0</v>
      </c>
      <c r="J132">
        <v>3.96</v>
      </c>
      <c r="K132" t="s">
        <v>3087</v>
      </c>
      <c r="L132" t="s">
        <v>3493</v>
      </c>
      <c r="M132">
        <v>612</v>
      </c>
      <c r="N132">
        <v>2021</v>
      </c>
      <c r="O132">
        <v>1973</v>
      </c>
      <c r="Q132" t="s">
        <v>3630</v>
      </c>
      <c r="R132" t="s">
        <v>3863</v>
      </c>
      <c r="S132" t="s">
        <v>3982</v>
      </c>
      <c r="T132" t="s">
        <v>3863</v>
      </c>
      <c r="X132">
        <v>0</v>
      </c>
      <c r="AA132">
        <v>0</v>
      </c>
    </row>
    <row r="133" spans="1:27">
      <c r="A133" s="1">
        <v>131</v>
      </c>
      <c r="B133">
        <v>43808723</v>
      </c>
      <c r="C133" t="s">
        <v>162</v>
      </c>
      <c r="D133" t="s">
        <v>1182</v>
      </c>
      <c r="E133" t="s">
        <v>1988</v>
      </c>
      <c r="G133">
        <f>"0062955934"</f>
        <v>0</v>
      </c>
      <c r="H133">
        <f>"9780062955937"</f>
        <v>0</v>
      </c>
      <c r="I133">
        <v>0</v>
      </c>
      <c r="J133">
        <v>3.72</v>
      </c>
      <c r="K133" t="s">
        <v>3023</v>
      </c>
      <c r="L133" t="s">
        <v>3492</v>
      </c>
      <c r="M133">
        <v>288</v>
      </c>
      <c r="N133">
        <v>2019</v>
      </c>
      <c r="O133">
        <v>2019</v>
      </c>
      <c r="Q133" t="s">
        <v>3631</v>
      </c>
      <c r="R133" t="s">
        <v>3863</v>
      </c>
      <c r="S133" t="s">
        <v>3983</v>
      </c>
      <c r="T133" t="s">
        <v>3863</v>
      </c>
      <c r="X133">
        <v>0</v>
      </c>
      <c r="AA133">
        <v>0</v>
      </c>
    </row>
    <row r="134" spans="1:27">
      <c r="A134" s="1">
        <v>132</v>
      </c>
      <c r="B134">
        <v>6163</v>
      </c>
      <c r="C134" t="s">
        <v>163</v>
      </c>
      <c r="D134" t="s">
        <v>1183</v>
      </c>
      <c r="E134" t="s">
        <v>1989</v>
      </c>
      <c r="G134">
        <f>"0375407936"</f>
        <v>0</v>
      </c>
      <c r="H134">
        <f>"9780375407932"</f>
        <v>0</v>
      </c>
      <c r="I134">
        <v>0</v>
      </c>
      <c r="J134">
        <v>4.44</v>
      </c>
      <c r="K134" t="s">
        <v>3088</v>
      </c>
      <c r="L134" t="s">
        <v>3492</v>
      </c>
      <c r="M134">
        <v>1040</v>
      </c>
      <c r="N134">
        <v>1999</v>
      </c>
      <c r="O134">
        <v>1994</v>
      </c>
      <c r="Q134" t="s">
        <v>3631</v>
      </c>
      <c r="R134" t="s">
        <v>3863</v>
      </c>
      <c r="S134" t="s">
        <v>3984</v>
      </c>
      <c r="T134" t="s">
        <v>3863</v>
      </c>
      <c r="X134">
        <v>0</v>
      </c>
      <c r="AA134">
        <v>0</v>
      </c>
    </row>
    <row r="135" spans="1:27">
      <c r="A135" s="1">
        <v>133</v>
      </c>
      <c r="B135">
        <v>113934</v>
      </c>
      <c r="C135" t="s">
        <v>164</v>
      </c>
      <c r="D135" t="s">
        <v>1184</v>
      </c>
      <c r="E135" t="s">
        <v>1990</v>
      </c>
      <c r="F135" t="s">
        <v>2706</v>
      </c>
      <c r="G135">
        <f>"0884271781"</f>
        <v>0</v>
      </c>
      <c r="H135">
        <f>"9780884271789"</f>
        <v>0</v>
      </c>
      <c r="I135">
        <v>0</v>
      </c>
      <c r="J135">
        <v>4.07</v>
      </c>
      <c r="K135" t="s">
        <v>3089</v>
      </c>
      <c r="L135" t="s">
        <v>3491</v>
      </c>
      <c r="M135">
        <v>384</v>
      </c>
      <c r="N135">
        <v>2004</v>
      </c>
      <c r="O135">
        <v>1984</v>
      </c>
      <c r="Q135" t="s">
        <v>3632</v>
      </c>
      <c r="R135" t="s">
        <v>3863</v>
      </c>
      <c r="S135" t="s">
        <v>3985</v>
      </c>
      <c r="T135" t="s">
        <v>3863</v>
      </c>
      <c r="X135">
        <v>0</v>
      </c>
      <c r="AA135">
        <v>0</v>
      </c>
    </row>
    <row r="136" spans="1:27">
      <c r="A136" s="1">
        <v>134</v>
      </c>
      <c r="B136">
        <v>17799</v>
      </c>
      <c r="C136" t="s">
        <v>165</v>
      </c>
      <c r="D136" t="s">
        <v>1185</v>
      </c>
      <c r="E136" t="s">
        <v>1991</v>
      </c>
      <c r="F136" t="s">
        <v>2707</v>
      </c>
      <c r="G136">
        <f>"0099448572"</f>
        <v>0</v>
      </c>
      <c r="H136">
        <f>"9780099448570"</f>
        <v>0</v>
      </c>
      <c r="I136">
        <v>0</v>
      </c>
      <c r="J136">
        <v>3.87</v>
      </c>
      <c r="K136" t="s">
        <v>3029</v>
      </c>
      <c r="L136" t="s">
        <v>3491</v>
      </c>
      <c r="M136">
        <v>190</v>
      </c>
      <c r="N136">
        <v>2006</v>
      </c>
      <c r="O136">
        <v>1992</v>
      </c>
      <c r="Q136" t="s">
        <v>3633</v>
      </c>
      <c r="R136" t="s">
        <v>3863</v>
      </c>
      <c r="S136" t="s">
        <v>3986</v>
      </c>
      <c r="T136" t="s">
        <v>3863</v>
      </c>
      <c r="X136">
        <v>0</v>
      </c>
      <c r="AA136">
        <v>0</v>
      </c>
    </row>
    <row r="137" spans="1:27">
      <c r="A137" s="1">
        <v>135</v>
      </c>
      <c r="B137">
        <v>2784</v>
      </c>
      <c r="C137" t="s">
        <v>166</v>
      </c>
      <c r="D137" t="s">
        <v>1186</v>
      </c>
      <c r="E137" t="s">
        <v>1992</v>
      </c>
      <c r="G137">
        <f>"0140135154"</f>
        <v>0</v>
      </c>
      <c r="H137">
        <f>"9780140135152"</f>
        <v>0</v>
      </c>
      <c r="I137">
        <v>0</v>
      </c>
      <c r="J137">
        <v>3.91</v>
      </c>
      <c r="K137" t="s">
        <v>3072</v>
      </c>
      <c r="L137" t="s">
        <v>3491</v>
      </c>
      <c r="M137">
        <v>176</v>
      </c>
      <c r="N137">
        <v>1990</v>
      </c>
      <c r="O137">
        <v>1972</v>
      </c>
      <c r="Q137" t="s">
        <v>3633</v>
      </c>
      <c r="R137" t="s">
        <v>3863</v>
      </c>
      <c r="S137" t="s">
        <v>3987</v>
      </c>
      <c r="T137" t="s">
        <v>3863</v>
      </c>
      <c r="X137">
        <v>0</v>
      </c>
      <c r="AA137">
        <v>0</v>
      </c>
    </row>
    <row r="138" spans="1:27">
      <c r="A138" s="1">
        <v>136</v>
      </c>
      <c r="B138">
        <v>36086</v>
      </c>
      <c r="C138" t="s">
        <v>167</v>
      </c>
      <c r="D138" t="s">
        <v>1187</v>
      </c>
      <c r="E138" t="s">
        <v>1993</v>
      </c>
      <c r="G138">
        <f>"1594489254"</f>
        <v>0</v>
      </c>
      <c r="H138">
        <f>"9781594489259"</f>
        <v>0</v>
      </c>
      <c r="I138">
        <v>0</v>
      </c>
      <c r="J138">
        <v>3.88</v>
      </c>
      <c r="K138" t="s">
        <v>3090</v>
      </c>
      <c r="L138" t="s">
        <v>3492</v>
      </c>
      <c r="M138">
        <v>299</v>
      </c>
      <c r="N138">
        <v>2006</v>
      </c>
      <c r="O138">
        <v>2006</v>
      </c>
      <c r="Q138" t="s">
        <v>3634</v>
      </c>
      <c r="R138" t="s">
        <v>3863</v>
      </c>
      <c r="S138" t="s">
        <v>3988</v>
      </c>
      <c r="T138" t="s">
        <v>3863</v>
      </c>
      <c r="X138">
        <v>0</v>
      </c>
      <c r="AA138">
        <v>0</v>
      </c>
    </row>
    <row r="139" spans="1:27">
      <c r="A139" s="1">
        <v>137</v>
      </c>
      <c r="B139">
        <v>4703581</v>
      </c>
      <c r="C139" t="s">
        <v>168</v>
      </c>
      <c r="D139" t="s">
        <v>1188</v>
      </c>
      <c r="E139" t="s">
        <v>1994</v>
      </c>
      <c r="G139">
        <f>"0345497511"</f>
        <v>0</v>
      </c>
      <c r="H139">
        <f>"9780345497512"</f>
        <v>0</v>
      </c>
      <c r="I139">
        <v>0</v>
      </c>
      <c r="J139">
        <v>3.9</v>
      </c>
      <c r="K139" t="s">
        <v>3091</v>
      </c>
      <c r="L139" t="s">
        <v>3492</v>
      </c>
      <c r="M139">
        <v>312</v>
      </c>
      <c r="N139">
        <v>2009</v>
      </c>
      <c r="O139">
        <v>2009</v>
      </c>
      <c r="Q139" t="s">
        <v>3634</v>
      </c>
      <c r="R139" t="s">
        <v>3863</v>
      </c>
      <c r="S139" t="s">
        <v>3989</v>
      </c>
      <c r="T139" t="s">
        <v>3863</v>
      </c>
      <c r="X139">
        <v>0</v>
      </c>
      <c r="AA139">
        <v>0</v>
      </c>
    </row>
    <row r="140" spans="1:27">
      <c r="A140" s="1">
        <v>138</v>
      </c>
      <c r="B140">
        <v>311533</v>
      </c>
      <c r="C140" t="s">
        <v>169</v>
      </c>
      <c r="D140" t="s">
        <v>1189</v>
      </c>
      <c r="E140" t="s">
        <v>1995</v>
      </c>
      <c r="G140">
        <f>"1403965382"</f>
        <v>0</v>
      </c>
      <c r="H140">
        <f>"9781403965387"</f>
        <v>0</v>
      </c>
      <c r="I140">
        <v>0</v>
      </c>
      <c r="J140">
        <v>3.88</v>
      </c>
      <c r="K140" t="s">
        <v>3092</v>
      </c>
      <c r="L140" t="s">
        <v>3491</v>
      </c>
      <c r="M140">
        <v>224</v>
      </c>
      <c r="N140">
        <v>2004</v>
      </c>
      <c r="O140">
        <v>2003</v>
      </c>
      <c r="Q140" t="s">
        <v>3634</v>
      </c>
      <c r="R140" t="s">
        <v>3863</v>
      </c>
      <c r="S140" t="s">
        <v>3990</v>
      </c>
      <c r="T140" t="s">
        <v>3863</v>
      </c>
      <c r="X140">
        <v>0</v>
      </c>
      <c r="AA140">
        <v>0</v>
      </c>
    </row>
    <row r="141" spans="1:27">
      <c r="A141" s="1">
        <v>139</v>
      </c>
      <c r="B141">
        <v>9647357</v>
      </c>
      <c r="C141" t="s">
        <v>170</v>
      </c>
      <c r="D141" t="s">
        <v>1190</v>
      </c>
      <c r="E141" t="s">
        <v>1996</v>
      </c>
      <c r="G141">
        <f>"008094969X"</f>
        <v>0</v>
      </c>
      <c r="H141">
        <f>"9780080949697"</f>
        <v>0</v>
      </c>
      <c r="I141">
        <v>0</v>
      </c>
      <c r="J141">
        <v>4.43</v>
      </c>
      <c r="K141" t="s">
        <v>3093</v>
      </c>
      <c r="L141" t="s">
        <v>3494</v>
      </c>
      <c r="M141">
        <v>640</v>
      </c>
      <c r="N141">
        <v>2009</v>
      </c>
      <c r="O141">
        <v>1998</v>
      </c>
      <c r="Q141" t="s">
        <v>3634</v>
      </c>
      <c r="R141" t="s">
        <v>3863</v>
      </c>
      <c r="S141" t="s">
        <v>3991</v>
      </c>
      <c r="T141" t="s">
        <v>3863</v>
      </c>
      <c r="X141">
        <v>0</v>
      </c>
      <c r="AA141">
        <v>0</v>
      </c>
    </row>
    <row r="142" spans="1:27">
      <c r="A142" s="1">
        <v>140</v>
      </c>
      <c r="B142">
        <v>1234924</v>
      </c>
      <c r="C142" t="s">
        <v>171</v>
      </c>
      <c r="D142" t="s">
        <v>1191</v>
      </c>
      <c r="E142" t="s">
        <v>1997</v>
      </c>
      <c r="G142">
        <f>"0691133824"</f>
        <v>0</v>
      </c>
      <c r="H142">
        <f>"9780691133829"</f>
        <v>0</v>
      </c>
      <c r="I142">
        <v>0</v>
      </c>
      <c r="J142">
        <v>4</v>
      </c>
      <c r="K142" t="s">
        <v>3016</v>
      </c>
      <c r="L142" t="s">
        <v>3491</v>
      </c>
      <c r="M142">
        <v>424</v>
      </c>
      <c r="N142">
        <v>2007</v>
      </c>
      <c r="O142">
        <v>2005</v>
      </c>
      <c r="Q142" t="s">
        <v>3634</v>
      </c>
      <c r="R142" t="s">
        <v>3863</v>
      </c>
      <c r="S142" t="s">
        <v>3992</v>
      </c>
      <c r="T142" t="s">
        <v>3863</v>
      </c>
      <c r="X142">
        <v>0</v>
      </c>
      <c r="AA142">
        <v>0</v>
      </c>
    </row>
    <row r="143" spans="1:27">
      <c r="A143" s="1">
        <v>141</v>
      </c>
      <c r="B143">
        <v>496011</v>
      </c>
      <c r="C143" t="s">
        <v>172</v>
      </c>
      <c r="D143" t="s">
        <v>1192</v>
      </c>
      <c r="E143" t="s">
        <v>1998</v>
      </c>
      <c r="G143">
        <f>"092738910X"</f>
        <v>0</v>
      </c>
      <c r="H143">
        <f>"9780927389105"</f>
        <v>0</v>
      </c>
      <c r="I143">
        <v>0</v>
      </c>
      <c r="J143">
        <v>4.3</v>
      </c>
      <c r="K143" t="s">
        <v>3094</v>
      </c>
      <c r="L143" t="s">
        <v>3496</v>
      </c>
      <c r="N143">
        <v>1995</v>
      </c>
      <c r="O143">
        <v>1995</v>
      </c>
      <c r="Q143" t="s">
        <v>3634</v>
      </c>
      <c r="R143" t="s">
        <v>3863</v>
      </c>
      <c r="S143" t="s">
        <v>3993</v>
      </c>
      <c r="T143" t="s">
        <v>3863</v>
      </c>
      <c r="X143">
        <v>0</v>
      </c>
      <c r="AA143">
        <v>0</v>
      </c>
    </row>
    <row r="144" spans="1:27">
      <c r="A144" s="1">
        <v>142</v>
      </c>
      <c r="B144">
        <v>4936457</v>
      </c>
      <c r="C144" t="s">
        <v>173</v>
      </c>
      <c r="D144" t="s">
        <v>1193</v>
      </c>
      <c r="E144" t="s">
        <v>1999</v>
      </c>
      <c r="G144">
        <f>"0224079948"</f>
        <v>0</v>
      </c>
      <c r="H144">
        <f>"9780224079945"</f>
        <v>0</v>
      </c>
      <c r="I144">
        <v>0</v>
      </c>
      <c r="J144">
        <v>3.99</v>
      </c>
      <c r="K144" t="s">
        <v>3095</v>
      </c>
      <c r="L144" t="s">
        <v>3492</v>
      </c>
      <c r="M144">
        <v>319</v>
      </c>
      <c r="N144">
        <v>2008</v>
      </c>
      <c r="O144">
        <v>2008</v>
      </c>
      <c r="Q144" t="s">
        <v>3635</v>
      </c>
      <c r="R144" t="s">
        <v>3863</v>
      </c>
      <c r="S144" t="s">
        <v>3994</v>
      </c>
      <c r="T144" t="s">
        <v>3863</v>
      </c>
      <c r="X144">
        <v>0</v>
      </c>
      <c r="AA144">
        <v>0</v>
      </c>
    </row>
    <row r="145" spans="1:27">
      <c r="A145" s="1">
        <v>143</v>
      </c>
      <c r="B145">
        <v>4806</v>
      </c>
      <c r="C145" t="s">
        <v>174</v>
      </c>
      <c r="D145" t="s">
        <v>1194</v>
      </c>
      <c r="E145" t="s">
        <v>2000</v>
      </c>
      <c r="F145" t="s">
        <v>2708</v>
      </c>
      <c r="G145">
        <f>"0802714625"</f>
        <v>0</v>
      </c>
      <c r="H145">
        <f>"9780802714626"</f>
        <v>0</v>
      </c>
      <c r="I145">
        <v>0</v>
      </c>
      <c r="J145">
        <v>3.96</v>
      </c>
      <c r="K145" t="s">
        <v>3096</v>
      </c>
      <c r="L145" t="s">
        <v>3492</v>
      </c>
      <c r="M145">
        <v>184</v>
      </c>
      <c r="N145">
        <v>2005</v>
      </c>
      <c r="O145">
        <v>1995</v>
      </c>
      <c r="Q145" t="s">
        <v>3635</v>
      </c>
      <c r="R145" t="s">
        <v>3863</v>
      </c>
      <c r="S145" t="s">
        <v>3995</v>
      </c>
      <c r="T145" t="s">
        <v>3863</v>
      </c>
      <c r="X145">
        <v>0</v>
      </c>
      <c r="AA145">
        <v>0</v>
      </c>
    </row>
    <row r="146" spans="1:27">
      <c r="A146" s="1">
        <v>144</v>
      </c>
      <c r="B146">
        <v>27323</v>
      </c>
      <c r="C146" t="s">
        <v>175</v>
      </c>
      <c r="D146" t="s">
        <v>1195</v>
      </c>
      <c r="E146" t="s">
        <v>2001</v>
      </c>
      <c r="G146">
        <f>"0679721037"</f>
        <v>0</v>
      </c>
      <c r="H146">
        <f>"9780679721031"</f>
        <v>0</v>
      </c>
      <c r="I146">
        <v>0</v>
      </c>
      <c r="J146">
        <v>4</v>
      </c>
      <c r="K146" t="s">
        <v>3029</v>
      </c>
      <c r="L146" t="s">
        <v>3491</v>
      </c>
      <c r="M146">
        <v>152</v>
      </c>
      <c r="N146">
        <v>1989</v>
      </c>
      <c r="O146">
        <v>1946</v>
      </c>
      <c r="Q146" t="s">
        <v>3635</v>
      </c>
      <c r="R146" t="s">
        <v>3863</v>
      </c>
      <c r="S146" t="s">
        <v>3996</v>
      </c>
      <c r="T146" t="s">
        <v>3863</v>
      </c>
      <c r="X146">
        <v>0</v>
      </c>
      <c r="AA146">
        <v>0</v>
      </c>
    </row>
    <row r="147" spans="1:27">
      <c r="A147" s="1">
        <v>145</v>
      </c>
      <c r="B147">
        <v>40779082</v>
      </c>
      <c r="C147" t="s">
        <v>176</v>
      </c>
      <c r="D147" t="s">
        <v>1196</v>
      </c>
      <c r="E147" t="s">
        <v>2002</v>
      </c>
      <c r="G147">
        <f>""</f>
        <v>0</v>
      </c>
      <c r="H147">
        <f>""</f>
        <v>0</v>
      </c>
      <c r="I147">
        <v>0</v>
      </c>
      <c r="J147">
        <v>4.16</v>
      </c>
      <c r="K147" t="s">
        <v>3039</v>
      </c>
      <c r="L147" t="s">
        <v>3493</v>
      </c>
      <c r="M147">
        <v>658</v>
      </c>
      <c r="N147">
        <v>2009</v>
      </c>
      <c r="O147">
        <v>1962</v>
      </c>
      <c r="Q147" t="s">
        <v>3635</v>
      </c>
      <c r="R147" t="s">
        <v>3863</v>
      </c>
      <c r="S147" t="s">
        <v>3997</v>
      </c>
      <c r="T147" t="s">
        <v>3863</v>
      </c>
      <c r="X147">
        <v>0</v>
      </c>
      <c r="AA147">
        <v>0</v>
      </c>
    </row>
    <row r="148" spans="1:27">
      <c r="A148" s="1">
        <v>146</v>
      </c>
      <c r="B148">
        <v>1617</v>
      </c>
      <c r="C148" t="s">
        <v>177</v>
      </c>
      <c r="D148" t="s">
        <v>1197</v>
      </c>
      <c r="E148" t="s">
        <v>2003</v>
      </c>
      <c r="F148" t="s">
        <v>2709</v>
      </c>
      <c r="G148">
        <f>""</f>
        <v>0</v>
      </c>
      <c r="H148">
        <f>""</f>
        <v>0</v>
      </c>
      <c r="I148">
        <v>0</v>
      </c>
      <c r="J148">
        <v>4.36</v>
      </c>
      <c r="K148" t="s">
        <v>3040</v>
      </c>
      <c r="L148" t="s">
        <v>3491</v>
      </c>
      <c r="M148">
        <v>115</v>
      </c>
      <c r="N148">
        <v>2006</v>
      </c>
      <c r="O148">
        <v>1956</v>
      </c>
      <c r="Q148" t="s">
        <v>3635</v>
      </c>
      <c r="R148" t="s">
        <v>3863</v>
      </c>
      <c r="S148" t="s">
        <v>3998</v>
      </c>
      <c r="T148" t="s">
        <v>3863</v>
      </c>
      <c r="X148">
        <v>0</v>
      </c>
      <c r="AA148">
        <v>0</v>
      </c>
    </row>
    <row r="149" spans="1:27">
      <c r="A149" s="1">
        <v>147</v>
      </c>
      <c r="B149">
        <v>767171</v>
      </c>
      <c r="C149" t="s">
        <v>178</v>
      </c>
      <c r="D149" t="s">
        <v>1198</v>
      </c>
      <c r="E149" t="s">
        <v>2004</v>
      </c>
      <c r="G149">
        <f>"0671728687"</f>
        <v>0</v>
      </c>
      <c r="H149">
        <f>"9780671728687"</f>
        <v>0</v>
      </c>
      <c r="I149">
        <v>0</v>
      </c>
      <c r="J149">
        <v>4.18</v>
      </c>
      <c r="K149" t="s">
        <v>3097</v>
      </c>
      <c r="L149" t="s">
        <v>3495</v>
      </c>
      <c r="M149">
        <v>1614</v>
      </c>
      <c r="N149">
        <v>1990</v>
      </c>
      <c r="O149">
        <v>1960</v>
      </c>
      <c r="Q149" t="s">
        <v>3635</v>
      </c>
      <c r="R149" t="s">
        <v>3863</v>
      </c>
      <c r="S149" t="s">
        <v>3999</v>
      </c>
      <c r="T149" t="s">
        <v>3863</v>
      </c>
      <c r="X149">
        <v>0</v>
      </c>
      <c r="AA149">
        <v>0</v>
      </c>
    </row>
    <row r="150" spans="1:27">
      <c r="A150" s="1">
        <v>148</v>
      </c>
      <c r="B150">
        <v>15795155</v>
      </c>
      <c r="C150" t="s">
        <v>179</v>
      </c>
      <c r="D150" t="s">
        <v>1199</v>
      </c>
      <c r="E150" t="s">
        <v>2005</v>
      </c>
      <c r="G150">
        <f>"0865478007"</f>
        <v>0</v>
      </c>
      <c r="H150">
        <f>"9780865478008"</f>
        <v>0</v>
      </c>
      <c r="I150">
        <v>0</v>
      </c>
      <c r="J150">
        <v>4.1</v>
      </c>
      <c r="K150" t="s">
        <v>3098</v>
      </c>
      <c r="L150" t="s">
        <v>3492</v>
      </c>
      <c r="M150">
        <v>448</v>
      </c>
      <c r="N150">
        <v>2013</v>
      </c>
      <c r="O150">
        <v>2012</v>
      </c>
      <c r="Q150" t="s">
        <v>3635</v>
      </c>
      <c r="R150" t="s">
        <v>3863</v>
      </c>
      <c r="S150" t="s">
        <v>4000</v>
      </c>
      <c r="T150" t="s">
        <v>3863</v>
      </c>
      <c r="X150">
        <v>0</v>
      </c>
      <c r="AA150">
        <v>0</v>
      </c>
    </row>
    <row r="151" spans="1:27">
      <c r="A151" s="1">
        <v>149</v>
      </c>
      <c r="B151">
        <v>4291305</v>
      </c>
      <c r="C151" t="s">
        <v>180</v>
      </c>
      <c r="D151" t="s">
        <v>1200</v>
      </c>
      <c r="E151" t="s">
        <v>2006</v>
      </c>
      <c r="G151">
        <f>"0307406539"</f>
        <v>0</v>
      </c>
      <c r="H151">
        <f>"9780307406538"</f>
        <v>0</v>
      </c>
      <c r="I151">
        <v>0</v>
      </c>
      <c r="J151">
        <v>3.36</v>
      </c>
      <c r="K151" t="s">
        <v>3099</v>
      </c>
      <c r="L151" t="s">
        <v>3492</v>
      </c>
      <c r="M151">
        <v>304</v>
      </c>
      <c r="N151">
        <v>2009</v>
      </c>
      <c r="O151">
        <v>2009</v>
      </c>
      <c r="P151" t="s">
        <v>3506</v>
      </c>
      <c r="Q151" t="s">
        <v>3636</v>
      </c>
      <c r="T151" t="s">
        <v>4621</v>
      </c>
      <c r="U151" t="s">
        <v>4630</v>
      </c>
      <c r="X151">
        <v>1</v>
      </c>
      <c r="AA151">
        <v>0</v>
      </c>
    </row>
    <row r="152" spans="1:27">
      <c r="A152" s="1">
        <v>150</v>
      </c>
      <c r="B152">
        <v>11289</v>
      </c>
      <c r="C152" t="s">
        <v>181</v>
      </c>
      <c r="D152" t="s">
        <v>1201</v>
      </c>
      <c r="E152" t="s">
        <v>2007</v>
      </c>
      <c r="G152">
        <f>"0553572989"</f>
        <v>0</v>
      </c>
      <c r="H152">
        <f>"9780553572988"</f>
        <v>0</v>
      </c>
      <c r="I152">
        <v>0</v>
      </c>
      <c r="J152">
        <v>4.17</v>
      </c>
      <c r="K152" t="s">
        <v>3100</v>
      </c>
      <c r="L152" t="s">
        <v>3495</v>
      </c>
      <c r="M152">
        <v>709</v>
      </c>
      <c r="N152">
        <v>1998</v>
      </c>
      <c r="O152">
        <v>1997</v>
      </c>
      <c r="Q152" t="s">
        <v>3507</v>
      </c>
      <c r="R152" t="s">
        <v>3863</v>
      </c>
      <c r="S152" t="s">
        <v>4001</v>
      </c>
      <c r="T152" t="s">
        <v>3863</v>
      </c>
      <c r="X152">
        <v>0</v>
      </c>
      <c r="AA152">
        <v>0</v>
      </c>
    </row>
    <row r="153" spans="1:27">
      <c r="A153" s="1">
        <v>151</v>
      </c>
      <c r="B153">
        <v>3977</v>
      </c>
      <c r="C153" t="s">
        <v>182</v>
      </c>
      <c r="D153" t="s">
        <v>1201</v>
      </c>
      <c r="E153" t="s">
        <v>2007</v>
      </c>
      <c r="G153">
        <f>"0553572946"</f>
        <v>0</v>
      </c>
      <c r="H153">
        <f>"9780553572940"</f>
        <v>0</v>
      </c>
      <c r="I153">
        <v>0</v>
      </c>
      <c r="J153">
        <v>4.18</v>
      </c>
      <c r="K153" t="s">
        <v>3101</v>
      </c>
      <c r="L153" t="s">
        <v>3495</v>
      </c>
      <c r="M153">
        <v>563</v>
      </c>
      <c r="N153">
        <v>1996</v>
      </c>
      <c r="O153">
        <v>1996</v>
      </c>
      <c r="Q153" t="s">
        <v>3507</v>
      </c>
      <c r="R153" t="s">
        <v>3863</v>
      </c>
      <c r="S153" t="s">
        <v>4002</v>
      </c>
      <c r="T153" t="s">
        <v>3863</v>
      </c>
      <c r="X153">
        <v>0</v>
      </c>
      <c r="AA153">
        <v>0</v>
      </c>
    </row>
    <row r="154" spans="1:27">
      <c r="A154" s="1">
        <v>152</v>
      </c>
      <c r="B154">
        <v>77565</v>
      </c>
      <c r="C154" t="s">
        <v>183</v>
      </c>
      <c r="D154" t="s">
        <v>1201</v>
      </c>
      <c r="E154" t="s">
        <v>2007</v>
      </c>
      <c r="G154">
        <f>"0553288202"</f>
        <v>0</v>
      </c>
      <c r="H154">
        <f>"9780553288209"</f>
        <v>0</v>
      </c>
      <c r="I154">
        <v>0</v>
      </c>
      <c r="J154">
        <v>4.22</v>
      </c>
      <c r="K154" t="s">
        <v>3102</v>
      </c>
      <c r="L154" t="s">
        <v>3495</v>
      </c>
      <c r="M154">
        <v>517</v>
      </c>
      <c r="N154">
        <v>1995</v>
      </c>
      <c r="O154">
        <v>1990</v>
      </c>
      <c r="Q154" t="s">
        <v>3507</v>
      </c>
      <c r="R154" t="s">
        <v>3863</v>
      </c>
      <c r="S154" t="s">
        <v>4003</v>
      </c>
      <c r="T154" t="s">
        <v>3863</v>
      </c>
      <c r="X154">
        <v>0</v>
      </c>
      <c r="AA154">
        <v>0</v>
      </c>
    </row>
    <row r="155" spans="1:27">
      <c r="A155" s="1">
        <v>153</v>
      </c>
      <c r="B155">
        <v>77566</v>
      </c>
      <c r="C155" t="s">
        <v>184</v>
      </c>
      <c r="D155" t="s">
        <v>1201</v>
      </c>
      <c r="E155" t="s">
        <v>2007</v>
      </c>
      <c r="F155" t="s">
        <v>2710</v>
      </c>
      <c r="G155">
        <f>"0553283685"</f>
        <v>0</v>
      </c>
      <c r="H155">
        <f>"9780553283686"</f>
        <v>0</v>
      </c>
      <c r="I155">
        <v>0</v>
      </c>
      <c r="J155">
        <v>4.24</v>
      </c>
      <c r="K155" t="s">
        <v>3103</v>
      </c>
      <c r="L155" t="s">
        <v>3495</v>
      </c>
      <c r="M155">
        <v>500</v>
      </c>
      <c r="N155">
        <v>1990</v>
      </c>
      <c r="O155">
        <v>1989</v>
      </c>
      <c r="Q155" t="s">
        <v>3507</v>
      </c>
      <c r="R155" t="s">
        <v>3863</v>
      </c>
      <c r="S155" t="s">
        <v>4004</v>
      </c>
      <c r="T155" t="s">
        <v>3863</v>
      </c>
      <c r="X155">
        <v>0</v>
      </c>
      <c r="AA155">
        <v>0</v>
      </c>
    </row>
    <row r="156" spans="1:27">
      <c r="A156" s="1">
        <v>154</v>
      </c>
      <c r="B156">
        <v>25451264</v>
      </c>
      <c r="C156" t="s">
        <v>185</v>
      </c>
      <c r="D156" t="s">
        <v>1202</v>
      </c>
      <c r="E156" t="s">
        <v>2008</v>
      </c>
      <c r="F156" t="s">
        <v>1203</v>
      </c>
      <c r="G156">
        <f>"0765377101"</f>
        <v>0</v>
      </c>
      <c r="H156">
        <f>"9780765377104"</f>
        <v>0</v>
      </c>
      <c r="I156">
        <v>5</v>
      </c>
      <c r="J156">
        <v>4.42</v>
      </c>
      <c r="K156" t="s">
        <v>3104</v>
      </c>
      <c r="L156" t="s">
        <v>3492</v>
      </c>
      <c r="M156">
        <v>604</v>
      </c>
      <c r="N156">
        <v>2016</v>
      </c>
      <c r="O156">
        <v>2010</v>
      </c>
      <c r="P156" t="s">
        <v>3507</v>
      </c>
      <c r="Q156" t="s">
        <v>3508</v>
      </c>
      <c r="T156" t="s">
        <v>4621</v>
      </c>
      <c r="U156" t="s">
        <v>4631</v>
      </c>
      <c r="X156">
        <v>1</v>
      </c>
      <c r="AA156">
        <v>0</v>
      </c>
    </row>
    <row r="157" spans="1:27">
      <c r="A157" s="1">
        <v>155</v>
      </c>
      <c r="B157">
        <v>24885533</v>
      </c>
      <c r="C157" t="s">
        <v>186</v>
      </c>
      <c r="D157" t="s">
        <v>1203</v>
      </c>
      <c r="E157" t="s">
        <v>2009</v>
      </c>
      <c r="G157">
        <f>"1481442546"</f>
        <v>0</v>
      </c>
      <c r="H157">
        <f>"9781481442541"</f>
        <v>0</v>
      </c>
      <c r="I157">
        <v>0</v>
      </c>
      <c r="J157">
        <v>4.37</v>
      </c>
      <c r="K157" t="s">
        <v>3105</v>
      </c>
      <c r="L157" t="s">
        <v>3492</v>
      </c>
      <c r="M157">
        <v>464</v>
      </c>
      <c r="N157">
        <v>2016</v>
      </c>
      <c r="O157">
        <v>2016</v>
      </c>
      <c r="Q157" t="s">
        <v>3507</v>
      </c>
      <c r="R157" t="s">
        <v>3863</v>
      </c>
      <c r="S157" t="s">
        <v>4005</v>
      </c>
      <c r="T157" t="s">
        <v>3863</v>
      </c>
      <c r="X157">
        <v>0</v>
      </c>
      <c r="AA157">
        <v>0</v>
      </c>
    </row>
    <row r="158" spans="1:27">
      <c r="A158" s="1">
        <v>156</v>
      </c>
      <c r="B158">
        <v>9916169</v>
      </c>
      <c r="C158" t="s">
        <v>187</v>
      </c>
      <c r="D158" t="s">
        <v>1204</v>
      </c>
      <c r="E158" t="s">
        <v>2010</v>
      </c>
      <c r="F158" t="s">
        <v>2711</v>
      </c>
      <c r="G158">
        <f>"1611090113"</f>
        <v>0</v>
      </c>
      <c r="H158">
        <f>"9781611090116"</f>
        <v>0</v>
      </c>
      <c r="I158">
        <v>0</v>
      </c>
      <c r="J158">
        <v>4.08</v>
      </c>
      <c r="K158" t="s">
        <v>3106</v>
      </c>
      <c r="L158" t="s">
        <v>3491</v>
      </c>
      <c r="M158">
        <v>727</v>
      </c>
      <c r="N158">
        <v>2012</v>
      </c>
      <c r="O158">
        <v>2009</v>
      </c>
      <c r="Q158" t="s">
        <v>3637</v>
      </c>
      <c r="R158" t="s">
        <v>3863</v>
      </c>
      <c r="S158" t="s">
        <v>4006</v>
      </c>
      <c r="T158" t="s">
        <v>3863</v>
      </c>
      <c r="X158">
        <v>0</v>
      </c>
      <c r="AA158">
        <v>0</v>
      </c>
    </row>
    <row r="159" spans="1:27">
      <c r="A159" s="1">
        <v>157</v>
      </c>
      <c r="B159">
        <v>126587</v>
      </c>
      <c r="C159" t="s">
        <v>188</v>
      </c>
      <c r="D159" t="s">
        <v>1205</v>
      </c>
      <c r="E159" t="s">
        <v>2011</v>
      </c>
      <c r="F159" t="s">
        <v>2712</v>
      </c>
      <c r="G159">
        <f>"0618381864"</f>
        <v>0</v>
      </c>
      <c r="H159">
        <f>"9780618381869"</f>
        <v>0</v>
      </c>
      <c r="I159">
        <v>0</v>
      </c>
      <c r="J159">
        <v>3.66</v>
      </c>
      <c r="K159" t="s">
        <v>3107</v>
      </c>
      <c r="L159" t="s">
        <v>3491</v>
      </c>
      <c r="M159">
        <v>342</v>
      </c>
      <c r="N159">
        <v>2003</v>
      </c>
      <c r="O159">
        <v>1925</v>
      </c>
      <c r="Q159" t="s">
        <v>3636</v>
      </c>
      <c r="R159" t="s">
        <v>3863</v>
      </c>
      <c r="S159" t="s">
        <v>4007</v>
      </c>
      <c r="T159" t="s">
        <v>3863</v>
      </c>
      <c r="X159">
        <v>0</v>
      </c>
      <c r="AA159">
        <v>0</v>
      </c>
    </row>
    <row r="160" spans="1:27">
      <c r="A160" s="1">
        <v>158</v>
      </c>
      <c r="B160">
        <v>7103</v>
      </c>
      <c r="C160" t="s">
        <v>189</v>
      </c>
      <c r="D160" t="s">
        <v>1205</v>
      </c>
      <c r="E160" t="s">
        <v>2011</v>
      </c>
      <c r="F160" t="s">
        <v>2713</v>
      </c>
      <c r="G160">
        <f>"0618056831"</f>
        <v>0</v>
      </c>
      <c r="H160">
        <f>"9780618056835"</f>
        <v>0</v>
      </c>
      <c r="I160">
        <v>0</v>
      </c>
      <c r="J160">
        <v>4.02</v>
      </c>
      <c r="K160" t="s">
        <v>3107</v>
      </c>
      <c r="L160" t="s">
        <v>3491</v>
      </c>
      <c r="M160">
        <v>464</v>
      </c>
      <c r="N160">
        <v>2000</v>
      </c>
      <c r="O160">
        <v>1936</v>
      </c>
      <c r="Q160" t="s">
        <v>3636</v>
      </c>
      <c r="R160" t="s">
        <v>3863</v>
      </c>
      <c r="S160" t="s">
        <v>4008</v>
      </c>
      <c r="T160" t="s">
        <v>3863</v>
      </c>
      <c r="X160">
        <v>0</v>
      </c>
      <c r="AA160">
        <v>0</v>
      </c>
    </row>
    <row r="161" spans="1:27">
      <c r="A161" s="1">
        <v>159</v>
      </c>
      <c r="B161">
        <v>7104</v>
      </c>
      <c r="C161" t="s">
        <v>190</v>
      </c>
      <c r="D161" t="s">
        <v>1205</v>
      </c>
      <c r="E161" t="s">
        <v>2011</v>
      </c>
      <c r="F161" t="s">
        <v>2713</v>
      </c>
      <c r="G161">
        <f>"0618056823"</f>
        <v>0</v>
      </c>
      <c r="H161">
        <f>"9780618056828"</f>
        <v>0</v>
      </c>
      <c r="I161">
        <v>0</v>
      </c>
      <c r="J161">
        <v>3.97</v>
      </c>
      <c r="K161" t="s">
        <v>3107</v>
      </c>
      <c r="L161" t="s">
        <v>3491</v>
      </c>
      <c r="M161">
        <v>400</v>
      </c>
      <c r="N161">
        <v>2000</v>
      </c>
      <c r="O161">
        <v>1932</v>
      </c>
      <c r="Q161" t="s">
        <v>3636</v>
      </c>
      <c r="R161" t="s">
        <v>3863</v>
      </c>
      <c r="S161" t="s">
        <v>4009</v>
      </c>
      <c r="T161" t="s">
        <v>3863</v>
      </c>
      <c r="X161">
        <v>0</v>
      </c>
      <c r="AA161">
        <v>0</v>
      </c>
    </row>
    <row r="162" spans="1:27">
      <c r="A162" s="1">
        <v>160</v>
      </c>
      <c r="B162">
        <v>7101</v>
      </c>
      <c r="C162" t="s">
        <v>191</v>
      </c>
      <c r="D162" t="s">
        <v>1205</v>
      </c>
      <c r="E162" t="s">
        <v>2011</v>
      </c>
      <c r="G162">
        <f>"0618056815"</f>
        <v>0</v>
      </c>
      <c r="H162">
        <f>"9780618056811"</f>
        <v>0</v>
      </c>
      <c r="I162">
        <v>0</v>
      </c>
      <c r="J162">
        <v>3.82</v>
      </c>
      <c r="K162" t="s">
        <v>3107</v>
      </c>
      <c r="L162" t="s">
        <v>3491</v>
      </c>
      <c r="M162">
        <v>326</v>
      </c>
      <c r="N162">
        <v>2000</v>
      </c>
      <c r="O162">
        <v>1930</v>
      </c>
      <c r="Q162" t="s">
        <v>3636</v>
      </c>
      <c r="R162" t="s">
        <v>3863</v>
      </c>
      <c r="S162" t="s">
        <v>4010</v>
      </c>
      <c r="T162" t="s">
        <v>3863</v>
      </c>
      <c r="X162">
        <v>0</v>
      </c>
      <c r="AA162">
        <v>0</v>
      </c>
    </row>
    <row r="163" spans="1:27">
      <c r="A163" s="1">
        <v>161</v>
      </c>
      <c r="B163">
        <v>14793491</v>
      </c>
      <c r="C163" t="s">
        <v>192</v>
      </c>
      <c r="D163" t="s">
        <v>1206</v>
      </c>
      <c r="E163" t="s">
        <v>2012</v>
      </c>
      <c r="G163">
        <f>"0739327100"</f>
        <v>0</v>
      </c>
      <c r="H163">
        <f>"9780739327104"</f>
        <v>0</v>
      </c>
      <c r="I163">
        <v>0</v>
      </c>
      <c r="J163">
        <v>4.11</v>
      </c>
      <c r="K163" t="s">
        <v>3108</v>
      </c>
      <c r="L163" t="s">
        <v>3492</v>
      </c>
      <c r="N163">
        <v>2007</v>
      </c>
      <c r="O163">
        <v>2007</v>
      </c>
      <c r="Q163" t="s">
        <v>3636</v>
      </c>
      <c r="R163" t="s">
        <v>3863</v>
      </c>
      <c r="S163" t="s">
        <v>4011</v>
      </c>
      <c r="T163" t="s">
        <v>3863</v>
      </c>
      <c r="X163">
        <v>0</v>
      </c>
      <c r="AA163">
        <v>0</v>
      </c>
    </row>
    <row r="164" spans="1:27">
      <c r="A164" s="1">
        <v>162</v>
      </c>
      <c r="B164">
        <v>356296</v>
      </c>
      <c r="C164" t="s">
        <v>193</v>
      </c>
      <c r="D164" t="s">
        <v>1207</v>
      </c>
      <c r="E164" t="s">
        <v>2013</v>
      </c>
      <c r="F164" t="s">
        <v>2714</v>
      </c>
      <c r="G164">
        <f>"0767904486"</f>
        <v>0</v>
      </c>
      <c r="H164">
        <f>"9780767904483"</f>
        <v>0</v>
      </c>
      <c r="I164">
        <v>0</v>
      </c>
      <c r="J164">
        <v>4.01</v>
      </c>
      <c r="K164" t="s">
        <v>3109</v>
      </c>
      <c r="L164" t="s">
        <v>3491</v>
      </c>
      <c r="M164">
        <v>290</v>
      </c>
      <c r="N164">
        <v>2002</v>
      </c>
      <c r="O164">
        <v>2001</v>
      </c>
      <c r="Q164" t="s">
        <v>3636</v>
      </c>
      <c r="R164" t="s">
        <v>3863</v>
      </c>
      <c r="S164" t="s">
        <v>4012</v>
      </c>
      <c r="T164" t="s">
        <v>3863</v>
      </c>
      <c r="X164">
        <v>0</v>
      </c>
      <c r="AA164">
        <v>0</v>
      </c>
    </row>
    <row r="165" spans="1:27">
      <c r="A165" s="1">
        <v>163</v>
      </c>
      <c r="B165">
        <v>554897</v>
      </c>
      <c r="C165" t="s">
        <v>194</v>
      </c>
      <c r="D165" t="s">
        <v>1208</v>
      </c>
      <c r="E165" t="s">
        <v>2014</v>
      </c>
      <c r="G165">
        <f>"1586482777"</f>
        <v>0</v>
      </c>
      <c r="H165">
        <f>"9781586482770"</f>
        <v>0</v>
      </c>
      <c r="I165">
        <v>0</v>
      </c>
      <c r="J165">
        <v>3.3</v>
      </c>
      <c r="K165" t="s">
        <v>3047</v>
      </c>
      <c r="L165" t="s">
        <v>3491</v>
      </c>
      <c r="M165">
        <v>240</v>
      </c>
      <c r="N165">
        <v>2003</v>
      </c>
      <c r="O165">
        <v>2003</v>
      </c>
      <c r="Q165" t="s">
        <v>3636</v>
      </c>
      <c r="R165" t="s">
        <v>3863</v>
      </c>
      <c r="S165" t="s">
        <v>4013</v>
      </c>
      <c r="T165" t="s">
        <v>3863</v>
      </c>
      <c r="X165">
        <v>0</v>
      </c>
      <c r="AA165">
        <v>0</v>
      </c>
    </row>
    <row r="166" spans="1:27">
      <c r="A166" s="1">
        <v>164</v>
      </c>
      <c r="B166">
        <v>15753009</v>
      </c>
      <c r="C166" t="s">
        <v>195</v>
      </c>
      <c r="D166" t="s">
        <v>1209</v>
      </c>
      <c r="E166" t="s">
        <v>2015</v>
      </c>
      <c r="G166">
        <f>""</f>
        <v>0</v>
      </c>
      <c r="H166">
        <f>""</f>
        <v>0</v>
      </c>
      <c r="I166">
        <v>0</v>
      </c>
      <c r="J166">
        <v>5</v>
      </c>
      <c r="N166">
        <v>1972</v>
      </c>
      <c r="O166">
        <v>1972</v>
      </c>
      <c r="Q166" t="s">
        <v>3636</v>
      </c>
      <c r="R166" t="s">
        <v>3863</v>
      </c>
      <c r="S166" t="s">
        <v>4014</v>
      </c>
      <c r="T166" t="s">
        <v>3863</v>
      </c>
      <c r="X166">
        <v>0</v>
      </c>
      <c r="AA166">
        <v>0</v>
      </c>
    </row>
    <row r="167" spans="1:27">
      <c r="A167" s="1">
        <v>165</v>
      </c>
      <c r="B167">
        <v>200081</v>
      </c>
      <c r="C167" t="s">
        <v>196</v>
      </c>
      <c r="D167" t="s">
        <v>1210</v>
      </c>
      <c r="E167" t="s">
        <v>2016</v>
      </c>
      <c r="F167" t="s">
        <v>2715</v>
      </c>
      <c r="G167">
        <f>"0826321933"</f>
        <v>0</v>
      </c>
      <c r="H167">
        <f>"9780826321930"</f>
        <v>0</v>
      </c>
      <c r="I167">
        <v>0</v>
      </c>
      <c r="J167">
        <v>4.02</v>
      </c>
      <c r="K167" t="s">
        <v>3110</v>
      </c>
      <c r="L167" t="s">
        <v>3491</v>
      </c>
      <c r="M167">
        <v>148</v>
      </c>
      <c r="N167">
        <v>2000</v>
      </c>
      <c r="O167">
        <v>1973</v>
      </c>
      <c r="Q167" t="s">
        <v>3636</v>
      </c>
      <c r="R167" t="s">
        <v>3863</v>
      </c>
      <c r="S167" t="s">
        <v>4015</v>
      </c>
      <c r="T167" t="s">
        <v>3863</v>
      </c>
      <c r="X167">
        <v>0</v>
      </c>
      <c r="AA167">
        <v>0</v>
      </c>
    </row>
    <row r="168" spans="1:27">
      <c r="A168" s="1">
        <v>166</v>
      </c>
      <c r="B168">
        <v>1093112</v>
      </c>
      <c r="C168" t="s">
        <v>197</v>
      </c>
      <c r="D168" t="s">
        <v>1211</v>
      </c>
      <c r="E168" t="s">
        <v>2017</v>
      </c>
      <c r="G168">
        <f>"0940931745"</f>
        <v>0</v>
      </c>
      <c r="H168">
        <f>"9780940931749"</f>
        <v>0</v>
      </c>
      <c r="I168">
        <v>0</v>
      </c>
      <c r="J168">
        <v>4</v>
      </c>
      <c r="K168" t="s">
        <v>3111</v>
      </c>
      <c r="L168" t="s">
        <v>3492</v>
      </c>
      <c r="M168">
        <v>403</v>
      </c>
      <c r="O168">
        <v>1997</v>
      </c>
      <c r="Q168" t="s">
        <v>3636</v>
      </c>
      <c r="R168" t="s">
        <v>3863</v>
      </c>
      <c r="S168" t="s">
        <v>4016</v>
      </c>
      <c r="T168" t="s">
        <v>3863</v>
      </c>
      <c r="X168">
        <v>0</v>
      </c>
      <c r="AA168">
        <v>0</v>
      </c>
    </row>
    <row r="169" spans="1:27">
      <c r="A169" s="1">
        <v>167</v>
      </c>
      <c r="B169">
        <v>3357153</v>
      </c>
      <c r="C169" t="s">
        <v>198</v>
      </c>
      <c r="D169" t="s">
        <v>1212</v>
      </c>
      <c r="E169" t="s">
        <v>2018</v>
      </c>
      <c r="F169" t="s">
        <v>2716</v>
      </c>
      <c r="G169">
        <f>"0385048580"</f>
        <v>0</v>
      </c>
      <c r="H169">
        <f>"9780385048583"</f>
        <v>0</v>
      </c>
      <c r="I169">
        <v>0</v>
      </c>
      <c r="J169">
        <v>4.07</v>
      </c>
      <c r="K169" t="s">
        <v>3112</v>
      </c>
      <c r="L169" t="s">
        <v>3491</v>
      </c>
      <c r="M169">
        <v>200</v>
      </c>
      <c r="N169">
        <v>1977</v>
      </c>
      <c r="O169">
        <v>2000</v>
      </c>
      <c r="Q169" t="s">
        <v>3636</v>
      </c>
      <c r="R169" t="s">
        <v>3863</v>
      </c>
      <c r="S169" t="s">
        <v>4017</v>
      </c>
      <c r="T169" t="s">
        <v>3863</v>
      </c>
      <c r="X169">
        <v>0</v>
      </c>
      <c r="AA169">
        <v>0</v>
      </c>
    </row>
    <row r="170" spans="1:27">
      <c r="A170" s="1">
        <v>168</v>
      </c>
      <c r="B170">
        <v>38504</v>
      </c>
      <c r="C170" t="s">
        <v>199</v>
      </c>
      <c r="D170" t="s">
        <v>1213</v>
      </c>
      <c r="E170" t="s">
        <v>2019</v>
      </c>
      <c r="G170">
        <f>"0876856830"</f>
        <v>0</v>
      </c>
      <c r="H170">
        <f>"9780876856833"</f>
        <v>0</v>
      </c>
      <c r="I170">
        <v>0</v>
      </c>
      <c r="J170">
        <v>4.21</v>
      </c>
      <c r="K170" t="s">
        <v>3113</v>
      </c>
      <c r="L170" t="s">
        <v>3491</v>
      </c>
      <c r="M170">
        <v>320</v>
      </c>
      <c r="N170">
        <v>1986</v>
      </c>
      <c r="O170">
        <v>1986</v>
      </c>
      <c r="Q170" t="s">
        <v>3636</v>
      </c>
      <c r="R170" t="s">
        <v>3863</v>
      </c>
      <c r="S170" t="s">
        <v>4018</v>
      </c>
      <c r="T170" t="s">
        <v>3863</v>
      </c>
      <c r="X170">
        <v>0</v>
      </c>
      <c r="AA170">
        <v>0</v>
      </c>
    </row>
    <row r="171" spans="1:27">
      <c r="A171" s="1">
        <v>169</v>
      </c>
      <c r="B171">
        <v>382377</v>
      </c>
      <c r="C171" t="s">
        <v>200</v>
      </c>
      <c r="D171" t="s">
        <v>1214</v>
      </c>
      <c r="E171" t="s">
        <v>2020</v>
      </c>
      <c r="G171">
        <f>"1591143535"</f>
        <v>0</v>
      </c>
      <c r="H171">
        <f>"9781591143536"</f>
        <v>0</v>
      </c>
      <c r="I171">
        <v>0</v>
      </c>
      <c r="J171">
        <v>4.22</v>
      </c>
      <c r="K171" t="s">
        <v>3114</v>
      </c>
      <c r="L171" t="s">
        <v>3491</v>
      </c>
      <c r="M171">
        <v>220</v>
      </c>
      <c r="N171">
        <v>2004</v>
      </c>
      <c r="O171">
        <v>1957</v>
      </c>
      <c r="Q171" t="s">
        <v>3636</v>
      </c>
      <c r="R171" t="s">
        <v>3863</v>
      </c>
      <c r="S171" t="s">
        <v>4019</v>
      </c>
      <c r="T171" t="s">
        <v>3863</v>
      </c>
      <c r="X171">
        <v>0</v>
      </c>
      <c r="AA171">
        <v>0</v>
      </c>
    </row>
    <row r="172" spans="1:27">
      <c r="A172" s="1">
        <v>170</v>
      </c>
      <c r="B172">
        <v>970488</v>
      </c>
      <c r="C172" t="s">
        <v>201</v>
      </c>
      <c r="D172" t="s">
        <v>1215</v>
      </c>
      <c r="E172" t="s">
        <v>2021</v>
      </c>
      <c r="G172">
        <f>"038551445X"</f>
        <v>0</v>
      </c>
      <c r="H172">
        <f>"9780385514453"</f>
        <v>0</v>
      </c>
      <c r="I172">
        <v>0</v>
      </c>
      <c r="J172">
        <v>3.93</v>
      </c>
      <c r="K172" t="s">
        <v>3053</v>
      </c>
      <c r="L172" t="s">
        <v>3492</v>
      </c>
      <c r="M172">
        <v>702</v>
      </c>
      <c r="N172">
        <v>2007</v>
      </c>
      <c r="O172">
        <v>2007</v>
      </c>
      <c r="Q172" t="s">
        <v>3636</v>
      </c>
      <c r="R172" t="s">
        <v>3863</v>
      </c>
      <c r="S172" t="s">
        <v>4020</v>
      </c>
      <c r="T172" t="s">
        <v>3863</v>
      </c>
      <c r="X172">
        <v>0</v>
      </c>
      <c r="AA172">
        <v>0</v>
      </c>
    </row>
    <row r="173" spans="1:27">
      <c r="A173" s="1">
        <v>171</v>
      </c>
      <c r="B173">
        <v>1347479</v>
      </c>
      <c r="C173" t="s">
        <v>202</v>
      </c>
      <c r="D173" t="s">
        <v>1216</v>
      </c>
      <c r="E173" t="s">
        <v>2022</v>
      </c>
      <c r="G173">
        <f>"0525485147"</f>
        <v>0</v>
      </c>
      <c r="H173">
        <f>"9780525485148"</f>
        <v>0</v>
      </c>
      <c r="I173">
        <v>0</v>
      </c>
      <c r="J173">
        <v>3.96</v>
      </c>
      <c r="K173" t="s">
        <v>3014</v>
      </c>
      <c r="L173" t="s">
        <v>3491</v>
      </c>
      <c r="M173">
        <v>272</v>
      </c>
      <c r="N173">
        <v>1989</v>
      </c>
      <c r="O173">
        <v>1987</v>
      </c>
      <c r="Q173" t="s">
        <v>3636</v>
      </c>
      <c r="R173" t="s">
        <v>3863</v>
      </c>
      <c r="S173" t="s">
        <v>4021</v>
      </c>
      <c r="T173" t="s">
        <v>3863</v>
      </c>
      <c r="X173">
        <v>0</v>
      </c>
      <c r="AA173">
        <v>0</v>
      </c>
    </row>
    <row r="174" spans="1:27">
      <c r="A174" s="1">
        <v>172</v>
      </c>
      <c r="B174">
        <v>405790</v>
      </c>
      <c r="C174" t="s">
        <v>203</v>
      </c>
      <c r="D174" t="s">
        <v>1217</v>
      </c>
      <c r="E174" t="s">
        <v>2023</v>
      </c>
      <c r="F174" t="s">
        <v>2717</v>
      </c>
      <c r="G174">
        <f>"0596510047"</f>
        <v>0</v>
      </c>
      <c r="H174">
        <f>"9780596510046"</f>
        <v>0</v>
      </c>
      <c r="I174">
        <v>0</v>
      </c>
      <c r="J174">
        <v>3.75</v>
      </c>
      <c r="K174" t="s">
        <v>3115</v>
      </c>
      <c r="L174" t="s">
        <v>3491</v>
      </c>
      <c r="M174">
        <v>563</v>
      </c>
      <c r="N174">
        <v>2007</v>
      </c>
      <c r="O174">
        <v>2009</v>
      </c>
      <c r="Q174" t="s">
        <v>3636</v>
      </c>
      <c r="R174" t="s">
        <v>3863</v>
      </c>
      <c r="S174" t="s">
        <v>4022</v>
      </c>
      <c r="T174" t="s">
        <v>3863</v>
      </c>
      <c r="X174">
        <v>0</v>
      </c>
      <c r="AA174">
        <v>0</v>
      </c>
    </row>
    <row r="175" spans="1:27">
      <c r="A175" s="1">
        <v>173</v>
      </c>
      <c r="B175">
        <v>15892127</v>
      </c>
      <c r="C175" t="s">
        <v>204</v>
      </c>
      <c r="D175" t="s">
        <v>1218</v>
      </c>
      <c r="E175" t="s">
        <v>2024</v>
      </c>
      <c r="G175">
        <f>"1477697284"</f>
        <v>0</v>
      </c>
      <c r="H175">
        <f>"9781477697283"</f>
        <v>0</v>
      </c>
      <c r="I175">
        <v>0</v>
      </c>
      <c r="J175">
        <v>3.78</v>
      </c>
      <c r="K175" t="s">
        <v>3116</v>
      </c>
      <c r="L175" t="s">
        <v>3491</v>
      </c>
      <c r="M175">
        <v>376</v>
      </c>
      <c r="N175">
        <v>2012</v>
      </c>
      <c r="O175">
        <v>2012</v>
      </c>
      <c r="Q175" t="s">
        <v>3636</v>
      </c>
      <c r="R175" t="s">
        <v>3863</v>
      </c>
      <c r="S175" t="s">
        <v>4023</v>
      </c>
      <c r="T175" t="s">
        <v>3863</v>
      </c>
      <c r="X175">
        <v>0</v>
      </c>
      <c r="AA175">
        <v>0</v>
      </c>
    </row>
    <row r="176" spans="1:27">
      <c r="A176" s="1">
        <v>174</v>
      </c>
      <c r="B176">
        <v>13539039</v>
      </c>
      <c r="C176" t="s">
        <v>205</v>
      </c>
      <c r="D176" t="s">
        <v>1219</v>
      </c>
      <c r="E176" t="s">
        <v>2025</v>
      </c>
      <c r="G176">
        <f>"0374291357"</f>
        <v>0</v>
      </c>
      <c r="H176">
        <f>"9780374291358"</f>
        <v>0</v>
      </c>
      <c r="I176">
        <v>0</v>
      </c>
      <c r="J176">
        <v>3.75</v>
      </c>
      <c r="K176" t="s">
        <v>3117</v>
      </c>
      <c r="L176" t="s">
        <v>3492</v>
      </c>
      <c r="M176">
        <v>222</v>
      </c>
      <c r="N176">
        <v>2012</v>
      </c>
      <c r="O176">
        <v>2012</v>
      </c>
      <c r="Q176" t="s">
        <v>3636</v>
      </c>
      <c r="R176" t="s">
        <v>3863</v>
      </c>
      <c r="S176" t="s">
        <v>4024</v>
      </c>
      <c r="T176" t="s">
        <v>3863</v>
      </c>
      <c r="X176">
        <v>0</v>
      </c>
      <c r="AA176">
        <v>0</v>
      </c>
    </row>
    <row r="177" spans="1:27">
      <c r="A177" s="1">
        <v>175</v>
      </c>
      <c r="B177">
        <v>18634307</v>
      </c>
      <c r="C177" t="s">
        <v>206</v>
      </c>
      <c r="D177" t="s">
        <v>1220</v>
      </c>
      <c r="E177" t="s">
        <v>2026</v>
      </c>
      <c r="G177">
        <f>"1492777862"</f>
        <v>0</v>
      </c>
      <c r="H177">
        <f>"9781492777861"</f>
        <v>0</v>
      </c>
      <c r="I177">
        <v>0</v>
      </c>
      <c r="J177">
        <v>4.2</v>
      </c>
      <c r="K177" t="s">
        <v>3118</v>
      </c>
      <c r="L177" t="s">
        <v>3491</v>
      </c>
      <c r="M177">
        <v>300</v>
      </c>
      <c r="N177">
        <v>2013</v>
      </c>
      <c r="O177">
        <v>2013</v>
      </c>
      <c r="Q177" t="s">
        <v>3636</v>
      </c>
      <c r="R177" t="s">
        <v>3863</v>
      </c>
      <c r="S177" t="s">
        <v>4025</v>
      </c>
      <c r="T177" t="s">
        <v>3863</v>
      </c>
      <c r="X177">
        <v>0</v>
      </c>
      <c r="AA177">
        <v>0</v>
      </c>
    </row>
    <row r="178" spans="1:27">
      <c r="A178" s="1">
        <v>176</v>
      </c>
      <c r="B178">
        <v>722892</v>
      </c>
      <c r="C178" t="s">
        <v>207</v>
      </c>
      <c r="D178" t="s">
        <v>1221</v>
      </c>
      <c r="E178" t="s">
        <v>2027</v>
      </c>
      <c r="G178">
        <f>"0393329011"</f>
        <v>0</v>
      </c>
      <c r="H178">
        <f>"9780393329018"</f>
        <v>0</v>
      </c>
      <c r="I178">
        <v>0</v>
      </c>
      <c r="J178">
        <v>3.7</v>
      </c>
      <c r="K178" t="s">
        <v>3038</v>
      </c>
      <c r="L178" t="s">
        <v>3491</v>
      </c>
      <c r="M178">
        <v>480</v>
      </c>
      <c r="N178">
        <v>2006</v>
      </c>
      <c r="O178">
        <v>2005</v>
      </c>
      <c r="Q178" t="s">
        <v>3636</v>
      </c>
      <c r="R178" t="s">
        <v>3863</v>
      </c>
      <c r="S178" t="s">
        <v>4026</v>
      </c>
      <c r="T178" t="s">
        <v>3863</v>
      </c>
      <c r="X178">
        <v>0</v>
      </c>
      <c r="AA178">
        <v>0</v>
      </c>
    </row>
    <row r="179" spans="1:27">
      <c r="A179" s="1">
        <v>177</v>
      </c>
      <c r="B179">
        <v>184084</v>
      </c>
      <c r="C179" t="s">
        <v>208</v>
      </c>
      <c r="D179" t="s">
        <v>1222</v>
      </c>
      <c r="E179" t="s">
        <v>2028</v>
      </c>
      <c r="G179">
        <f>"0804729603"</f>
        <v>0</v>
      </c>
      <c r="H179">
        <f>"9780804729604"</f>
        <v>0</v>
      </c>
      <c r="I179">
        <v>0</v>
      </c>
      <c r="J179">
        <v>4.08</v>
      </c>
      <c r="K179" t="s">
        <v>3119</v>
      </c>
      <c r="L179" t="s">
        <v>3491</v>
      </c>
      <c r="M179">
        <v>236</v>
      </c>
      <c r="N179">
        <v>1997</v>
      </c>
      <c r="O179">
        <v>1995</v>
      </c>
      <c r="Q179" t="s">
        <v>3636</v>
      </c>
      <c r="R179" t="s">
        <v>3863</v>
      </c>
      <c r="S179" t="s">
        <v>4027</v>
      </c>
      <c r="T179" t="s">
        <v>3863</v>
      </c>
      <c r="X179">
        <v>0</v>
      </c>
      <c r="AA179">
        <v>0</v>
      </c>
    </row>
    <row r="180" spans="1:27">
      <c r="A180" s="1">
        <v>178</v>
      </c>
      <c r="B180">
        <v>2719768</v>
      </c>
      <c r="C180" t="s">
        <v>209</v>
      </c>
      <c r="D180" t="s">
        <v>1223</v>
      </c>
      <c r="E180" t="s">
        <v>2029</v>
      </c>
      <c r="G180">
        <f>"0387001255"</f>
        <v>0</v>
      </c>
      <c r="H180">
        <f>"9780387001258"</f>
        <v>0</v>
      </c>
      <c r="I180">
        <v>0</v>
      </c>
      <c r="J180">
        <v>4</v>
      </c>
      <c r="K180" t="s">
        <v>3120</v>
      </c>
      <c r="L180" t="s">
        <v>3492</v>
      </c>
      <c r="M180">
        <v>262</v>
      </c>
      <c r="N180">
        <v>2003</v>
      </c>
      <c r="O180">
        <v>2003</v>
      </c>
      <c r="Q180" t="s">
        <v>3636</v>
      </c>
      <c r="R180" t="s">
        <v>3863</v>
      </c>
      <c r="S180" t="s">
        <v>4028</v>
      </c>
      <c r="T180" t="s">
        <v>3863</v>
      </c>
      <c r="X180">
        <v>0</v>
      </c>
      <c r="AA180">
        <v>0</v>
      </c>
    </row>
    <row r="181" spans="1:27">
      <c r="A181" s="1">
        <v>179</v>
      </c>
      <c r="B181">
        <v>13545120</v>
      </c>
      <c r="C181" t="s">
        <v>210</v>
      </c>
      <c r="D181" t="s">
        <v>1224</v>
      </c>
      <c r="E181" t="s">
        <v>2030</v>
      </c>
      <c r="G181">
        <f>"1451611471"</f>
        <v>0</v>
      </c>
      <c r="H181">
        <f>"9781451611472"</f>
        <v>0</v>
      </c>
      <c r="I181">
        <v>0</v>
      </c>
      <c r="J181">
        <v>3.9</v>
      </c>
      <c r="K181" t="s">
        <v>3121</v>
      </c>
      <c r="L181" t="s">
        <v>3494</v>
      </c>
      <c r="M181">
        <v>544</v>
      </c>
      <c r="N181">
        <v>2013</v>
      </c>
      <c r="O181">
        <v>2013</v>
      </c>
      <c r="Q181" t="s">
        <v>3636</v>
      </c>
      <c r="R181" t="s">
        <v>3863</v>
      </c>
      <c r="S181" t="s">
        <v>4029</v>
      </c>
      <c r="T181" t="s">
        <v>3863</v>
      </c>
      <c r="X181">
        <v>0</v>
      </c>
      <c r="AA181">
        <v>0</v>
      </c>
    </row>
    <row r="182" spans="1:27">
      <c r="A182" s="1">
        <v>180</v>
      </c>
      <c r="B182">
        <v>2530094</v>
      </c>
      <c r="C182" t="s">
        <v>211</v>
      </c>
      <c r="D182" t="s">
        <v>1225</v>
      </c>
      <c r="E182" t="s">
        <v>2031</v>
      </c>
      <c r="G182">
        <f>"0231144407"</f>
        <v>0</v>
      </c>
      <c r="H182">
        <f>"9780231144407"</f>
        <v>0</v>
      </c>
      <c r="I182">
        <v>0</v>
      </c>
      <c r="J182">
        <v>4.17</v>
      </c>
      <c r="K182" t="s">
        <v>3122</v>
      </c>
      <c r="L182" t="s">
        <v>3492</v>
      </c>
      <c r="M182">
        <v>196</v>
      </c>
      <c r="N182">
        <v>2008</v>
      </c>
      <c r="O182">
        <v>2008</v>
      </c>
      <c r="Q182" t="s">
        <v>3636</v>
      </c>
      <c r="R182" t="s">
        <v>3863</v>
      </c>
      <c r="S182" t="s">
        <v>4030</v>
      </c>
      <c r="T182" t="s">
        <v>3863</v>
      </c>
      <c r="X182">
        <v>0</v>
      </c>
      <c r="AA182">
        <v>0</v>
      </c>
    </row>
    <row r="183" spans="1:27">
      <c r="A183" s="1">
        <v>181</v>
      </c>
      <c r="B183">
        <v>1062693</v>
      </c>
      <c r="C183" t="s">
        <v>212</v>
      </c>
      <c r="D183" t="s">
        <v>1226</v>
      </c>
      <c r="E183" t="s">
        <v>2032</v>
      </c>
      <c r="G183">
        <f>"0816638608"</f>
        <v>0</v>
      </c>
      <c r="H183">
        <f>"9780816638604"</f>
        <v>0</v>
      </c>
      <c r="I183">
        <v>0</v>
      </c>
      <c r="J183">
        <v>4.07</v>
      </c>
      <c r="K183" t="s">
        <v>3123</v>
      </c>
      <c r="L183" t="s">
        <v>3491</v>
      </c>
      <c r="M183">
        <v>344</v>
      </c>
      <c r="N183">
        <v>2004</v>
      </c>
      <c r="O183">
        <v>2004</v>
      </c>
      <c r="Q183" t="s">
        <v>3636</v>
      </c>
      <c r="R183" t="s">
        <v>3863</v>
      </c>
      <c r="S183" t="s">
        <v>4031</v>
      </c>
      <c r="T183" t="s">
        <v>3863</v>
      </c>
      <c r="X183">
        <v>0</v>
      </c>
      <c r="AA183">
        <v>0</v>
      </c>
    </row>
    <row r="184" spans="1:27">
      <c r="A184" s="1">
        <v>182</v>
      </c>
      <c r="B184">
        <v>168350</v>
      </c>
      <c r="C184" t="s">
        <v>213</v>
      </c>
      <c r="D184" t="s">
        <v>1227</v>
      </c>
      <c r="E184" t="s">
        <v>2033</v>
      </c>
      <c r="F184" t="s">
        <v>2718</v>
      </c>
      <c r="G184">
        <f>"0811206807"</f>
        <v>0</v>
      </c>
      <c r="H184">
        <f>"9780811206808"</f>
        <v>0</v>
      </c>
      <c r="I184">
        <v>0</v>
      </c>
      <c r="J184">
        <v>4.05</v>
      </c>
      <c r="K184" t="s">
        <v>3124</v>
      </c>
      <c r="L184" t="s">
        <v>3491</v>
      </c>
      <c r="M184">
        <v>202</v>
      </c>
      <c r="N184">
        <v>1978</v>
      </c>
      <c r="O184">
        <v>1938</v>
      </c>
      <c r="Q184" t="s">
        <v>3638</v>
      </c>
      <c r="R184" t="s">
        <v>3863</v>
      </c>
      <c r="S184" t="s">
        <v>4032</v>
      </c>
      <c r="T184" t="s">
        <v>3863</v>
      </c>
      <c r="X184">
        <v>0</v>
      </c>
      <c r="AA184">
        <v>0</v>
      </c>
    </row>
    <row r="185" spans="1:27">
      <c r="A185" s="1">
        <v>183</v>
      </c>
      <c r="B185">
        <v>16167926</v>
      </c>
      <c r="C185" t="s">
        <v>214</v>
      </c>
      <c r="D185" t="s">
        <v>1228</v>
      </c>
      <c r="E185" t="s">
        <v>2034</v>
      </c>
      <c r="G185">
        <f>"0801451639"</f>
        <v>0</v>
      </c>
      <c r="H185">
        <f>"9780801451638"</f>
        <v>0</v>
      </c>
      <c r="I185">
        <v>0</v>
      </c>
      <c r="J185">
        <v>3.75</v>
      </c>
      <c r="K185" t="s">
        <v>3056</v>
      </c>
      <c r="L185" t="s">
        <v>3492</v>
      </c>
      <c r="M185">
        <v>176</v>
      </c>
      <c r="N185">
        <v>2013</v>
      </c>
      <c r="O185">
        <v>2013</v>
      </c>
      <c r="Q185" t="s">
        <v>3638</v>
      </c>
      <c r="R185" t="s">
        <v>3863</v>
      </c>
      <c r="S185" t="s">
        <v>4033</v>
      </c>
      <c r="T185" t="s">
        <v>3863</v>
      </c>
      <c r="X185">
        <v>0</v>
      </c>
      <c r="AA185">
        <v>0</v>
      </c>
    </row>
    <row r="186" spans="1:27">
      <c r="A186" s="1">
        <v>184</v>
      </c>
      <c r="B186">
        <v>316767</v>
      </c>
      <c r="C186" t="s">
        <v>215</v>
      </c>
      <c r="D186" t="s">
        <v>1229</v>
      </c>
      <c r="E186" t="s">
        <v>2035</v>
      </c>
      <c r="G186">
        <f>"0691123241"</f>
        <v>0</v>
      </c>
      <c r="H186">
        <f>"9780691123240"</f>
        <v>0</v>
      </c>
      <c r="I186">
        <v>0</v>
      </c>
      <c r="J186">
        <v>3.83</v>
      </c>
      <c r="K186" t="s">
        <v>3016</v>
      </c>
      <c r="L186" t="s">
        <v>3492</v>
      </c>
      <c r="M186">
        <v>392</v>
      </c>
      <c r="N186">
        <v>2006</v>
      </c>
      <c r="O186">
        <v>2006</v>
      </c>
      <c r="Q186" t="s">
        <v>3638</v>
      </c>
      <c r="R186" t="s">
        <v>3863</v>
      </c>
      <c r="S186" t="s">
        <v>4034</v>
      </c>
      <c r="T186" t="s">
        <v>3863</v>
      </c>
      <c r="X186">
        <v>0</v>
      </c>
      <c r="AA186">
        <v>0</v>
      </c>
    </row>
    <row r="187" spans="1:27">
      <c r="A187" s="1">
        <v>185</v>
      </c>
      <c r="B187">
        <v>18736925</v>
      </c>
      <c r="C187" t="s">
        <v>216</v>
      </c>
      <c r="D187" t="s">
        <v>1230</v>
      </c>
      <c r="E187" t="s">
        <v>2036</v>
      </c>
      <c r="F187" t="s">
        <v>2719</v>
      </c>
      <c r="G187">
        <f>"067443000X"</f>
        <v>0</v>
      </c>
      <c r="H187">
        <f>"9780674430006"</f>
        <v>0</v>
      </c>
      <c r="I187">
        <v>0</v>
      </c>
      <c r="J187">
        <v>4.04</v>
      </c>
      <c r="K187" t="s">
        <v>3065</v>
      </c>
      <c r="L187" t="s">
        <v>3492</v>
      </c>
      <c r="M187">
        <v>685</v>
      </c>
      <c r="N187">
        <v>2014</v>
      </c>
      <c r="O187">
        <v>2013</v>
      </c>
      <c r="Q187" t="s">
        <v>3638</v>
      </c>
      <c r="R187" t="s">
        <v>3863</v>
      </c>
      <c r="S187" t="s">
        <v>4035</v>
      </c>
      <c r="T187" t="s">
        <v>3863</v>
      </c>
      <c r="X187">
        <v>0</v>
      </c>
      <c r="AA187">
        <v>0</v>
      </c>
    </row>
    <row r="188" spans="1:27">
      <c r="A188" s="1">
        <v>186</v>
      </c>
      <c r="B188">
        <v>22182041</v>
      </c>
      <c r="C188" t="s">
        <v>217</v>
      </c>
      <c r="D188" t="s">
        <v>1231</v>
      </c>
      <c r="E188" t="s">
        <v>2037</v>
      </c>
      <c r="G188">
        <f>""</f>
        <v>0</v>
      </c>
      <c r="H188">
        <f>""</f>
        <v>0</v>
      </c>
      <c r="I188">
        <v>0</v>
      </c>
      <c r="J188">
        <v>4.33</v>
      </c>
      <c r="K188" t="s">
        <v>3039</v>
      </c>
      <c r="L188" t="s">
        <v>3491</v>
      </c>
      <c r="M188">
        <v>326</v>
      </c>
      <c r="N188">
        <v>2014</v>
      </c>
      <c r="O188">
        <v>2014</v>
      </c>
      <c r="Q188" t="s">
        <v>3638</v>
      </c>
      <c r="R188" t="s">
        <v>3863</v>
      </c>
      <c r="S188" t="s">
        <v>4036</v>
      </c>
      <c r="T188" t="s">
        <v>3863</v>
      </c>
      <c r="X188">
        <v>0</v>
      </c>
      <c r="AA188">
        <v>0</v>
      </c>
    </row>
    <row r="189" spans="1:27">
      <c r="A189" s="1">
        <v>187</v>
      </c>
      <c r="B189">
        <v>198505</v>
      </c>
      <c r="C189" t="s">
        <v>218</v>
      </c>
      <c r="D189" t="s">
        <v>1206</v>
      </c>
      <c r="E189" t="s">
        <v>2012</v>
      </c>
      <c r="G189">
        <f>"075531218X"</f>
        <v>0</v>
      </c>
      <c r="H189">
        <f>"9780755312184"</f>
        <v>0</v>
      </c>
      <c r="I189">
        <v>0</v>
      </c>
      <c r="J189">
        <v>4.14</v>
      </c>
      <c r="K189" t="s">
        <v>3125</v>
      </c>
      <c r="L189" t="s">
        <v>3491</v>
      </c>
      <c r="M189">
        <v>240</v>
      </c>
      <c r="N189">
        <v>2002</v>
      </c>
      <c r="O189">
        <v>2002</v>
      </c>
      <c r="Q189" t="s">
        <v>3638</v>
      </c>
      <c r="R189" t="s">
        <v>3863</v>
      </c>
      <c r="S189" t="s">
        <v>4037</v>
      </c>
      <c r="T189" t="s">
        <v>3863</v>
      </c>
      <c r="X189">
        <v>0</v>
      </c>
      <c r="AA189">
        <v>0</v>
      </c>
    </row>
    <row r="190" spans="1:27">
      <c r="A190" s="1">
        <v>188</v>
      </c>
      <c r="B190">
        <v>202698</v>
      </c>
      <c r="C190" t="s">
        <v>219</v>
      </c>
      <c r="D190" t="s">
        <v>1232</v>
      </c>
      <c r="E190" t="s">
        <v>2038</v>
      </c>
      <c r="F190" t="s">
        <v>2720</v>
      </c>
      <c r="G190">
        <f>"0385334966"</f>
        <v>0</v>
      </c>
      <c r="H190">
        <f>"9780385334969"</f>
        <v>0</v>
      </c>
      <c r="I190">
        <v>0</v>
      </c>
      <c r="J190">
        <v>4.09</v>
      </c>
      <c r="K190" t="s">
        <v>3070</v>
      </c>
      <c r="L190" t="s">
        <v>3491</v>
      </c>
      <c r="M190">
        <v>319</v>
      </c>
      <c r="N190">
        <v>2000</v>
      </c>
      <c r="O190">
        <v>1999</v>
      </c>
      <c r="Q190" t="s">
        <v>3638</v>
      </c>
      <c r="R190" t="s">
        <v>3863</v>
      </c>
      <c r="S190" t="s">
        <v>4038</v>
      </c>
      <c r="T190" t="s">
        <v>3863</v>
      </c>
      <c r="X190">
        <v>0</v>
      </c>
      <c r="AA190">
        <v>0</v>
      </c>
    </row>
    <row r="191" spans="1:27">
      <c r="A191" s="1">
        <v>189</v>
      </c>
      <c r="B191">
        <v>20694748</v>
      </c>
      <c r="C191" t="s">
        <v>220</v>
      </c>
      <c r="D191" t="s">
        <v>1233</v>
      </c>
      <c r="E191" t="s">
        <v>2039</v>
      </c>
      <c r="G191">
        <f>"022617509X"</f>
        <v>0</v>
      </c>
      <c r="H191">
        <f>"9780226175096"</f>
        <v>0</v>
      </c>
      <c r="I191">
        <v>0</v>
      </c>
      <c r="J191">
        <v>4.15</v>
      </c>
      <c r="K191" t="s">
        <v>3052</v>
      </c>
      <c r="L191" t="s">
        <v>3492</v>
      </c>
      <c r="M191">
        <v>464</v>
      </c>
      <c r="N191">
        <v>2014</v>
      </c>
      <c r="O191">
        <v>2014</v>
      </c>
      <c r="Q191" t="s">
        <v>3638</v>
      </c>
      <c r="R191" t="s">
        <v>3863</v>
      </c>
      <c r="S191" t="s">
        <v>4039</v>
      </c>
      <c r="T191" t="s">
        <v>3863</v>
      </c>
      <c r="X191">
        <v>0</v>
      </c>
      <c r="AA191">
        <v>0</v>
      </c>
    </row>
    <row r="192" spans="1:27">
      <c r="A192" s="1">
        <v>190</v>
      </c>
      <c r="B192">
        <v>15708588</v>
      </c>
      <c r="C192" t="s">
        <v>221</v>
      </c>
      <c r="D192" t="s">
        <v>1234</v>
      </c>
      <c r="E192" t="s">
        <v>2040</v>
      </c>
      <c r="G192">
        <f>"0985318112"</f>
        <v>0</v>
      </c>
      <c r="H192">
        <f>"9780985318116"</f>
        <v>0</v>
      </c>
      <c r="I192">
        <v>0</v>
      </c>
      <c r="J192">
        <v>3.81</v>
      </c>
      <c r="K192" t="s">
        <v>3126</v>
      </c>
      <c r="L192" t="s">
        <v>3497</v>
      </c>
      <c r="M192">
        <v>264</v>
      </c>
      <c r="N192">
        <v>2012</v>
      </c>
      <c r="O192">
        <v>2012</v>
      </c>
      <c r="Q192" t="s">
        <v>3638</v>
      </c>
      <c r="R192" t="s">
        <v>3863</v>
      </c>
      <c r="S192" t="s">
        <v>4040</v>
      </c>
      <c r="T192" t="s">
        <v>3863</v>
      </c>
      <c r="X192">
        <v>0</v>
      </c>
      <c r="AA192">
        <v>0</v>
      </c>
    </row>
    <row r="193" spans="1:27">
      <c r="A193" s="1">
        <v>191</v>
      </c>
      <c r="B193">
        <v>320794</v>
      </c>
      <c r="C193" t="s">
        <v>222</v>
      </c>
      <c r="D193" t="s">
        <v>1235</v>
      </c>
      <c r="E193" t="s">
        <v>2041</v>
      </c>
      <c r="G193">
        <f>"0824830180"</f>
        <v>0</v>
      </c>
      <c r="H193">
        <f>"9780824830182"</f>
        <v>0</v>
      </c>
      <c r="I193">
        <v>0</v>
      </c>
      <c r="J193">
        <v>3.45</v>
      </c>
      <c r="K193" t="s">
        <v>3080</v>
      </c>
      <c r="L193" t="s">
        <v>3491</v>
      </c>
      <c r="M193">
        <v>280</v>
      </c>
      <c r="N193">
        <v>2006</v>
      </c>
      <c r="O193">
        <v>2006</v>
      </c>
      <c r="Q193" t="s">
        <v>3638</v>
      </c>
      <c r="R193" t="s">
        <v>3863</v>
      </c>
      <c r="S193" t="s">
        <v>4041</v>
      </c>
      <c r="T193" t="s">
        <v>3863</v>
      </c>
      <c r="X193">
        <v>0</v>
      </c>
      <c r="AA193">
        <v>0</v>
      </c>
    </row>
    <row r="194" spans="1:27">
      <c r="A194" s="1">
        <v>192</v>
      </c>
      <c r="B194">
        <v>13837890</v>
      </c>
      <c r="C194" t="s">
        <v>223</v>
      </c>
      <c r="D194" t="s">
        <v>1236</v>
      </c>
      <c r="E194" t="s">
        <v>2042</v>
      </c>
      <c r="G194">
        <f>"1118063252"</f>
        <v>0</v>
      </c>
      <c r="H194">
        <f>"9781118063255"</f>
        <v>0</v>
      </c>
      <c r="I194">
        <v>0</v>
      </c>
      <c r="J194">
        <v>4</v>
      </c>
      <c r="K194" t="s">
        <v>3127</v>
      </c>
      <c r="L194" t="s">
        <v>3491</v>
      </c>
      <c r="M194">
        <v>328</v>
      </c>
      <c r="N194">
        <v>2016</v>
      </c>
      <c r="O194">
        <v>2012</v>
      </c>
      <c r="Q194" t="s">
        <v>3638</v>
      </c>
      <c r="R194" t="s">
        <v>3863</v>
      </c>
      <c r="S194" t="s">
        <v>4042</v>
      </c>
      <c r="T194" t="s">
        <v>3863</v>
      </c>
      <c r="X194">
        <v>0</v>
      </c>
      <c r="AA194">
        <v>0</v>
      </c>
    </row>
    <row r="195" spans="1:27">
      <c r="A195" s="1">
        <v>193</v>
      </c>
      <c r="B195">
        <v>101996</v>
      </c>
      <c r="C195" t="s">
        <v>224</v>
      </c>
      <c r="D195" t="s">
        <v>1237</v>
      </c>
      <c r="E195" t="s">
        <v>2043</v>
      </c>
      <c r="F195" t="s">
        <v>2721</v>
      </c>
      <c r="G195">
        <f>"0802150861"</f>
        <v>0</v>
      </c>
      <c r="H195">
        <f>"9780802150868"</f>
        <v>0</v>
      </c>
      <c r="I195">
        <v>0</v>
      </c>
      <c r="J195">
        <v>3.79</v>
      </c>
      <c r="K195" t="s">
        <v>3128</v>
      </c>
      <c r="L195" t="s">
        <v>3491</v>
      </c>
      <c r="M195">
        <v>256</v>
      </c>
      <c r="N195">
        <v>1994</v>
      </c>
      <c r="O195">
        <v>1953</v>
      </c>
      <c r="Q195" t="s">
        <v>3638</v>
      </c>
      <c r="R195" t="s">
        <v>3863</v>
      </c>
      <c r="S195" t="s">
        <v>4043</v>
      </c>
      <c r="T195" t="s">
        <v>3863</v>
      </c>
      <c r="X195">
        <v>0</v>
      </c>
      <c r="AA195">
        <v>0</v>
      </c>
    </row>
    <row r="196" spans="1:27">
      <c r="A196" s="1">
        <v>194</v>
      </c>
      <c r="B196">
        <v>1722432</v>
      </c>
      <c r="C196" t="s">
        <v>225</v>
      </c>
      <c r="D196" t="s">
        <v>1238</v>
      </c>
      <c r="E196" t="s">
        <v>2044</v>
      </c>
      <c r="F196" t="s">
        <v>2722</v>
      </c>
      <c r="G196">
        <f>"0841912327"</f>
        <v>0</v>
      </c>
      <c r="H196">
        <f>"9780841912328"</f>
        <v>0</v>
      </c>
      <c r="I196">
        <v>0</v>
      </c>
      <c r="J196">
        <v>4.19</v>
      </c>
      <c r="K196" t="s">
        <v>3129</v>
      </c>
      <c r="L196" t="s">
        <v>3492</v>
      </c>
      <c r="M196">
        <v>390</v>
      </c>
      <c r="N196">
        <v>1997</v>
      </c>
      <c r="O196">
        <v>1987</v>
      </c>
      <c r="Q196" t="s">
        <v>3638</v>
      </c>
      <c r="R196" t="s">
        <v>3863</v>
      </c>
      <c r="S196" t="s">
        <v>4044</v>
      </c>
      <c r="T196" t="s">
        <v>3863</v>
      </c>
      <c r="X196">
        <v>0</v>
      </c>
      <c r="AA196">
        <v>0</v>
      </c>
    </row>
    <row r="197" spans="1:27">
      <c r="A197" s="1">
        <v>195</v>
      </c>
      <c r="B197">
        <v>193749</v>
      </c>
      <c r="C197" t="s">
        <v>226</v>
      </c>
      <c r="D197" t="s">
        <v>1239</v>
      </c>
      <c r="E197" t="s">
        <v>2045</v>
      </c>
      <c r="G197">
        <f>""</f>
        <v>0</v>
      </c>
      <c r="H197">
        <f>"9780449227138"</f>
        <v>0</v>
      </c>
      <c r="I197">
        <v>0</v>
      </c>
      <c r="J197">
        <v>4.33</v>
      </c>
      <c r="K197" t="s">
        <v>3130</v>
      </c>
      <c r="L197" t="s">
        <v>3495</v>
      </c>
      <c r="M197">
        <v>288</v>
      </c>
      <c r="N197">
        <v>1997</v>
      </c>
      <c r="O197">
        <v>1996</v>
      </c>
      <c r="Q197" t="s">
        <v>3638</v>
      </c>
      <c r="R197" t="s">
        <v>3863</v>
      </c>
      <c r="S197" t="s">
        <v>4045</v>
      </c>
      <c r="T197" t="s">
        <v>3863</v>
      </c>
      <c r="X197">
        <v>0</v>
      </c>
      <c r="AA197">
        <v>0</v>
      </c>
    </row>
    <row r="198" spans="1:27">
      <c r="A198" s="1">
        <v>196</v>
      </c>
      <c r="B198">
        <v>30804383</v>
      </c>
      <c r="C198" t="s">
        <v>227</v>
      </c>
      <c r="D198" t="s">
        <v>1240</v>
      </c>
      <c r="E198" t="s">
        <v>2046</v>
      </c>
      <c r="G198">
        <f>"159327758X"</f>
        <v>0</v>
      </c>
      <c r="H198">
        <f>"9781593277581"</f>
        <v>0</v>
      </c>
      <c r="I198">
        <v>0</v>
      </c>
      <c r="J198">
        <v>4.27</v>
      </c>
      <c r="K198" t="s">
        <v>3131</v>
      </c>
      <c r="L198" t="s">
        <v>3492</v>
      </c>
      <c r="M198">
        <v>396</v>
      </c>
      <c r="N198">
        <v>2017</v>
      </c>
      <c r="O198">
        <v>2017</v>
      </c>
      <c r="Q198" t="s">
        <v>3638</v>
      </c>
      <c r="R198" t="s">
        <v>3863</v>
      </c>
      <c r="S198" t="s">
        <v>4046</v>
      </c>
      <c r="T198" t="s">
        <v>3863</v>
      </c>
      <c r="X198">
        <v>0</v>
      </c>
      <c r="AA198">
        <v>0</v>
      </c>
    </row>
    <row r="199" spans="1:27">
      <c r="A199" s="1">
        <v>197</v>
      </c>
      <c r="B199">
        <v>29940854</v>
      </c>
      <c r="C199" t="s">
        <v>228</v>
      </c>
      <c r="D199" t="s">
        <v>1241</v>
      </c>
      <c r="E199" t="s">
        <v>2047</v>
      </c>
      <c r="G199">
        <f>"0674743806"</f>
        <v>0</v>
      </c>
      <c r="H199">
        <f>"9780674743809"</f>
        <v>0</v>
      </c>
      <c r="I199">
        <v>0</v>
      </c>
      <c r="J199">
        <v>3.98</v>
      </c>
      <c r="K199" t="s">
        <v>3057</v>
      </c>
      <c r="L199" t="s">
        <v>3492</v>
      </c>
      <c r="M199">
        <v>400</v>
      </c>
      <c r="N199">
        <v>2016</v>
      </c>
      <c r="O199">
        <v>2016</v>
      </c>
      <c r="Q199" t="s">
        <v>3638</v>
      </c>
      <c r="R199" t="s">
        <v>3863</v>
      </c>
      <c r="S199" t="s">
        <v>4047</v>
      </c>
      <c r="T199" t="s">
        <v>3863</v>
      </c>
      <c r="X199">
        <v>0</v>
      </c>
      <c r="AA199">
        <v>0</v>
      </c>
    </row>
    <row r="200" spans="1:27">
      <c r="A200" s="1">
        <v>198</v>
      </c>
      <c r="B200">
        <v>8524528</v>
      </c>
      <c r="C200" t="s">
        <v>229</v>
      </c>
      <c r="D200" t="s">
        <v>1242</v>
      </c>
      <c r="E200" t="s">
        <v>2048</v>
      </c>
      <c r="F200" t="s">
        <v>2723</v>
      </c>
      <c r="G200">
        <f>"098242969X"</f>
        <v>0</v>
      </c>
      <c r="H200">
        <f>"9780982429693"</f>
        <v>0</v>
      </c>
      <c r="I200">
        <v>0</v>
      </c>
      <c r="J200">
        <v>4.07</v>
      </c>
      <c r="K200" t="s">
        <v>3132</v>
      </c>
      <c r="L200" t="s">
        <v>3492</v>
      </c>
      <c r="M200">
        <v>240</v>
      </c>
      <c r="N200">
        <v>2010</v>
      </c>
      <c r="O200">
        <v>2011</v>
      </c>
      <c r="Q200" t="s">
        <v>3638</v>
      </c>
      <c r="R200" t="s">
        <v>3863</v>
      </c>
      <c r="S200" t="s">
        <v>4048</v>
      </c>
      <c r="T200" t="s">
        <v>3863</v>
      </c>
      <c r="X200">
        <v>0</v>
      </c>
      <c r="AA200">
        <v>0</v>
      </c>
    </row>
    <row r="201" spans="1:27">
      <c r="A201" s="1">
        <v>199</v>
      </c>
      <c r="B201">
        <v>25330245</v>
      </c>
      <c r="C201" t="s">
        <v>230</v>
      </c>
      <c r="D201" t="s">
        <v>1243</v>
      </c>
      <c r="E201" t="s">
        <v>2049</v>
      </c>
      <c r="F201" t="s">
        <v>2724</v>
      </c>
      <c r="G201">
        <f>"1556594895"</f>
        <v>0</v>
      </c>
      <c r="H201">
        <f>"9781556594892"</f>
        <v>0</v>
      </c>
      <c r="I201">
        <v>0</v>
      </c>
      <c r="J201">
        <v>4.31</v>
      </c>
      <c r="K201" t="s">
        <v>3133</v>
      </c>
      <c r="L201" t="s">
        <v>3491</v>
      </c>
      <c r="M201">
        <v>398</v>
      </c>
      <c r="N201">
        <v>2016</v>
      </c>
      <c r="O201">
        <v>2015</v>
      </c>
      <c r="Q201" t="s">
        <v>3638</v>
      </c>
      <c r="R201" t="s">
        <v>3863</v>
      </c>
      <c r="S201" t="s">
        <v>4049</v>
      </c>
      <c r="T201" t="s">
        <v>3863</v>
      </c>
      <c r="X201">
        <v>0</v>
      </c>
      <c r="AA201">
        <v>0</v>
      </c>
    </row>
    <row r="202" spans="1:27">
      <c r="A202" s="1">
        <v>200</v>
      </c>
      <c r="B202">
        <v>922115</v>
      </c>
      <c r="C202" t="s">
        <v>231</v>
      </c>
      <c r="D202" t="s">
        <v>1244</v>
      </c>
      <c r="E202" t="s">
        <v>2050</v>
      </c>
      <c r="G202">
        <f>"0224063049"</f>
        <v>0</v>
      </c>
      <c r="H202">
        <f>"9780224063043"</f>
        <v>0</v>
      </c>
      <c r="I202">
        <v>0</v>
      </c>
      <c r="J202">
        <v>4.49</v>
      </c>
      <c r="K202" t="s">
        <v>3134</v>
      </c>
      <c r="L202" t="s">
        <v>3492</v>
      </c>
      <c r="M202">
        <v>232</v>
      </c>
      <c r="N202">
        <v>2002</v>
      </c>
      <c r="O202">
        <v>1999</v>
      </c>
      <c r="Q202" t="s">
        <v>3638</v>
      </c>
      <c r="R202" t="s">
        <v>3863</v>
      </c>
      <c r="S202" t="s">
        <v>4050</v>
      </c>
      <c r="T202" t="s">
        <v>3863</v>
      </c>
      <c r="X202">
        <v>0</v>
      </c>
      <c r="AA202">
        <v>0</v>
      </c>
    </row>
    <row r="203" spans="1:27">
      <c r="A203" s="1">
        <v>201</v>
      </c>
      <c r="B203">
        <v>815790</v>
      </c>
      <c r="C203" t="s">
        <v>232</v>
      </c>
      <c r="D203" t="s">
        <v>1245</v>
      </c>
      <c r="E203" t="s">
        <v>2051</v>
      </c>
      <c r="F203" t="s">
        <v>2725</v>
      </c>
      <c r="G203">
        <f>"1873200137"</f>
        <v>0</v>
      </c>
      <c r="H203">
        <f>"9781873200131"</f>
        <v>0</v>
      </c>
      <c r="I203">
        <v>0</v>
      </c>
      <c r="J203">
        <v>4.65</v>
      </c>
      <c r="K203" t="s">
        <v>3135</v>
      </c>
      <c r="L203" t="s">
        <v>3491</v>
      </c>
      <c r="M203">
        <v>216</v>
      </c>
      <c r="N203">
        <v>1993</v>
      </c>
      <c r="O203">
        <v>1993</v>
      </c>
      <c r="Q203" t="s">
        <v>3638</v>
      </c>
      <c r="R203" t="s">
        <v>3863</v>
      </c>
      <c r="S203" t="s">
        <v>4051</v>
      </c>
      <c r="T203" t="s">
        <v>3863</v>
      </c>
      <c r="X203">
        <v>0</v>
      </c>
      <c r="AA203">
        <v>0</v>
      </c>
    </row>
    <row r="204" spans="1:27">
      <c r="A204" s="1">
        <v>202</v>
      </c>
      <c r="B204">
        <v>35840683</v>
      </c>
      <c r="C204" t="s">
        <v>233</v>
      </c>
      <c r="D204" t="s">
        <v>1246</v>
      </c>
      <c r="E204" t="s">
        <v>2052</v>
      </c>
      <c r="G204">
        <f>"1619029502"</f>
        <v>0</v>
      </c>
      <c r="H204">
        <f>"9781619029507"</f>
        <v>0</v>
      </c>
      <c r="I204">
        <v>0</v>
      </c>
      <c r="J204">
        <v>3.26</v>
      </c>
      <c r="K204" t="s">
        <v>3136</v>
      </c>
      <c r="L204" t="s">
        <v>3492</v>
      </c>
      <c r="M204">
        <v>400</v>
      </c>
      <c r="N204">
        <v>2017</v>
      </c>
      <c r="O204">
        <v>2017</v>
      </c>
      <c r="Q204" t="s">
        <v>3639</v>
      </c>
      <c r="R204" t="s">
        <v>3863</v>
      </c>
      <c r="S204" t="s">
        <v>4052</v>
      </c>
      <c r="T204" t="s">
        <v>3863</v>
      </c>
      <c r="X204">
        <v>0</v>
      </c>
      <c r="AA204">
        <v>0</v>
      </c>
    </row>
    <row r="205" spans="1:27">
      <c r="A205" s="1">
        <v>203</v>
      </c>
      <c r="B205">
        <v>34930832</v>
      </c>
      <c r="C205" t="s">
        <v>234</v>
      </c>
      <c r="D205" t="s">
        <v>1247</v>
      </c>
      <c r="E205" t="s">
        <v>2053</v>
      </c>
      <c r="G205">
        <f>"1250127823"</f>
        <v>0</v>
      </c>
      <c r="H205">
        <f>"9781250127822"</f>
        <v>0</v>
      </c>
      <c r="I205">
        <v>0</v>
      </c>
      <c r="J205">
        <v>4.08</v>
      </c>
      <c r="K205" t="s">
        <v>3137</v>
      </c>
      <c r="L205" t="s">
        <v>3492</v>
      </c>
      <c r="M205">
        <v>304</v>
      </c>
      <c r="N205">
        <v>2018</v>
      </c>
      <c r="O205">
        <v>2018</v>
      </c>
      <c r="Q205" t="s">
        <v>3639</v>
      </c>
      <c r="R205" t="s">
        <v>3863</v>
      </c>
      <c r="S205" t="s">
        <v>4053</v>
      </c>
      <c r="T205" t="s">
        <v>3863</v>
      </c>
      <c r="X205">
        <v>0</v>
      </c>
      <c r="AA205">
        <v>0</v>
      </c>
    </row>
    <row r="206" spans="1:27">
      <c r="A206" s="1">
        <v>204</v>
      </c>
      <c r="B206">
        <v>29101482</v>
      </c>
      <c r="C206" t="s">
        <v>235</v>
      </c>
      <c r="D206" t="s">
        <v>1248</v>
      </c>
      <c r="E206" t="s">
        <v>2054</v>
      </c>
      <c r="G206">
        <f>"0465060943"</f>
        <v>0</v>
      </c>
      <c r="H206">
        <f>"9780465060948"</f>
        <v>0</v>
      </c>
      <c r="I206">
        <v>0</v>
      </c>
      <c r="J206">
        <v>3.86</v>
      </c>
      <c r="K206" t="s">
        <v>3138</v>
      </c>
      <c r="L206" t="s">
        <v>3492</v>
      </c>
      <c r="M206">
        <v>368</v>
      </c>
      <c r="N206">
        <v>2016</v>
      </c>
      <c r="Q206" t="s">
        <v>3639</v>
      </c>
      <c r="R206" t="s">
        <v>3863</v>
      </c>
      <c r="S206" t="s">
        <v>4054</v>
      </c>
      <c r="T206" t="s">
        <v>3863</v>
      </c>
      <c r="X206">
        <v>0</v>
      </c>
      <c r="AA206">
        <v>0</v>
      </c>
    </row>
    <row r="207" spans="1:27">
      <c r="A207" s="1">
        <v>205</v>
      </c>
      <c r="B207">
        <v>8462385</v>
      </c>
      <c r="C207" t="s">
        <v>236</v>
      </c>
      <c r="D207" t="s">
        <v>1249</v>
      </c>
      <c r="E207" t="s">
        <v>2055</v>
      </c>
      <c r="G207">
        <f>"1556593201"</f>
        <v>0</v>
      </c>
      <c r="H207">
        <f>"9781556593208"</f>
        <v>0</v>
      </c>
      <c r="I207">
        <v>0</v>
      </c>
      <c r="J207">
        <v>3.94</v>
      </c>
      <c r="K207" t="s">
        <v>3133</v>
      </c>
      <c r="L207" t="s">
        <v>3491</v>
      </c>
      <c r="M207">
        <v>111</v>
      </c>
      <c r="N207">
        <v>2010</v>
      </c>
      <c r="O207">
        <v>2010</v>
      </c>
      <c r="Q207" t="s">
        <v>3639</v>
      </c>
      <c r="R207" t="s">
        <v>3863</v>
      </c>
      <c r="S207" t="s">
        <v>4055</v>
      </c>
      <c r="T207" t="s">
        <v>3863</v>
      </c>
      <c r="X207">
        <v>0</v>
      </c>
      <c r="AA207">
        <v>0</v>
      </c>
    </row>
    <row r="208" spans="1:27">
      <c r="A208" s="1">
        <v>206</v>
      </c>
      <c r="B208">
        <v>25823558</v>
      </c>
      <c r="C208" t="s">
        <v>237</v>
      </c>
      <c r="D208" t="s">
        <v>1250</v>
      </c>
      <c r="E208" t="s">
        <v>2056</v>
      </c>
      <c r="G208">
        <f>"0190217014"</f>
        <v>0</v>
      </c>
      <c r="H208">
        <f>"9780190217013"</f>
        <v>0</v>
      </c>
      <c r="I208">
        <v>0</v>
      </c>
      <c r="J208">
        <v>4.14</v>
      </c>
      <c r="K208" t="s">
        <v>3019</v>
      </c>
      <c r="L208" t="s">
        <v>3492</v>
      </c>
      <c r="M208">
        <v>416</v>
      </c>
      <c r="N208">
        <v>2015</v>
      </c>
      <c r="O208">
        <v>2015</v>
      </c>
      <c r="Q208" t="s">
        <v>3639</v>
      </c>
      <c r="R208" t="s">
        <v>3863</v>
      </c>
      <c r="S208" t="s">
        <v>4056</v>
      </c>
      <c r="T208" t="s">
        <v>3863</v>
      </c>
      <c r="X208">
        <v>0</v>
      </c>
      <c r="AA208">
        <v>0</v>
      </c>
    </row>
    <row r="209" spans="1:27">
      <c r="A209" s="1">
        <v>207</v>
      </c>
      <c r="B209">
        <v>35238287</v>
      </c>
      <c r="C209" t="s">
        <v>238</v>
      </c>
      <c r="D209" t="s">
        <v>1251</v>
      </c>
      <c r="E209" t="s">
        <v>2057</v>
      </c>
      <c r="G209">
        <f>""</f>
        <v>0</v>
      </c>
      <c r="H209">
        <f>""</f>
        <v>0</v>
      </c>
      <c r="I209">
        <v>0</v>
      </c>
      <c r="J209">
        <v>3.68</v>
      </c>
      <c r="K209" t="s">
        <v>3018</v>
      </c>
      <c r="L209" t="s">
        <v>3493</v>
      </c>
      <c r="M209">
        <v>461</v>
      </c>
      <c r="N209">
        <v>2017</v>
      </c>
      <c r="O209">
        <v>2017</v>
      </c>
      <c r="Q209" t="s">
        <v>3639</v>
      </c>
      <c r="R209" t="s">
        <v>3863</v>
      </c>
      <c r="S209" t="s">
        <v>4057</v>
      </c>
      <c r="T209" t="s">
        <v>3863</v>
      </c>
      <c r="X209">
        <v>0</v>
      </c>
      <c r="AA209">
        <v>0</v>
      </c>
    </row>
    <row r="210" spans="1:27">
      <c r="A210" s="1">
        <v>208</v>
      </c>
      <c r="B210">
        <v>30335545</v>
      </c>
      <c r="C210" t="s">
        <v>239</v>
      </c>
      <c r="D210" t="s">
        <v>1252</v>
      </c>
      <c r="E210" t="s">
        <v>2058</v>
      </c>
      <c r="G210">
        <f>"1911214179"</f>
        <v>0</v>
      </c>
      <c r="H210">
        <f>"9781911214175"</f>
        <v>0</v>
      </c>
      <c r="I210">
        <v>0</v>
      </c>
      <c r="J210">
        <v>4.24</v>
      </c>
      <c r="K210" t="s">
        <v>3134</v>
      </c>
      <c r="L210" t="s">
        <v>3492</v>
      </c>
      <c r="M210">
        <v>276</v>
      </c>
      <c r="N210">
        <v>2017</v>
      </c>
      <c r="O210">
        <v>2017</v>
      </c>
      <c r="Q210" t="s">
        <v>3640</v>
      </c>
      <c r="R210" t="s">
        <v>3863</v>
      </c>
      <c r="S210" t="s">
        <v>4058</v>
      </c>
      <c r="T210" t="s">
        <v>3863</v>
      </c>
      <c r="X210">
        <v>0</v>
      </c>
      <c r="AA210">
        <v>0</v>
      </c>
    </row>
    <row r="211" spans="1:27">
      <c r="A211" s="1">
        <v>209</v>
      </c>
      <c r="B211">
        <v>275140</v>
      </c>
      <c r="C211" t="s">
        <v>240</v>
      </c>
      <c r="D211" t="s">
        <v>1253</v>
      </c>
      <c r="E211" t="s">
        <v>2059</v>
      </c>
      <c r="G211">
        <f>"0816512116"</f>
        <v>0</v>
      </c>
      <c r="H211">
        <f>"9780816512119"</f>
        <v>0</v>
      </c>
      <c r="I211">
        <v>0</v>
      </c>
      <c r="J211">
        <v>4.29</v>
      </c>
      <c r="K211" t="s">
        <v>3139</v>
      </c>
      <c r="L211" t="s">
        <v>3492</v>
      </c>
      <c r="M211">
        <v>209</v>
      </c>
      <c r="N211">
        <v>1991</v>
      </c>
      <c r="O211">
        <v>1991</v>
      </c>
      <c r="Q211" t="s">
        <v>3640</v>
      </c>
      <c r="R211" t="s">
        <v>3863</v>
      </c>
      <c r="S211" t="s">
        <v>4059</v>
      </c>
      <c r="T211" t="s">
        <v>3863</v>
      </c>
      <c r="X211">
        <v>0</v>
      </c>
      <c r="AA211">
        <v>0</v>
      </c>
    </row>
    <row r="212" spans="1:27">
      <c r="A212" s="1">
        <v>210</v>
      </c>
      <c r="B212">
        <v>1742032</v>
      </c>
      <c r="C212" t="s">
        <v>241</v>
      </c>
      <c r="D212" t="s">
        <v>1254</v>
      </c>
      <c r="E212" t="s">
        <v>2060</v>
      </c>
      <c r="G212">
        <f>"0805080376"</f>
        <v>0</v>
      </c>
      <c r="H212">
        <f>"9780805080377"</f>
        <v>0</v>
      </c>
      <c r="I212">
        <v>0</v>
      </c>
      <c r="J212">
        <v>3.86</v>
      </c>
      <c r="K212" t="s">
        <v>3140</v>
      </c>
      <c r="L212" t="s">
        <v>3492</v>
      </c>
      <c r="M212">
        <v>306</v>
      </c>
      <c r="N212">
        <v>2008</v>
      </c>
      <c r="O212">
        <v>2008</v>
      </c>
      <c r="Q212" t="s">
        <v>3640</v>
      </c>
      <c r="R212" t="s">
        <v>3863</v>
      </c>
      <c r="S212" t="s">
        <v>4060</v>
      </c>
      <c r="T212" t="s">
        <v>3863</v>
      </c>
      <c r="X212">
        <v>0</v>
      </c>
      <c r="AA212">
        <v>0</v>
      </c>
    </row>
    <row r="213" spans="1:27">
      <c r="A213" s="1">
        <v>211</v>
      </c>
      <c r="B213">
        <v>527756</v>
      </c>
      <c r="C213" t="s">
        <v>242</v>
      </c>
      <c r="D213" t="s">
        <v>1255</v>
      </c>
      <c r="E213" t="s">
        <v>2061</v>
      </c>
      <c r="F213" t="s">
        <v>2726</v>
      </c>
      <c r="G213">
        <f>"0330349422"</f>
        <v>0</v>
      </c>
      <c r="H213">
        <f>"9780330349420"</f>
        <v>0</v>
      </c>
      <c r="I213">
        <v>0</v>
      </c>
      <c r="J213">
        <v>4.2</v>
      </c>
      <c r="K213" t="s">
        <v>3141</v>
      </c>
      <c r="L213" t="s">
        <v>3491</v>
      </c>
      <c r="M213">
        <v>1774</v>
      </c>
      <c r="N213">
        <v>1995</v>
      </c>
      <c r="O213">
        <v>1930</v>
      </c>
      <c r="Q213" t="s">
        <v>3640</v>
      </c>
      <c r="R213" t="s">
        <v>3863</v>
      </c>
      <c r="S213" t="s">
        <v>4061</v>
      </c>
      <c r="T213" t="s">
        <v>3863</v>
      </c>
      <c r="X213">
        <v>0</v>
      </c>
      <c r="AA213">
        <v>0</v>
      </c>
    </row>
    <row r="214" spans="1:27">
      <c r="A214" s="1">
        <v>212</v>
      </c>
      <c r="B214">
        <v>42389</v>
      </c>
      <c r="C214" t="s">
        <v>243</v>
      </c>
      <c r="D214" t="s">
        <v>1256</v>
      </c>
      <c r="E214" t="s">
        <v>2062</v>
      </c>
      <c r="G214">
        <f>"0743464117"</f>
        <v>0</v>
      </c>
      <c r="H214">
        <f>"9780743464116"</f>
        <v>0</v>
      </c>
      <c r="I214">
        <v>0</v>
      </c>
      <c r="J214">
        <v>4.4</v>
      </c>
      <c r="K214" t="s">
        <v>3142</v>
      </c>
      <c r="L214" t="s">
        <v>3491</v>
      </c>
      <c r="M214">
        <v>432</v>
      </c>
      <c r="N214">
        <v>2002</v>
      </c>
      <c r="O214">
        <v>1992</v>
      </c>
      <c r="Q214" t="s">
        <v>3641</v>
      </c>
      <c r="R214" t="s">
        <v>3863</v>
      </c>
      <c r="S214" t="s">
        <v>4062</v>
      </c>
      <c r="T214" t="s">
        <v>3863</v>
      </c>
      <c r="X214">
        <v>0</v>
      </c>
      <c r="AA214">
        <v>0</v>
      </c>
    </row>
    <row r="215" spans="1:27">
      <c r="A215" s="1">
        <v>213</v>
      </c>
      <c r="B215">
        <v>3478454</v>
      </c>
      <c r="C215" t="s">
        <v>244</v>
      </c>
      <c r="D215" t="s">
        <v>1257</v>
      </c>
      <c r="E215" t="s">
        <v>2063</v>
      </c>
      <c r="G215">
        <f>"0520254120"</f>
        <v>0</v>
      </c>
      <c r="H215">
        <f>"9780520254121"</f>
        <v>0</v>
      </c>
      <c r="I215">
        <v>0</v>
      </c>
      <c r="J215">
        <v>3.86</v>
      </c>
      <c r="K215" t="s">
        <v>3143</v>
      </c>
      <c r="L215" t="s">
        <v>3492</v>
      </c>
      <c r="M215">
        <v>304</v>
      </c>
      <c r="N215">
        <v>2009</v>
      </c>
      <c r="O215">
        <v>2008</v>
      </c>
      <c r="Q215" t="s">
        <v>3642</v>
      </c>
      <c r="R215" t="s">
        <v>3863</v>
      </c>
      <c r="S215" t="s">
        <v>4063</v>
      </c>
      <c r="T215" t="s">
        <v>3863</v>
      </c>
      <c r="X215">
        <v>0</v>
      </c>
      <c r="AA215">
        <v>0</v>
      </c>
    </row>
    <row r="216" spans="1:27">
      <c r="A216" s="1">
        <v>214</v>
      </c>
      <c r="B216">
        <v>23168817</v>
      </c>
      <c r="C216" t="s">
        <v>245</v>
      </c>
      <c r="D216" t="s">
        <v>1202</v>
      </c>
      <c r="E216" t="s">
        <v>2008</v>
      </c>
      <c r="F216" t="s">
        <v>2727</v>
      </c>
      <c r="G216">
        <f>""</f>
        <v>0</v>
      </c>
      <c r="H216">
        <f>""</f>
        <v>0</v>
      </c>
      <c r="I216">
        <v>4</v>
      </c>
      <c r="J216">
        <v>4.41</v>
      </c>
      <c r="K216" t="s">
        <v>3144</v>
      </c>
      <c r="L216" t="s">
        <v>3492</v>
      </c>
      <c r="M216">
        <v>512</v>
      </c>
      <c r="N216">
        <v>2015</v>
      </c>
      <c r="O216">
        <v>2008</v>
      </c>
      <c r="P216" t="s">
        <v>3508</v>
      </c>
      <c r="Q216" t="s">
        <v>3643</v>
      </c>
      <c r="T216" t="s">
        <v>4621</v>
      </c>
      <c r="U216" t="s">
        <v>4632</v>
      </c>
      <c r="X216">
        <v>1</v>
      </c>
      <c r="AA216">
        <v>0</v>
      </c>
    </row>
    <row r="217" spans="1:27">
      <c r="A217" s="1">
        <v>215</v>
      </c>
      <c r="B217">
        <v>23637384</v>
      </c>
      <c r="C217" t="s">
        <v>246</v>
      </c>
      <c r="D217" t="s">
        <v>1258</v>
      </c>
      <c r="E217" t="s">
        <v>2064</v>
      </c>
      <c r="G217">
        <f>""</f>
        <v>0</v>
      </c>
      <c r="H217">
        <f>""</f>
        <v>0</v>
      </c>
      <c r="I217">
        <v>0</v>
      </c>
      <c r="J217">
        <v>4.15</v>
      </c>
      <c r="K217" t="s">
        <v>3145</v>
      </c>
      <c r="L217" t="s">
        <v>3491</v>
      </c>
      <c r="N217">
        <v>1994</v>
      </c>
      <c r="O217">
        <v>1994</v>
      </c>
      <c r="Q217" t="s">
        <v>3644</v>
      </c>
      <c r="R217" t="s">
        <v>3863</v>
      </c>
      <c r="S217" t="s">
        <v>4064</v>
      </c>
      <c r="T217" t="s">
        <v>3863</v>
      </c>
      <c r="X217">
        <v>0</v>
      </c>
      <c r="AA217">
        <v>0</v>
      </c>
    </row>
    <row r="218" spans="1:27">
      <c r="A218" s="1">
        <v>216</v>
      </c>
      <c r="B218">
        <v>20518872</v>
      </c>
      <c r="C218" t="s">
        <v>247</v>
      </c>
      <c r="D218" t="s">
        <v>1202</v>
      </c>
      <c r="E218" t="s">
        <v>2008</v>
      </c>
      <c r="F218" t="s">
        <v>1203</v>
      </c>
      <c r="G218">
        <f>"0765377063"</f>
        <v>0</v>
      </c>
      <c r="H218">
        <f>"9780765377067"</f>
        <v>0</v>
      </c>
      <c r="I218">
        <v>4</v>
      </c>
      <c r="J218">
        <v>4.07</v>
      </c>
      <c r="K218" t="s">
        <v>3144</v>
      </c>
      <c r="L218" t="s">
        <v>3492</v>
      </c>
      <c r="M218">
        <v>399</v>
      </c>
      <c r="N218">
        <v>2014</v>
      </c>
      <c r="O218">
        <v>2006</v>
      </c>
      <c r="P218" t="s">
        <v>3509</v>
      </c>
      <c r="Q218" t="s">
        <v>3645</v>
      </c>
      <c r="T218" t="s">
        <v>4621</v>
      </c>
      <c r="U218" t="s">
        <v>4633</v>
      </c>
      <c r="X218">
        <v>1</v>
      </c>
      <c r="AA218">
        <v>0</v>
      </c>
    </row>
    <row r="219" spans="1:27">
      <c r="A219" s="1">
        <v>217</v>
      </c>
      <c r="B219">
        <v>42634134</v>
      </c>
      <c r="C219" t="s">
        <v>248</v>
      </c>
      <c r="D219" t="s">
        <v>1259</v>
      </c>
      <c r="E219" t="s">
        <v>2065</v>
      </c>
      <c r="G219">
        <f>""</f>
        <v>0</v>
      </c>
      <c r="H219">
        <f>""</f>
        <v>0</v>
      </c>
      <c r="I219">
        <v>0</v>
      </c>
      <c r="J219">
        <v>4.37</v>
      </c>
      <c r="K219" t="s">
        <v>3146</v>
      </c>
      <c r="L219" t="s">
        <v>3491</v>
      </c>
      <c r="M219">
        <v>672</v>
      </c>
      <c r="O219">
        <v>1522</v>
      </c>
      <c r="Q219" t="s">
        <v>3643</v>
      </c>
      <c r="R219" t="s">
        <v>3863</v>
      </c>
      <c r="S219" t="s">
        <v>4065</v>
      </c>
      <c r="T219" t="s">
        <v>3863</v>
      </c>
      <c r="X219">
        <v>0</v>
      </c>
      <c r="AA219">
        <v>0</v>
      </c>
    </row>
    <row r="220" spans="1:27">
      <c r="A220" s="1">
        <v>218</v>
      </c>
      <c r="B220">
        <v>36402034</v>
      </c>
      <c r="C220" t="s">
        <v>249</v>
      </c>
      <c r="D220" t="s">
        <v>1260</v>
      </c>
      <c r="E220" t="s">
        <v>2066</v>
      </c>
      <c r="G220">
        <f>""</f>
        <v>0</v>
      </c>
      <c r="H220">
        <f>""</f>
        <v>0</v>
      </c>
      <c r="I220">
        <v>0</v>
      </c>
      <c r="J220">
        <v>4.09</v>
      </c>
      <c r="K220" t="s">
        <v>3001</v>
      </c>
      <c r="L220" t="s">
        <v>3493</v>
      </c>
      <c r="M220">
        <v>258</v>
      </c>
      <c r="N220">
        <v>2008</v>
      </c>
      <c r="O220">
        <v>1968</v>
      </c>
      <c r="Q220" t="s">
        <v>3643</v>
      </c>
      <c r="R220" t="s">
        <v>3863</v>
      </c>
      <c r="S220" t="s">
        <v>4066</v>
      </c>
      <c r="T220" t="s">
        <v>3863</v>
      </c>
      <c r="X220">
        <v>0</v>
      </c>
      <c r="AA220">
        <v>0</v>
      </c>
    </row>
    <row r="221" spans="1:27">
      <c r="A221" s="1">
        <v>219</v>
      </c>
      <c r="B221">
        <v>9543</v>
      </c>
      <c r="C221" t="s">
        <v>250</v>
      </c>
      <c r="D221" t="s">
        <v>1261</v>
      </c>
      <c r="E221" t="s">
        <v>2067</v>
      </c>
      <c r="G221">
        <f>"1416543368"</f>
        <v>0</v>
      </c>
      <c r="H221">
        <f>"9781416543367"</f>
        <v>0</v>
      </c>
      <c r="I221">
        <v>0</v>
      </c>
      <c r="J221">
        <v>3.97</v>
      </c>
      <c r="K221" t="s">
        <v>3121</v>
      </c>
      <c r="L221" t="s">
        <v>3491</v>
      </c>
      <c r="M221">
        <v>608</v>
      </c>
      <c r="N221">
        <v>2007</v>
      </c>
      <c r="O221">
        <v>1996</v>
      </c>
      <c r="Q221" t="s">
        <v>3643</v>
      </c>
      <c r="R221" t="s">
        <v>3863</v>
      </c>
      <c r="S221" t="s">
        <v>4067</v>
      </c>
      <c r="T221" t="s">
        <v>3863</v>
      </c>
      <c r="X221">
        <v>0</v>
      </c>
      <c r="AA221">
        <v>0</v>
      </c>
    </row>
    <row r="222" spans="1:27">
      <c r="A222" s="1">
        <v>220</v>
      </c>
      <c r="B222">
        <v>252324</v>
      </c>
      <c r="C222" t="s">
        <v>251</v>
      </c>
      <c r="D222" t="s">
        <v>1262</v>
      </c>
      <c r="E222" t="s">
        <v>2068</v>
      </c>
      <c r="F222" t="s">
        <v>2728</v>
      </c>
      <c r="G222">
        <f>"1585741302"</f>
        <v>0</v>
      </c>
      <c r="H222">
        <f>"9781585741304"</f>
        <v>0</v>
      </c>
      <c r="I222">
        <v>0</v>
      </c>
      <c r="J222">
        <v>3.99</v>
      </c>
      <c r="K222" t="s">
        <v>3147</v>
      </c>
      <c r="L222" t="s">
        <v>3491</v>
      </c>
      <c r="M222">
        <v>224</v>
      </c>
      <c r="N222">
        <v>2000</v>
      </c>
      <c r="O222">
        <v>1972</v>
      </c>
      <c r="Q222" t="s">
        <v>3643</v>
      </c>
      <c r="R222" t="s">
        <v>3863</v>
      </c>
      <c r="S222" t="s">
        <v>4068</v>
      </c>
      <c r="T222" t="s">
        <v>3863</v>
      </c>
      <c r="X222">
        <v>0</v>
      </c>
      <c r="AA222">
        <v>0</v>
      </c>
    </row>
    <row r="223" spans="1:27">
      <c r="A223" s="1">
        <v>221</v>
      </c>
      <c r="B223">
        <v>29972528</v>
      </c>
      <c r="C223" t="s">
        <v>252</v>
      </c>
      <c r="D223" t="s">
        <v>1263</v>
      </c>
      <c r="E223" t="s">
        <v>2069</v>
      </c>
      <c r="F223" t="s">
        <v>2729</v>
      </c>
      <c r="G223">
        <f>""</f>
        <v>0</v>
      </c>
      <c r="H223">
        <f>""</f>
        <v>0</v>
      </c>
      <c r="I223">
        <v>3</v>
      </c>
      <c r="J223">
        <v>4.28</v>
      </c>
      <c r="K223" t="s">
        <v>3148</v>
      </c>
      <c r="L223" t="s">
        <v>3493</v>
      </c>
      <c r="M223">
        <v>265</v>
      </c>
      <c r="N223">
        <v>2016</v>
      </c>
      <c r="O223">
        <v>1997</v>
      </c>
      <c r="P223" t="s">
        <v>3510</v>
      </c>
      <c r="Q223" t="s">
        <v>3646</v>
      </c>
      <c r="T223" t="s">
        <v>4621</v>
      </c>
      <c r="U223" t="s">
        <v>4634</v>
      </c>
      <c r="X223">
        <v>1</v>
      </c>
      <c r="AA223">
        <v>0</v>
      </c>
    </row>
    <row r="224" spans="1:27">
      <c r="A224" s="1">
        <v>222</v>
      </c>
      <c r="B224">
        <v>26720949</v>
      </c>
      <c r="C224" t="s">
        <v>253</v>
      </c>
      <c r="D224" t="s">
        <v>1264</v>
      </c>
      <c r="E224" t="s">
        <v>2070</v>
      </c>
      <c r="G224">
        <f>"0190469412"</f>
        <v>0</v>
      </c>
      <c r="H224">
        <f>"9780190469412"</f>
        <v>0</v>
      </c>
      <c r="I224">
        <v>0</v>
      </c>
      <c r="J224">
        <v>3.84</v>
      </c>
      <c r="K224" t="s">
        <v>3149</v>
      </c>
      <c r="L224" t="s">
        <v>3492</v>
      </c>
      <c r="M224">
        <v>272</v>
      </c>
      <c r="N224">
        <v>2017</v>
      </c>
      <c r="O224">
        <v>2017</v>
      </c>
      <c r="Q224" t="s">
        <v>3510</v>
      </c>
      <c r="R224" t="s">
        <v>3863</v>
      </c>
      <c r="S224" t="s">
        <v>4069</v>
      </c>
      <c r="T224" t="s">
        <v>3863</v>
      </c>
      <c r="X224">
        <v>0</v>
      </c>
      <c r="AA224">
        <v>0</v>
      </c>
    </row>
    <row r="225" spans="1:27">
      <c r="A225" s="1">
        <v>223</v>
      </c>
      <c r="B225">
        <v>37004370</v>
      </c>
      <c r="C225" t="s">
        <v>254</v>
      </c>
      <c r="D225" t="s">
        <v>1265</v>
      </c>
      <c r="E225" t="s">
        <v>2071</v>
      </c>
      <c r="F225" t="s">
        <v>2730</v>
      </c>
      <c r="G225">
        <f>"1101870605"</f>
        <v>0</v>
      </c>
      <c r="H225">
        <f>"9781101870600"</f>
        <v>0</v>
      </c>
      <c r="I225">
        <v>1</v>
      </c>
      <c r="J225">
        <v>3.75</v>
      </c>
      <c r="K225" t="s">
        <v>3150</v>
      </c>
      <c r="L225" t="s">
        <v>3492</v>
      </c>
      <c r="M225">
        <v>274</v>
      </c>
      <c r="N225">
        <v>2019</v>
      </c>
      <c r="O225">
        <v>1994</v>
      </c>
      <c r="P225" t="s">
        <v>3511</v>
      </c>
      <c r="Q225" t="s">
        <v>3647</v>
      </c>
      <c r="T225" t="s">
        <v>4621</v>
      </c>
      <c r="U225" t="s">
        <v>4635</v>
      </c>
      <c r="X225">
        <v>1</v>
      </c>
      <c r="AA225">
        <v>0</v>
      </c>
    </row>
    <row r="226" spans="1:27">
      <c r="A226" s="1">
        <v>224</v>
      </c>
      <c r="B226">
        <v>6597651</v>
      </c>
      <c r="C226" t="s">
        <v>255</v>
      </c>
      <c r="D226" t="s">
        <v>1266</v>
      </c>
      <c r="E226" t="s">
        <v>2072</v>
      </c>
      <c r="G226">
        <f>"1597801577"</f>
        <v>0</v>
      </c>
      <c r="H226">
        <f>"9781597801577"</f>
        <v>0</v>
      </c>
      <c r="I226">
        <v>0</v>
      </c>
      <c r="J226">
        <v>3.74</v>
      </c>
      <c r="K226" t="s">
        <v>3151</v>
      </c>
      <c r="L226" t="s">
        <v>3492</v>
      </c>
      <c r="M226">
        <v>359</v>
      </c>
      <c r="N226">
        <v>2009</v>
      </c>
      <c r="O226">
        <v>2009</v>
      </c>
      <c r="Q226" t="s">
        <v>3648</v>
      </c>
      <c r="R226" t="s">
        <v>3863</v>
      </c>
      <c r="S226" t="s">
        <v>4070</v>
      </c>
      <c r="T226" t="s">
        <v>3863</v>
      </c>
      <c r="X226">
        <v>0</v>
      </c>
      <c r="AA226">
        <v>0</v>
      </c>
    </row>
    <row r="227" spans="1:27">
      <c r="A227" s="1">
        <v>225</v>
      </c>
      <c r="B227">
        <v>11143472</v>
      </c>
      <c r="C227" t="s">
        <v>256</v>
      </c>
      <c r="D227" t="s">
        <v>1267</v>
      </c>
      <c r="E227" t="s">
        <v>2073</v>
      </c>
      <c r="G227">
        <f>""</f>
        <v>0</v>
      </c>
      <c r="H227">
        <f>""</f>
        <v>0</v>
      </c>
      <c r="I227">
        <v>0</v>
      </c>
      <c r="J227">
        <v>3.7</v>
      </c>
      <c r="L227" t="s">
        <v>3493</v>
      </c>
      <c r="M227">
        <v>83</v>
      </c>
      <c r="N227">
        <v>2010</v>
      </c>
      <c r="O227">
        <v>1920</v>
      </c>
      <c r="Q227" t="s">
        <v>3649</v>
      </c>
      <c r="R227" t="s">
        <v>3863</v>
      </c>
      <c r="S227" t="s">
        <v>4071</v>
      </c>
      <c r="T227" t="s">
        <v>3863</v>
      </c>
      <c r="X227">
        <v>0</v>
      </c>
      <c r="AA227">
        <v>0</v>
      </c>
    </row>
    <row r="228" spans="1:27">
      <c r="A228" s="1">
        <v>226</v>
      </c>
      <c r="B228">
        <v>1234382</v>
      </c>
      <c r="C228" t="s">
        <v>257</v>
      </c>
      <c r="D228" t="s">
        <v>1098</v>
      </c>
      <c r="E228" t="s">
        <v>1905</v>
      </c>
      <c r="G228">
        <f>"0517125870"</f>
        <v>0</v>
      </c>
      <c r="H228">
        <f>"9780517125878"</f>
        <v>0</v>
      </c>
      <c r="I228">
        <v>0</v>
      </c>
      <c r="J228">
        <v>4.04</v>
      </c>
      <c r="K228" t="s">
        <v>3152</v>
      </c>
      <c r="L228" t="s">
        <v>3492</v>
      </c>
      <c r="M228">
        <v>16</v>
      </c>
      <c r="N228">
        <v>1994</v>
      </c>
      <c r="O228">
        <v>1964</v>
      </c>
      <c r="Q228" t="s">
        <v>3649</v>
      </c>
      <c r="R228" t="s">
        <v>3863</v>
      </c>
      <c r="S228" t="s">
        <v>4072</v>
      </c>
      <c r="T228" t="s">
        <v>3863</v>
      </c>
      <c r="X228">
        <v>0</v>
      </c>
      <c r="AA228">
        <v>0</v>
      </c>
    </row>
    <row r="229" spans="1:27">
      <c r="A229" s="1">
        <v>227</v>
      </c>
      <c r="B229">
        <v>30344086</v>
      </c>
      <c r="C229" t="s">
        <v>258</v>
      </c>
      <c r="D229" t="s">
        <v>1268</v>
      </c>
      <c r="E229" t="s">
        <v>2074</v>
      </c>
      <c r="G229">
        <f>""</f>
        <v>0</v>
      </c>
      <c r="H229">
        <f>""</f>
        <v>0</v>
      </c>
      <c r="I229">
        <v>0</v>
      </c>
      <c r="J229">
        <v>3.47</v>
      </c>
      <c r="K229" t="s">
        <v>3153</v>
      </c>
      <c r="L229" t="s">
        <v>3491</v>
      </c>
      <c r="M229">
        <v>5</v>
      </c>
      <c r="N229">
        <v>1924</v>
      </c>
      <c r="O229">
        <v>1924</v>
      </c>
      <c r="Q229" t="s">
        <v>3649</v>
      </c>
      <c r="R229" t="s">
        <v>3863</v>
      </c>
      <c r="S229" t="s">
        <v>4073</v>
      </c>
      <c r="T229" t="s">
        <v>3863</v>
      </c>
      <c r="X229">
        <v>0</v>
      </c>
      <c r="AA229">
        <v>0</v>
      </c>
    </row>
    <row r="230" spans="1:27">
      <c r="A230" s="1">
        <v>228</v>
      </c>
      <c r="B230">
        <v>553930</v>
      </c>
      <c r="C230" t="s">
        <v>259</v>
      </c>
      <c r="D230" t="s">
        <v>1269</v>
      </c>
      <c r="E230" t="s">
        <v>2075</v>
      </c>
      <c r="G230">
        <f>"0886823455"</f>
        <v>0</v>
      </c>
      <c r="H230">
        <f>"9780886823450"</f>
        <v>0</v>
      </c>
      <c r="I230">
        <v>0</v>
      </c>
      <c r="J230">
        <v>4.13</v>
      </c>
      <c r="K230" t="s">
        <v>3154</v>
      </c>
      <c r="L230" t="s">
        <v>3492</v>
      </c>
      <c r="M230">
        <v>30</v>
      </c>
      <c r="N230">
        <v>1997</v>
      </c>
      <c r="O230">
        <v>1926</v>
      </c>
      <c r="Q230" t="s">
        <v>3649</v>
      </c>
      <c r="R230" t="s">
        <v>3863</v>
      </c>
      <c r="S230" t="s">
        <v>4074</v>
      </c>
      <c r="T230" t="s">
        <v>3863</v>
      </c>
      <c r="X230">
        <v>0</v>
      </c>
      <c r="AA230">
        <v>0</v>
      </c>
    </row>
    <row r="231" spans="1:27">
      <c r="A231" s="1">
        <v>229</v>
      </c>
      <c r="B231">
        <v>23289</v>
      </c>
      <c r="C231" t="s">
        <v>260</v>
      </c>
      <c r="D231" t="s">
        <v>1270</v>
      </c>
      <c r="E231" t="s">
        <v>2076</v>
      </c>
      <c r="G231">
        <f>""</f>
        <v>0</v>
      </c>
      <c r="H231">
        <f>"9780974960906"</f>
        <v>0</v>
      </c>
      <c r="I231">
        <v>0</v>
      </c>
      <c r="J231">
        <v>4.02</v>
      </c>
      <c r="K231" t="s">
        <v>3060</v>
      </c>
      <c r="L231" t="s">
        <v>3491</v>
      </c>
      <c r="M231">
        <v>64</v>
      </c>
      <c r="N231">
        <v>2011</v>
      </c>
      <c r="O231">
        <v>1914</v>
      </c>
      <c r="Q231" t="s">
        <v>3649</v>
      </c>
      <c r="R231" t="s">
        <v>3863</v>
      </c>
      <c r="S231" t="s">
        <v>4075</v>
      </c>
      <c r="T231" t="s">
        <v>3863</v>
      </c>
      <c r="X231">
        <v>0</v>
      </c>
      <c r="AA231">
        <v>0</v>
      </c>
    </row>
    <row r="232" spans="1:27">
      <c r="A232" s="1">
        <v>230</v>
      </c>
      <c r="B232">
        <v>9014</v>
      </c>
      <c r="C232" t="s">
        <v>261</v>
      </c>
      <c r="D232" t="s">
        <v>1271</v>
      </c>
      <c r="E232" t="s">
        <v>2077</v>
      </c>
      <c r="F232" t="s">
        <v>1343</v>
      </c>
      <c r="G232">
        <f>"0451196716"</f>
        <v>0</v>
      </c>
      <c r="H232">
        <f>"9780451196712"</f>
        <v>0</v>
      </c>
      <c r="I232">
        <v>0</v>
      </c>
      <c r="J232">
        <v>4.09</v>
      </c>
      <c r="K232" t="s">
        <v>3049</v>
      </c>
      <c r="L232" t="s">
        <v>3495</v>
      </c>
      <c r="M232">
        <v>370</v>
      </c>
      <c r="N232">
        <v>1999</v>
      </c>
      <c r="O232">
        <v>1979</v>
      </c>
      <c r="Q232" t="s">
        <v>3650</v>
      </c>
      <c r="R232" t="s">
        <v>3863</v>
      </c>
      <c r="S232" t="s">
        <v>4076</v>
      </c>
      <c r="T232" t="s">
        <v>3863</v>
      </c>
      <c r="X232">
        <v>0</v>
      </c>
      <c r="AA232">
        <v>0</v>
      </c>
    </row>
    <row r="233" spans="1:27">
      <c r="A233" s="1">
        <v>231</v>
      </c>
      <c r="B233">
        <v>282032</v>
      </c>
      <c r="C233" t="s">
        <v>262</v>
      </c>
      <c r="D233" t="s">
        <v>1272</v>
      </c>
      <c r="E233" t="s">
        <v>2078</v>
      </c>
      <c r="G233">
        <f>"041515149X"</f>
        <v>0</v>
      </c>
      <c r="H233">
        <f>"9780415151498"</f>
        <v>0</v>
      </c>
      <c r="I233">
        <v>0</v>
      </c>
      <c r="J233">
        <v>4.28</v>
      </c>
      <c r="K233" t="s">
        <v>3155</v>
      </c>
      <c r="L233" t="s">
        <v>3491</v>
      </c>
      <c r="M233">
        <v>428</v>
      </c>
      <c r="N233">
        <v>1998</v>
      </c>
      <c r="O233">
        <v>1958</v>
      </c>
      <c r="Q233" t="s">
        <v>3651</v>
      </c>
      <c r="R233" t="s">
        <v>3863</v>
      </c>
      <c r="S233" t="s">
        <v>4077</v>
      </c>
      <c r="T233" t="s">
        <v>3863</v>
      </c>
      <c r="X233">
        <v>0</v>
      </c>
      <c r="AA233">
        <v>0</v>
      </c>
    </row>
    <row r="234" spans="1:27">
      <c r="A234" s="1">
        <v>232</v>
      </c>
      <c r="B234">
        <v>261240</v>
      </c>
      <c r="C234" t="s">
        <v>263</v>
      </c>
      <c r="D234" t="s">
        <v>1273</v>
      </c>
      <c r="E234" t="s">
        <v>2079</v>
      </c>
      <c r="F234" t="s">
        <v>2731</v>
      </c>
      <c r="G234">
        <f>"1594561869"</f>
        <v>0</v>
      </c>
      <c r="H234">
        <f>"9781594561863"</f>
        <v>0</v>
      </c>
      <c r="I234">
        <v>0</v>
      </c>
      <c r="J234">
        <v>4.09</v>
      </c>
      <c r="K234" t="s">
        <v>3156</v>
      </c>
      <c r="L234" t="s">
        <v>3491</v>
      </c>
      <c r="M234">
        <v>20</v>
      </c>
      <c r="N234">
        <v>2004</v>
      </c>
      <c r="O234">
        <v>1846</v>
      </c>
      <c r="Q234" t="s">
        <v>3652</v>
      </c>
      <c r="T234" t="s">
        <v>4621</v>
      </c>
      <c r="X234">
        <v>1</v>
      </c>
      <c r="AA234">
        <v>0</v>
      </c>
    </row>
    <row r="235" spans="1:27">
      <c r="A235" s="1">
        <v>233</v>
      </c>
      <c r="B235">
        <v>36373616</v>
      </c>
      <c r="C235" t="s">
        <v>264</v>
      </c>
      <c r="D235" t="s">
        <v>1274</v>
      </c>
      <c r="E235" t="s">
        <v>2080</v>
      </c>
      <c r="G235">
        <f>"1501105353"</f>
        <v>0</v>
      </c>
      <c r="H235">
        <f>"9781501105357"</f>
        <v>0</v>
      </c>
      <c r="I235">
        <v>0</v>
      </c>
      <c r="J235">
        <v>3.74</v>
      </c>
      <c r="K235" t="s">
        <v>3121</v>
      </c>
      <c r="L235" t="s">
        <v>3492</v>
      </c>
      <c r="M235">
        <v>480</v>
      </c>
      <c r="N235">
        <v>2018</v>
      </c>
      <c r="O235">
        <v>2018</v>
      </c>
      <c r="Q235" t="s">
        <v>3653</v>
      </c>
      <c r="R235" t="s">
        <v>3863</v>
      </c>
      <c r="S235" t="s">
        <v>4078</v>
      </c>
      <c r="T235" t="s">
        <v>3863</v>
      </c>
      <c r="X235">
        <v>0</v>
      </c>
      <c r="AA235">
        <v>0</v>
      </c>
    </row>
    <row r="236" spans="1:27">
      <c r="A236" s="1">
        <v>234</v>
      </c>
      <c r="B236">
        <v>35068671</v>
      </c>
      <c r="C236" t="s">
        <v>265</v>
      </c>
      <c r="D236" t="s">
        <v>1140</v>
      </c>
      <c r="E236" t="s">
        <v>1946</v>
      </c>
      <c r="G236">
        <f>"0062652575"</f>
        <v>0</v>
      </c>
      <c r="H236">
        <f>"9780062652577"</f>
        <v>0</v>
      </c>
      <c r="I236">
        <v>0</v>
      </c>
      <c r="J236">
        <v>4.13</v>
      </c>
      <c r="K236" t="s">
        <v>3023</v>
      </c>
      <c r="L236" t="s">
        <v>3494</v>
      </c>
      <c r="M236">
        <v>416</v>
      </c>
      <c r="N236">
        <v>2018</v>
      </c>
      <c r="O236">
        <v>2018</v>
      </c>
      <c r="Q236" t="s">
        <v>3653</v>
      </c>
      <c r="R236" t="s">
        <v>3863</v>
      </c>
      <c r="S236" t="s">
        <v>4079</v>
      </c>
      <c r="T236" t="s">
        <v>3863</v>
      </c>
      <c r="X236">
        <v>0</v>
      </c>
      <c r="AA236">
        <v>0</v>
      </c>
    </row>
    <row r="237" spans="1:27">
      <c r="A237" s="1">
        <v>235</v>
      </c>
      <c r="B237">
        <v>42686833</v>
      </c>
      <c r="C237" t="s">
        <v>266</v>
      </c>
      <c r="D237" t="s">
        <v>1275</v>
      </c>
      <c r="E237" t="s">
        <v>2081</v>
      </c>
      <c r="F237" t="s">
        <v>2732</v>
      </c>
      <c r="G237">
        <f>"0143134485"</f>
        <v>0</v>
      </c>
      <c r="H237">
        <f>"9780143134480"</f>
        <v>0</v>
      </c>
      <c r="I237">
        <v>0</v>
      </c>
      <c r="J237">
        <v>3.89</v>
      </c>
      <c r="K237" t="s">
        <v>3010</v>
      </c>
      <c r="L237" t="s">
        <v>3491</v>
      </c>
      <c r="M237">
        <v>240</v>
      </c>
      <c r="N237">
        <v>2019</v>
      </c>
      <c r="O237">
        <v>2019</v>
      </c>
      <c r="Q237" t="s">
        <v>3653</v>
      </c>
      <c r="R237" t="s">
        <v>3863</v>
      </c>
      <c r="S237" t="s">
        <v>4080</v>
      </c>
      <c r="T237" t="s">
        <v>3863</v>
      </c>
      <c r="X237">
        <v>0</v>
      </c>
      <c r="AA237">
        <v>0</v>
      </c>
    </row>
    <row r="238" spans="1:27">
      <c r="A238" s="1">
        <v>236</v>
      </c>
      <c r="B238">
        <v>44326262</v>
      </c>
      <c r="C238" t="s">
        <v>267</v>
      </c>
      <c r="D238" t="s">
        <v>1276</v>
      </c>
      <c r="E238" t="s">
        <v>2082</v>
      </c>
      <c r="F238" t="s">
        <v>2733</v>
      </c>
      <c r="G238">
        <f>"0674241215"</f>
        <v>0</v>
      </c>
      <c r="H238">
        <f>"9780674241213"</f>
        <v>0</v>
      </c>
      <c r="I238">
        <v>0</v>
      </c>
      <c r="J238">
        <v>3.7</v>
      </c>
      <c r="K238" t="s">
        <v>3057</v>
      </c>
      <c r="L238" t="s">
        <v>3492</v>
      </c>
      <c r="M238">
        <v>400</v>
      </c>
      <c r="N238">
        <v>2019</v>
      </c>
      <c r="O238">
        <v>2019</v>
      </c>
      <c r="Q238" t="s">
        <v>3653</v>
      </c>
      <c r="R238" t="s">
        <v>3863</v>
      </c>
      <c r="S238" t="s">
        <v>4081</v>
      </c>
      <c r="T238" t="s">
        <v>3863</v>
      </c>
      <c r="X238">
        <v>0</v>
      </c>
      <c r="AA238">
        <v>0</v>
      </c>
    </row>
    <row r="239" spans="1:27">
      <c r="A239" s="1">
        <v>237</v>
      </c>
      <c r="B239">
        <v>32191707</v>
      </c>
      <c r="C239" t="s">
        <v>268</v>
      </c>
      <c r="D239" t="s">
        <v>1275</v>
      </c>
      <c r="E239" t="s">
        <v>2081</v>
      </c>
      <c r="G239">
        <f>"0393353990"</f>
        <v>0</v>
      </c>
      <c r="H239">
        <f>"9780393353990"</f>
        <v>0</v>
      </c>
      <c r="I239">
        <v>0</v>
      </c>
      <c r="J239">
        <v>4.11</v>
      </c>
      <c r="K239" t="s">
        <v>3038</v>
      </c>
      <c r="L239" t="s">
        <v>3491</v>
      </c>
      <c r="M239">
        <v>640</v>
      </c>
      <c r="N239">
        <v>2017</v>
      </c>
      <c r="Q239" t="s">
        <v>3653</v>
      </c>
      <c r="R239" t="s">
        <v>3863</v>
      </c>
      <c r="S239" t="s">
        <v>4082</v>
      </c>
      <c r="T239" t="s">
        <v>3863</v>
      </c>
      <c r="X239">
        <v>0</v>
      </c>
      <c r="AA239">
        <v>0</v>
      </c>
    </row>
    <row r="240" spans="1:27">
      <c r="A240" s="1">
        <v>238</v>
      </c>
      <c r="B240">
        <v>10155</v>
      </c>
      <c r="C240" t="s">
        <v>269</v>
      </c>
      <c r="D240" t="s">
        <v>1277</v>
      </c>
      <c r="E240" t="s">
        <v>2083</v>
      </c>
      <c r="G240">
        <f>"0812967259"</f>
        <v>0</v>
      </c>
      <c r="H240">
        <f>"9780812967258"</f>
        <v>0</v>
      </c>
      <c r="I240">
        <v>0</v>
      </c>
      <c r="J240">
        <v>3.93</v>
      </c>
      <c r="K240" t="s">
        <v>3157</v>
      </c>
      <c r="L240" t="s">
        <v>3491</v>
      </c>
      <c r="M240">
        <v>272</v>
      </c>
      <c r="N240">
        <v>2003</v>
      </c>
      <c r="O240">
        <v>1912</v>
      </c>
      <c r="Q240" t="s">
        <v>3654</v>
      </c>
      <c r="R240" t="s">
        <v>3863</v>
      </c>
      <c r="S240" t="s">
        <v>4083</v>
      </c>
      <c r="T240" t="s">
        <v>3863</v>
      </c>
      <c r="X240">
        <v>0</v>
      </c>
      <c r="AA240">
        <v>0</v>
      </c>
    </row>
    <row r="241" spans="1:27">
      <c r="A241" s="1">
        <v>239</v>
      </c>
      <c r="B241">
        <v>239978</v>
      </c>
      <c r="C241" t="s">
        <v>270</v>
      </c>
      <c r="D241" t="s">
        <v>1278</v>
      </c>
      <c r="E241" t="s">
        <v>2084</v>
      </c>
      <c r="G241">
        <f>"076270490X"</f>
        <v>0</v>
      </c>
      <c r="H241">
        <f>"9780762704903"</f>
        <v>0</v>
      </c>
      <c r="I241">
        <v>0</v>
      </c>
      <c r="J241">
        <v>4.06</v>
      </c>
      <c r="K241" t="s">
        <v>3158</v>
      </c>
      <c r="L241" t="s">
        <v>3491</v>
      </c>
      <c r="M241">
        <v>246</v>
      </c>
      <c r="N241">
        <v>1999</v>
      </c>
      <c r="O241">
        <v>1979</v>
      </c>
      <c r="Q241" t="s">
        <v>3655</v>
      </c>
      <c r="R241" t="s">
        <v>3863</v>
      </c>
      <c r="S241" t="s">
        <v>4084</v>
      </c>
      <c r="T241" t="s">
        <v>3863</v>
      </c>
      <c r="X241">
        <v>0</v>
      </c>
      <c r="AA241">
        <v>0</v>
      </c>
    </row>
    <row r="242" spans="1:27">
      <c r="A242" s="1">
        <v>240</v>
      </c>
      <c r="B242">
        <v>42041926</v>
      </c>
      <c r="C242" t="s">
        <v>271</v>
      </c>
      <c r="D242" t="s">
        <v>1279</v>
      </c>
      <c r="E242" t="s">
        <v>2085</v>
      </c>
      <c r="G242">
        <f>"0735217556"</f>
        <v>0</v>
      </c>
      <c r="H242">
        <f>"9780735217553"</f>
        <v>0</v>
      </c>
      <c r="I242">
        <v>2</v>
      </c>
      <c r="J242">
        <v>4.17</v>
      </c>
      <c r="K242" t="s">
        <v>3012</v>
      </c>
      <c r="L242" t="s">
        <v>3492</v>
      </c>
      <c r="M242">
        <v>288</v>
      </c>
      <c r="N242">
        <v>2021</v>
      </c>
      <c r="O242">
        <v>2019</v>
      </c>
      <c r="P242" t="s">
        <v>3512</v>
      </c>
      <c r="Q242" t="s">
        <v>3656</v>
      </c>
      <c r="T242" t="s">
        <v>4621</v>
      </c>
      <c r="U242" t="s">
        <v>4636</v>
      </c>
      <c r="X242">
        <v>1</v>
      </c>
      <c r="AA242">
        <v>0</v>
      </c>
    </row>
    <row r="243" spans="1:27">
      <c r="A243" s="1">
        <v>241</v>
      </c>
      <c r="B243">
        <v>93904</v>
      </c>
      <c r="C243" t="s">
        <v>272</v>
      </c>
      <c r="D243" t="s">
        <v>1280</v>
      </c>
      <c r="E243" t="s">
        <v>2086</v>
      </c>
      <c r="F243" t="s">
        <v>2734</v>
      </c>
      <c r="G243">
        <f>"0743299795"</f>
        <v>0</v>
      </c>
      <c r="H243">
        <f>"9780743299794"</f>
        <v>0</v>
      </c>
      <c r="I243">
        <v>0</v>
      </c>
      <c r="J243">
        <v>4.05</v>
      </c>
      <c r="K243" t="s">
        <v>3000</v>
      </c>
      <c r="L243" t="s">
        <v>3491</v>
      </c>
      <c r="M243">
        <v>352</v>
      </c>
      <c r="N243">
        <v>2007</v>
      </c>
      <c r="O243">
        <v>1990</v>
      </c>
      <c r="Q243" t="s">
        <v>3656</v>
      </c>
      <c r="R243" t="s">
        <v>3863</v>
      </c>
      <c r="S243" t="s">
        <v>4085</v>
      </c>
      <c r="T243" t="s">
        <v>3863</v>
      </c>
      <c r="X243">
        <v>0</v>
      </c>
      <c r="AA243">
        <v>0</v>
      </c>
    </row>
    <row r="244" spans="1:27">
      <c r="A244" s="1">
        <v>242</v>
      </c>
      <c r="B244">
        <v>769885</v>
      </c>
      <c r="C244" t="s">
        <v>273</v>
      </c>
      <c r="D244" t="s">
        <v>1281</v>
      </c>
      <c r="E244" t="s">
        <v>2087</v>
      </c>
      <c r="F244" t="s">
        <v>2735</v>
      </c>
      <c r="G244">
        <f>"0449221873"</f>
        <v>0</v>
      </c>
      <c r="H244">
        <f>"9780449221877"</f>
        <v>0</v>
      </c>
      <c r="I244">
        <v>0</v>
      </c>
      <c r="J244">
        <v>3.74</v>
      </c>
      <c r="K244" t="s">
        <v>3159</v>
      </c>
      <c r="L244" t="s">
        <v>3491</v>
      </c>
      <c r="M244">
        <v>672</v>
      </c>
      <c r="N244">
        <v>1994</v>
      </c>
      <c r="O244">
        <v>1992</v>
      </c>
      <c r="Q244" t="s">
        <v>3657</v>
      </c>
      <c r="R244" t="s">
        <v>3863</v>
      </c>
      <c r="S244" t="s">
        <v>4086</v>
      </c>
      <c r="T244" t="s">
        <v>3863</v>
      </c>
      <c r="X244">
        <v>0</v>
      </c>
      <c r="AA244">
        <v>0</v>
      </c>
    </row>
    <row r="245" spans="1:27">
      <c r="A245" s="1">
        <v>243</v>
      </c>
      <c r="B245">
        <v>42193976</v>
      </c>
      <c r="C245" t="s">
        <v>274</v>
      </c>
      <c r="D245" t="s">
        <v>1282</v>
      </c>
      <c r="E245" t="s">
        <v>2088</v>
      </c>
      <c r="F245" t="s">
        <v>2736</v>
      </c>
      <c r="G245">
        <f>"1454933275"</f>
        <v>0</v>
      </c>
      <c r="H245">
        <f>"9781454933274"</f>
        <v>0</v>
      </c>
      <c r="I245">
        <v>0</v>
      </c>
      <c r="J245">
        <v>4.5</v>
      </c>
      <c r="K245" t="s">
        <v>3160</v>
      </c>
      <c r="L245" t="s">
        <v>3492</v>
      </c>
      <c r="M245">
        <v>352</v>
      </c>
      <c r="N245">
        <v>2019</v>
      </c>
      <c r="O245">
        <v>2019</v>
      </c>
      <c r="Q245" t="s">
        <v>3658</v>
      </c>
      <c r="R245" t="s">
        <v>3863</v>
      </c>
      <c r="S245" t="s">
        <v>4087</v>
      </c>
      <c r="T245" t="s">
        <v>3863</v>
      </c>
      <c r="X245">
        <v>0</v>
      </c>
      <c r="AA245">
        <v>0</v>
      </c>
    </row>
    <row r="246" spans="1:27">
      <c r="A246" s="1">
        <v>244</v>
      </c>
      <c r="B246">
        <v>12633800</v>
      </c>
      <c r="C246" t="s">
        <v>275</v>
      </c>
      <c r="D246" t="s">
        <v>1182</v>
      </c>
      <c r="E246" t="s">
        <v>1988</v>
      </c>
      <c r="G246">
        <f>"1463750358"</f>
        <v>0</v>
      </c>
      <c r="H246">
        <f>"9781463750350"</f>
        <v>0</v>
      </c>
      <c r="I246">
        <v>0</v>
      </c>
      <c r="J246">
        <v>4.29</v>
      </c>
      <c r="K246" t="s">
        <v>3116</v>
      </c>
      <c r="L246" t="s">
        <v>3491</v>
      </c>
      <c r="M246">
        <v>246</v>
      </c>
      <c r="N246">
        <v>2011</v>
      </c>
      <c r="O246">
        <v>2011</v>
      </c>
      <c r="Q246" t="s">
        <v>3659</v>
      </c>
      <c r="R246" t="s">
        <v>3863</v>
      </c>
      <c r="S246" t="s">
        <v>4088</v>
      </c>
      <c r="T246" t="s">
        <v>3863</v>
      </c>
      <c r="X246">
        <v>0</v>
      </c>
      <c r="AA246">
        <v>0</v>
      </c>
    </row>
    <row r="247" spans="1:27">
      <c r="A247" s="1">
        <v>245</v>
      </c>
      <c r="B247">
        <v>18774964</v>
      </c>
      <c r="C247" t="s">
        <v>276</v>
      </c>
      <c r="D247" t="s">
        <v>1283</v>
      </c>
      <c r="E247" t="s">
        <v>2089</v>
      </c>
      <c r="F247" t="s">
        <v>2737</v>
      </c>
      <c r="G247">
        <f>"1476738017"</f>
        <v>0</v>
      </c>
      <c r="H247">
        <f>"9781476738017"</f>
        <v>0</v>
      </c>
      <c r="I247">
        <v>0</v>
      </c>
      <c r="J247">
        <v>4.37</v>
      </c>
      <c r="K247" t="s">
        <v>3161</v>
      </c>
      <c r="L247" t="s">
        <v>3492</v>
      </c>
      <c r="M247">
        <v>337</v>
      </c>
      <c r="N247">
        <v>2014</v>
      </c>
      <c r="O247">
        <v>2012</v>
      </c>
      <c r="Q247" t="s">
        <v>3660</v>
      </c>
      <c r="R247" t="s">
        <v>3863</v>
      </c>
      <c r="S247" t="s">
        <v>4089</v>
      </c>
      <c r="T247" t="s">
        <v>3863</v>
      </c>
      <c r="X247">
        <v>0</v>
      </c>
      <c r="AA247">
        <v>0</v>
      </c>
    </row>
    <row r="248" spans="1:27">
      <c r="A248" s="1">
        <v>246</v>
      </c>
      <c r="B248">
        <v>524985</v>
      </c>
      <c r="C248" t="s">
        <v>277</v>
      </c>
      <c r="D248" t="s">
        <v>1284</v>
      </c>
      <c r="E248" t="s">
        <v>2090</v>
      </c>
      <c r="F248" t="s">
        <v>2738</v>
      </c>
      <c r="G248">
        <f>"0140187774"</f>
        <v>0</v>
      </c>
      <c r="H248">
        <f>"9780140187779"</f>
        <v>0</v>
      </c>
      <c r="I248">
        <v>4</v>
      </c>
      <c r="J248">
        <v>4.33</v>
      </c>
      <c r="K248" t="s">
        <v>3146</v>
      </c>
      <c r="L248" t="s">
        <v>3491</v>
      </c>
      <c r="M248">
        <v>448</v>
      </c>
      <c r="N248">
        <v>1993</v>
      </c>
      <c r="O248">
        <v>1936</v>
      </c>
      <c r="P248" t="s">
        <v>3513</v>
      </c>
      <c r="Q248" t="s">
        <v>3661</v>
      </c>
      <c r="T248" t="s">
        <v>4621</v>
      </c>
      <c r="U248" t="s">
        <v>4637</v>
      </c>
      <c r="X248">
        <v>1</v>
      </c>
      <c r="AA248">
        <v>0</v>
      </c>
    </row>
    <row r="249" spans="1:27">
      <c r="A249" s="1">
        <v>247</v>
      </c>
      <c r="B249">
        <v>1992472</v>
      </c>
      <c r="C249" t="s">
        <v>278</v>
      </c>
      <c r="D249" t="s">
        <v>1285</v>
      </c>
      <c r="E249" t="s">
        <v>2091</v>
      </c>
      <c r="G249">
        <f>"0312309260"</f>
        <v>0</v>
      </c>
      <c r="H249">
        <f>"9780312309268"</f>
        <v>0</v>
      </c>
      <c r="I249">
        <v>0</v>
      </c>
      <c r="J249">
        <v>3.88</v>
      </c>
      <c r="K249" t="s">
        <v>3162</v>
      </c>
      <c r="L249" t="s">
        <v>3492</v>
      </c>
      <c r="M249">
        <v>307</v>
      </c>
      <c r="N249">
        <v>1985</v>
      </c>
      <c r="O249">
        <v>1985</v>
      </c>
      <c r="Q249" t="s">
        <v>3662</v>
      </c>
      <c r="R249" t="s">
        <v>3863</v>
      </c>
      <c r="S249" t="s">
        <v>4090</v>
      </c>
      <c r="T249" t="s">
        <v>3863</v>
      </c>
      <c r="X249">
        <v>0</v>
      </c>
      <c r="AA249">
        <v>0</v>
      </c>
    </row>
    <row r="250" spans="1:27">
      <c r="A250" s="1">
        <v>248</v>
      </c>
      <c r="B250">
        <v>103017</v>
      </c>
      <c r="C250" t="s">
        <v>279</v>
      </c>
      <c r="D250" t="s">
        <v>1286</v>
      </c>
      <c r="E250" t="s">
        <v>2092</v>
      </c>
      <c r="G250">
        <f>"0060973943"</f>
        <v>0</v>
      </c>
      <c r="H250">
        <f>"9780060973940"</f>
        <v>0</v>
      </c>
      <c r="I250">
        <v>0</v>
      </c>
      <c r="J250">
        <v>4.25</v>
      </c>
      <c r="K250" t="s">
        <v>3163</v>
      </c>
      <c r="L250" t="s">
        <v>3491</v>
      </c>
      <c r="M250">
        <v>704</v>
      </c>
      <c r="N250">
        <v>1991</v>
      </c>
      <c r="O250">
        <v>1990</v>
      </c>
      <c r="Q250" t="s">
        <v>3513</v>
      </c>
      <c r="R250" t="s">
        <v>3863</v>
      </c>
      <c r="S250" t="s">
        <v>4091</v>
      </c>
      <c r="T250" t="s">
        <v>3863</v>
      </c>
      <c r="X250">
        <v>0</v>
      </c>
      <c r="AA250">
        <v>0</v>
      </c>
    </row>
    <row r="251" spans="1:27">
      <c r="A251" s="1">
        <v>249</v>
      </c>
      <c r="B251">
        <v>30672</v>
      </c>
      <c r="C251" t="s">
        <v>280</v>
      </c>
      <c r="D251" t="s">
        <v>1287</v>
      </c>
      <c r="E251" t="s">
        <v>2093</v>
      </c>
      <c r="F251" t="s">
        <v>2739</v>
      </c>
      <c r="G251">
        <f>"0553265954"</f>
        <v>0</v>
      </c>
      <c r="H251">
        <f>"9780553265958"</f>
        <v>0</v>
      </c>
      <c r="I251">
        <v>0</v>
      </c>
      <c r="J251">
        <v>4.09</v>
      </c>
      <c r="K251" t="s">
        <v>3164</v>
      </c>
      <c r="L251" t="s">
        <v>3495</v>
      </c>
      <c r="M251">
        <v>216</v>
      </c>
      <c r="N251">
        <v>1984</v>
      </c>
      <c r="O251">
        <v>1940</v>
      </c>
      <c r="Q251" t="s">
        <v>3513</v>
      </c>
      <c r="R251" t="s">
        <v>3863</v>
      </c>
      <c r="S251" t="s">
        <v>4092</v>
      </c>
      <c r="T251" t="s">
        <v>3863</v>
      </c>
      <c r="X251">
        <v>0</v>
      </c>
      <c r="AA251">
        <v>0</v>
      </c>
    </row>
    <row r="252" spans="1:27">
      <c r="A252" s="1">
        <v>250</v>
      </c>
      <c r="B252">
        <v>51606</v>
      </c>
      <c r="C252" t="s">
        <v>281</v>
      </c>
      <c r="D252" t="s">
        <v>1288</v>
      </c>
      <c r="E252" t="s">
        <v>2094</v>
      </c>
      <c r="G252">
        <f>"0806512814"</f>
        <v>0</v>
      </c>
      <c r="H252">
        <f>"9780806512815"</f>
        <v>0</v>
      </c>
      <c r="I252">
        <v>0</v>
      </c>
      <c r="J252">
        <v>4.19</v>
      </c>
      <c r="K252" t="s">
        <v>3165</v>
      </c>
      <c r="L252" t="s">
        <v>3491</v>
      </c>
      <c r="M252">
        <v>309</v>
      </c>
      <c r="N252">
        <v>2000</v>
      </c>
      <c r="O252">
        <v>1939</v>
      </c>
      <c r="Q252" t="s">
        <v>3663</v>
      </c>
      <c r="R252" t="s">
        <v>3863</v>
      </c>
      <c r="S252" t="s">
        <v>4093</v>
      </c>
      <c r="T252" t="s">
        <v>3863</v>
      </c>
      <c r="X252">
        <v>0</v>
      </c>
      <c r="AA252">
        <v>0</v>
      </c>
    </row>
    <row r="253" spans="1:27">
      <c r="A253" s="1">
        <v>251</v>
      </c>
      <c r="B253">
        <v>139069</v>
      </c>
      <c r="C253" t="s">
        <v>282</v>
      </c>
      <c r="D253" t="s">
        <v>1289</v>
      </c>
      <c r="E253" t="s">
        <v>2095</v>
      </c>
      <c r="G253">
        <f>""</f>
        <v>0</v>
      </c>
      <c r="H253">
        <f>""</f>
        <v>0</v>
      </c>
      <c r="I253">
        <v>0</v>
      </c>
      <c r="J253">
        <v>4.4</v>
      </c>
      <c r="K253" t="s">
        <v>3166</v>
      </c>
      <c r="L253" t="s">
        <v>3492</v>
      </c>
      <c r="M253">
        <v>282</v>
      </c>
      <c r="N253">
        <v>1999</v>
      </c>
      <c r="O253">
        <v>1959</v>
      </c>
      <c r="Q253" t="s">
        <v>3664</v>
      </c>
      <c r="R253" t="s">
        <v>3863</v>
      </c>
      <c r="S253" t="s">
        <v>4094</v>
      </c>
      <c r="T253" t="s">
        <v>3863</v>
      </c>
      <c r="X253">
        <v>0</v>
      </c>
      <c r="AA253">
        <v>0</v>
      </c>
    </row>
    <row r="254" spans="1:27">
      <c r="A254" s="1">
        <v>252</v>
      </c>
      <c r="B254">
        <v>29876930</v>
      </c>
      <c r="C254" t="s">
        <v>283</v>
      </c>
      <c r="D254" t="s">
        <v>1290</v>
      </c>
      <c r="E254" t="s">
        <v>2096</v>
      </c>
      <c r="G254">
        <f>"0674737245"</f>
        <v>0</v>
      </c>
      <c r="H254">
        <f>"9780674737242"</f>
        <v>0</v>
      </c>
      <c r="I254">
        <v>0</v>
      </c>
      <c r="J254">
        <v>3.67</v>
      </c>
      <c r="K254" t="s">
        <v>3057</v>
      </c>
      <c r="L254" t="s">
        <v>3492</v>
      </c>
      <c r="M254">
        <v>416</v>
      </c>
      <c r="N254">
        <v>2016</v>
      </c>
      <c r="Q254" t="s">
        <v>3664</v>
      </c>
      <c r="R254" t="s">
        <v>3863</v>
      </c>
      <c r="S254" t="s">
        <v>4095</v>
      </c>
      <c r="T254" t="s">
        <v>3863</v>
      </c>
      <c r="X254">
        <v>0</v>
      </c>
      <c r="AA254">
        <v>0</v>
      </c>
    </row>
    <row r="255" spans="1:27">
      <c r="A255" s="1">
        <v>253</v>
      </c>
      <c r="B255">
        <v>61550</v>
      </c>
      <c r="C255" t="s">
        <v>284</v>
      </c>
      <c r="D255" t="s">
        <v>1139</v>
      </c>
      <c r="E255" t="s">
        <v>1945</v>
      </c>
      <c r="G255">
        <f>"0415278449"</f>
        <v>0</v>
      </c>
      <c r="H255">
        <f>"9780415278447"</f>
        <v>0</v>
      </c>
      <c r="I255">
        <v>0</v>
      </c>
      <c r="J255">
        <v>4.03</v>
      </c>
      <c r="K255" t="s">
        <v>3155</v>
      </c>
      <c r="L255" t="s">
        <v>3491</v>
      </c>
      <c r="M255">
        <v>544</v>
      </c>
      <c r="N255">
        <v>2002</v>
      </c>
      <c r="O255">
        <v>1934</v>
      </c>
      <c r="Q255" t="s">
        <v>3664</v>
      </c>
      <c r="R255" t="s">
        <v>3863</v>
      </c>
      <c r="S255" t="s">
        <v>4096</v>
      </c>
      <c r="T255" t="s">
        <v>3863</v>
      </c>
      <c r="X255">
        <v>0</v>
      </c>
      <c r="AA255">
        <v>0</v>
      </c>
    </row>
    <row r="256" spans="1:27">
      <c r="A256" s="1">
        <v>254</v>
      </c>
      <c r="B256">
        <v>6411016</v>
      </c>
      <c r="C256" t="s">
        <v>285</v>
      </c>
      <c r="D256" t="s">
        <v>1291</v>
      </c>
      <c r="E256" t="s">
        <v>2097</v>
      </c>
      <c r="G256">
        <f>"0979528534"</f>
        <v>0</v>
      </c>
      <c r="H256">
        <f>"9780979528538"</f>
        <v>0</v>
      </c>
      <c r="I256">
        <v>0</v>
      </c>
      <c r="J256">
        <v>4.22</v>
      </c>
      <c r="K256" t="s">
        <v>3167</v>
      </c>
      <c r="L256" t="s">
        <v>3491</v>
      </c>
      <c r="M256">
        <v>663</v>
      </c>
      <c r="N256">
        <v>2009</v>
      </c>
      <c r="O256">
        <v>2010</v>
      </c>
      <c r="Q256" t="s">
        <v>3664</v>
      </c>
      <c r="R256" t="s">
        <v>3863</v>
      </c>
      <c r="S256" t="s">
        <v>4097</v>
      </c>
      <c r="T256" t="s">
        <v>3863</v>
      </c>
      <c r="X256">
        <v>0</v>
      </c>
      <c r="AA256">
        <v>0</v>
      </c>
    </row>
    <row r="257" spans="1:27">
      <c r="A257" s="1">
        <v>255</v>
      </c>
      <c r="B257">
        <v>16634</v>
      </c>
      <c r="C257" t="s">
        <v>286</v>
      </c>
      <c r="D257" t="s">
        <v>1292</v>
      </c>
      <c r="E257" t="s">
        <v>2098</v>
      </c>
      <c r="F257" t="s">
        <v>2740</v>
      </c>
      <c r="G257">
        <f>"0312278497"</f>
        <v>0</v>
      </c>
      <c r="H257">
        <f>"9780312278496"</f>
        <v>0</v>
      </c>
      <c r="I257">
        <v>0</v>
      </c>
      <c r="J257">
        <v>4.11</v>
      </c>
      <c r="K257" t="s">
        <v>3034</v>
      </c>
      <c r="L257" t="s">
        <v>3491</v>
      </c>
      <c r="M257">
        <v>578</v>
      </c>
      <c r="N257">
        <v>2002</v>
      </c>
      <c r="O257">
        <v>1943</v>
      </c>
      <c r="Q257" t="s">
        <v>3664</v>
      </c>
      <c r="R257" t="s">
        <v>3863</v>
      </c>
      <c r="S257" t="s">
        <v>4098</v>
      </c>
      <c r="T257" t="s">
        <v>3863</v>
      </c>
      <c r="X257">
        <v>0</v>
      </c>
      <c r="AA257">
        <v>0</v>
      </c>
    </row>
    <row r="258" spans="1:27">
      <c r="A258" s="1">
        <v>256</v>
      </c>
      <c r="B258">
        <v>1058472</v>
      </c>
      <c r="C258" t="s">
        <v>287</v>
      </c>
      <c r="D258" t="s">
        <v>1293</v>
      </c>
      <c r="E258" t="s">
        <v>2099</v>
      </c>
      <c r="F258" t="s">
        <v>2741</v>
      </c>
      <c r="G258">
        <f>"0440010098"</f>
        <v>0</v>
      </c>
      <c r="H258">
        <f>"9780440010098"</f>
        <v>0</v>
      </c>
      <c r="I258">
        <v>0</v>
      </c>
      <c r="J258">
        <v>4.23</v>
      </c>
      <c r="K258" t="s">
        <v>3168</v>
      </c>
      <c r="L258" t="s">
        <v>3495</v>
      </c>
      <c r="M258">
        <v>616</v>
      </c>
      <c r="N258">
        <v>1969</v>
      </c>
      <c r="O258">
        <v>1967</v>
      </c>
      <c r="Q258" t="s">
        <v>3664</v>
      </c>
      <c r="R258" t="s">
        <v>3863</v>
      </c>
      <c r="S258" t="s">
        <v>4099</v>
      </c>
      <c r="T258" t="s">
        <v>3863</v>
      </c>
      <c r="X258">
        <v>0</v>
      </c>
      <c r="AA258">
        <v>0</v>
      </c>
    </row>
    <row r="259" spans="1:27">
      <c r="A259" s="1">
        <v>257</v>
      </c>
      <c r="B259">
        <v>1140913</v>
      </c>
      <c r="C259" t="s">
        <v>288</v>
      </c>
      <c r="D259" t="s">
        <v>1294</v>
      </c>
      <c r="E259" t="s">
        <v>2100</v>
      </c>
      <c r="F259" t="s">
        <v>1295</v>
      </c>
      <c r="G259">
        <f>"0714682497"</f>
        <v>0</v>
      </c>
      <c r="H259">
        <f>"9780714682495"</f>
        <v>0</v>
      </c>
      <c r="I259">
        <v>0</v>
      </c>
      <c r="J259">
        <v>4.03</v>
      </c>
      <c r="K259" t="s">
        <v>3169</v>
      </c>
      <c r="L259" t="s">
        <v>3491</v>
      </c>
      <c r="M259">
        <v>414</v>
      </c>
      <c r="N259">
        <v>2003</v>
      </c>
      <c r="O259">
        <v>1998</v>
      </c>
      <c r="Q259" t="s">
        <v>3664</v>
      </c>
      <c r="R259" t="s">
        <v>3863</v>
      </c>
      <c r="S259" t="s">
        <v>4100</v>
      </c>
      <c r="T259" t="s">
        <v>3863</v>
      </c>
      <c r="X259">
        <v>0</v>
      </c>
      <c r="AA259">
        <v>0</v>
      </c>
    </row>
    <row r="260" spans="1:27">
      <c r="A260" s="1">
        <v>258</v>
      </c>
      <c r="B260">
        <v>284419</v>
      </c>
      <c r="C260" t="s">
        <v>289</v>
      </c>
      <c r="D260" t="s">
        <v>1295</v>
      </c>
      <c r="E260" t="s">
        <v>2101</v>
      </c>
      <c r="F260" t="s">
        <v>2742</v>
      </c>
      <c r="G260">
        <f>"0714648574"</f>
        <v>0</v>
      </c>
      <c r="H260">
        <f>"9780714648576"</f>
        <v>0</v>
      </c>
      <c r="I260">
        <v>0</v>
      </c>
      <c r="J260">
        <v>3.92</v>
      </c>
      <c r="K260" t="s">
        <v>3155</v>
      </c>
      <c r="L260" t="s">
        <v>3492</v>
      </c>
      <c r="M260">
        <v>264</v>
      </c>
      <c r="N260">
        <v>1998</v>
      </c>
      <c r="O260">
        <v>1996</v>
      </c>
      <c r="Q260" t="s">
        <v>3664</v>
      </c>
      <c r="R260" t="s">
        <v>3863</v>
      </c>
      <c r="S260" t="s">
        <v>4101</v>
      </c>
      <c r="T260" t="s">
        <v>3863</v>
      </c>
      <c r="X260">
        <v>0</v>
      </c>
      <c r="AA260">
        <v>0</v>
      </c>
    </row>
    <row r="261" spans="1:27">
      <c r="A261" s="1">
        <v>259</v>
      </c>
      <c r="B261">
        <v>1048424</v>
      </c>
      <c r="C261" t="s">
        <v>290</v>
      </c>
      <c r="D261" t="s">
        <v>1296</v>
      </c>
      <c r="E261" t="s">
        <v>2102</v>
      </c>
      <c r="G261">
        <f>"0521405998"</f>
        <v>0</v>
      </c>
      <c r="H261">
        <f>"9780521405997"</f>
        <v>0</v>
      </c>
      <c r="I261">
        <v>0</v>
      </c>
      <c r="J261">
        <v>4.2</v>
      </c>
      <c r="K261" t="s">
        <v>3021</v>
      </c>
      <c r="L261" t="s">
        <v>3491</v>
      </c>
      <c r="M261">
        <v>298</v>
      </c>
      <c r="N261">
        <v>1990</v>
      </c>
      <c r="O261">
        <v>1990</v>
      </c>
      <c r="Q261" t="s">
        <v>3664</v>
      </c>
      <c r="R261" t="s">
        <v>3863</v>
      </c>
      <c r="S261" t="s">
        <v>4102</v>
      </c>
      <c r="T261" t="s">
        <v>3863</v>
      </c>
      <c r="X261">
        <v>0</v>
      </c>
      <c r="AA261">
        <v>0</v>
      </c>
    </row>
    <row r="262" spans="1:27">
      <c r="A262" s="1">
        <v>260</v>
      </c>
      <c r="B262">
        <v>381988</v>
      </c>
      <c r="C262" t="s">
        <v>291</v>
      </c>
      <c r="D262" t="s">
        <v>1297</v>
      </c>
      <c r="E262" t="s">
        <v>2103</v>
      </c>
      <c r="F262" t="s">
        <v>2743</v>
      </c>
      <c r="G262">
        <f>"0908228015"</f>
        <v>0</v>
      </c>
      <c r="H262">
        <f>"9780908228010"</f>
        <v>0</v>
      </c>
      <c r="I262">
        <v>0</v>
      </c>
      <c r="J262">
        <v>4.47</v>
      </c>
      <c r="K262" t="s">
        <v>3170</v>
      </c>
      <c r="L262" t="s">
        <v>3492</v>
      </c>
      <c r="M262">
        <v>574</v>
      </c>
      <c r="N262">
        <v>1988</v>
      </c>
      <c r="O262">
        <v>1988</v>
      </c>
      <c r="Q262" t="s">
        <v>3665</v>
      </c>
      <c r="R262" t="s">
        <v>3863</v>
      </c>
      <c r="S262" t="s">
        <v>4103</v>
      </c>
      <c r="T262" t="s">
        <v>3863</v>
      </c>
      <c r="X262">
        <v>0</v>
      </c>
      <c r="AA262">
        <v>0</v>
      </c>
    </row>
    <row r="263" spans="1:27">
      <c r="A263" s="1">
        <v>261</v>
      </c>
      <c r="B263">
        <v>1153485</v>
      </c>
      <c r="C263" t="s">
        <v>292</v>
      </c>
      <c r="D263" t="s">
        <v>1298</v>
      </c>
      <c r="E263" t="s">
        <v>2104</v>
      </c>
      <c r="F263" t="s">
        <v>2744</v>
      </c>
      <c r="G263">
        <f>"0060124350"</f>
        <v>0</v>
      </c>
      <c r="H263">
        <f>"9780060124359"</f>
        <v>0</v>
      </c>
      <c r="I263">
        <v>0</v>
      </c>
      <c r="J263">
        <v>4.2</v>
      </c>
      <c r="K263" t="s">
        <v>3171</v>
      </c>
      <c r="L263" t="s">
        <v>3492</v>
      </c>
      <c r="M263">
        <v>341</v>
      </c>
      <c r="N263">
        <v>1962</v>
      </c>
      <c r="O263">
        <v>1962</v>
      </c>
      <c r="Q263" t="s">
        <v>3665</v>
      </c>
      <c r="R263" t="s">
        <v>3863</v>
      </c>
      <c r="S263" t="s">
        <v>4104</v>
      </c>
      <c r="T263" t="s">
        <v>3863</v>
      </c>
      <c r="X263">
        <v>0</v>
      </c>
      <c r="AA263">
        <v>0</v>
      </c>
    </row>
    <row r="264" spans="1:27">
      <c r="A264" s="1">
        <v>262</v>
      </c>
      <c r="B264">
        <v>439162</v>
      </c>
      <c r="C264" t="s">
        <v>293</v>
      </c>
      <c r="D264" t="s">
        <v>1299</v>
      </c>
      <c r="E264" t="s">
        <v>2105</v>
      </c>
      <c r="G264">
        <f>"0743423712"</f>
        <v>0</v>
      </c>
      <c r="H264">
        <f>"9780743423717"</f>
        <v>0</v>
      </c>
      <c r="I264">
        <v>0</v>
      </c>
      <c r="J264">
        <v>4.04</v>
      </c>
      <c r="K264" t="s">
        <v>3172</v>
      </c>
      <c r="L264" t="s">
        <v>3491</v>
      </c>
      <c r="M264">
        <v>320</v>
      </c>
      <c r="N264">
        <v>2001</v>
      </c>
      <c r="O264">
        <v>1942</v>
      </c>
      <c r="Q264" t="s">
        <v>3665</v>
      </c>
      <c r="R264" t="s">
        <v>3863</v>
      </c>
      <c r="S264" t="s">
        <v>4105</v>
      </c>
      <c r="T264" t="s">
        <v>3863</v>
      </c>
      <c r="X264">
        <v>0</v>
      </c>
      <c r="AA264">
        <v>0</v>
      </c>
    </row>
    <row r="265" spans="1:27">
      <c r="A265" s="1">
        <v>263</v>
      </c>
      <c r="B265">
        <v>18680050</v>
      </c>
      <c r="C265" t="s">
        <v>294</v>
      </c>
      <c r="D265" t="s">
        <v>1300</v>
      </c>
      <c r="E265" t="s">
        <v>2106</v>
      </c>
      <c r="G265">
        <f>""</f>
        <v>0</v>
      </c>
      <c r="H265">
        <f>""</f>
        <v>0</v>
      </c>
      <c r="I265">
        <v>0</v>
      </c>
      <c r="J265">
        <v>3.62</v>
      </c>
      <c r="L265" t="s">
        <v>3493</v>
      </c>
      <c r="M265">
        <v>136</v>
      </c>
      <c r="N265">
        <v>2012</v>
      </c>
      <c r="O265">
        <v>1915</v>
      </c>
      <c r="Q265" t="s">
        <v>3665</v>
      </c>
      <c r="R265" t="s">
        <v>3863</v>
      </c>
      <c r="S265" t="s">
        <v>4106</v>
      </c>
      <c r="T265" t="s">
        <v>3863</v>
      </c>
      <c r="X265">
        <v>0</v>
      </c>
      <c r="AA265">
        <v>0</v>
      </c>
    </row>
    <row r="266" spans="1:27">
      <c r="A266" s="1">
        <v>264</v>
      </c>
      <c r="B266">
        <v>40425</v>
      </c>
      <c r="C266" t="s">
        <v>295</v>
      </c>
      <c r="D266" t="s">
        <v>1301</v>
      </c>
      <c r="E266" t="s">
        <v>2107</v>
      </c>
      <c r="F266" t="s">
        <v>2745</v>
      </c>
      <c r="G266">
        <f>"0809599813"</f>
        <v>0</v>
      </c>
      <c r="H266">
        <f>"9780809599813"</f>
        <v>0</v>
      </c>
      <c r="I266">
        <v>0</v>
      </c>
      <c r="J266">
        <v>3.9</v>
      </c>
      <c r="K266" t="s">
        <v>3173</v>
      </c>
      <c r="L266" t="s">
        <v>3491</v>
      </c>
      <c r="M266">
        <v>324</v>
      </c>
      <c r="N266">
        <v>2003</v>
      </c>
      <c r="O266">
        <v>1914</v>
      </c>
      <c r="Q266" t="s">
        <v>3665</v>
      </c>
      <c r="R266" t="s">
        <v>3863</v>
      </c>
      <c r="S266" t="s">
        <v>4107</v>
      </c>
      <c r="T266" t="s">
        <v>3863</v>
      </c>
      <c r="X266">
        <v>0</v>
      </c>
      <c r="AA266">
        <v>0</v>
      </c>
    </row>
    <row r="267" spans="1:27">
      <c r="A267" s="1">
        <v>265</v>
      </c>
      <c r="B267">
        <v>38290</v>
      </c>
      <c r="C267" t="s">
        <v>296</v>
      </c>
      <c r="D267" t="s">
        <v>1302</v>
      </c>
      <c r="E267" t="s">
        <v>2108</v>
      </c>
      <c r="F267" t="s">
        <v>2746</v>
      </c>
      <c r="G267">
        <f>"0192836676"</f>
        <v>0</v>
      </c>
      <c r="H267">
        <f>"9780192836670"</f>
        <v>0</v>
      </c>
      <c r="I267">
        <v>0</v>
      </c>
      <c r="J267">
        <v>3.42</v>
      </c>
      <c r="K267" t="s">
        <v>3061</v>
      </c>
      <c r="L267" t="s">
        <v>3491</v>
      </c>
      <c r="M267">
        <v>496</v>
      </c>
      <c r="N267">
        <v>2000</v>
      </c>
      <c r="O267">
        <v>1823</v>
      </c>
      <c r="Q267" t="s">
        <v>3665</v>
      </c>
      <c r="R267" t="s">
        <v>3863</v>
      </c>
      <c r="S267" t="s">
        <v>4108</v>
      </c>
      <c r="T267" t="s">
        <v>3863</v>
      </c>
      <c r="X267">
        <v>0</v>
      </c>
      <c r="AA267">
        <v>0</v>
      </c>
    </row>
    <row r="268" spans="1:27">
      <c r="A268" s="1">
        <v>266</v>
      </c>
      <c r="B268">
        <v>347245</v>
      </c>
      <c r="C268" t="s">
        <v>297</v>
      </c>
      <c r="D268" t="s">
        <v>1302</v>
      </c>
      <c r="E268" t="s">
        <v>2108</v>
      </c>
      <c r="F268" t="s">
        <v>2747</v>
      </c>
      <c r="G268">
        <f>"0451530195"</f>
        <v>0</v>
      </c>
      <c r="H268">
        <f>"9780451530196"</f>
        <v>0</v>
      </c>
      <c r="I268">
        <v>0</v>
      </c>
      <c r="J268">
        <v>3.88</v>
      </c>
      <c r="K268" t="s">
        <v>3049</v>
      </c>
      <c r="L268" t="s">
        <v>3491</v>
      </c>
      <c r="M268">
        <v>528</v>
      </c>
      <c r="N268">
        <v>2006</v>
      </c>
      <c r="O268">
        <v>1840</v>
      </c>
      <c r="Q268" t="s">
        <v>3665</v>
      </c>
      <c r="R268" t="s">
        <v>3863</v>
      </c>
      <c r="S268" t="s">
        <v>4109</v>
      </c>
      <c r="T268" t="s">
        <v>3863</v>
      </c>
      <c r="X268">
        <v>0</v>
      </c>
      <c r="AA268">
        <v>0</v>
      </c>
    </row>
    <row r="269" spans="1:27">
      <c r="A269" s="1">
        <v>267</v>
      </c>
      <c r="B269">
        <v>246245</v>
      </c>
      <c r="C269" t="s">
        <v>298</v>
      </c>
      <c r="D269" t="s">
        <v>1302</v>
      </c>
      <c r="E269" t="s">
        <v>2108</v>
      </c>
      <c r="F269" t="s">
        <v>2748</v>
      </c>
      <c r="G269">
        <f>"0451529391"</f>
        <v>0</v>
      </c>
      <c r="H269">
        <f>"9780451529398"</f>
        <v>0</v>
      </c>
      <c r="I269">
        <v>0</v>
      </c>
      <c r="J269">
        <v>3.69</v>
      </c>
      <c r="K269" t="s">
        <v>3174</v>
      </c>
      <c r="L269" t="s">
        <v>3491</v>
      </c>
      <c r="M269">
        <v>576</v>
      </c>
      <c r="N269">
        <v>2004</v>
      </c>
      <c r="O269">
        <v>1841</v>
      </c>
      <c r="Q269" t="s">
        <v>3665</v>
      </c>
      <c r="R269" t="s">
        <v>3863</v>
      </c>
      <c r="S269" t="s">
        <v>4110</v>
      </c>
      <c r="T269" t="s">
        <v>3863</v>
      </c>
      <c r="X269">
        <v>0</v>
      </c>
      <c r="AA269">
        <v>0</v>
      </c>
    </row>
    <row r="270" spans="1:27">
      <c r="A270" s="1">
        <v>268</v>
      </c>
      <c r="B270">
        <v>38296</v>
      </c>
      <c r="C270" t="s">
        <v>299</v>
      </c>
      <c r="D270" t="s">
        <v>1302</v>
      </c>
      <c r="E270" t="s">
        <v>2108</v>
      </c>
      <c r="G270">
        <f>"0553213296"</f>
        <v>0</v>
      </c>
      <c r="H270">
        <f>"9780553213294"</f>
        <v>0</v>
      </c>
      <c r="I270">
        <v>0</v>
      </c>
      <c r="J270">
        <v>3.7</v>
      </c>
      <c r="K270" t="s">
        <v>3175</v>
      </c>
      <c r="L270" t="s">
        <v>3491</v>
      </c>
      <c r="M270">
        <v>410</v>
      </c>
      <c r="N270">
        <v>1982</v>
      </c>
      <c r="O270">
        <v>1826</v>
      </c>
      <c r="Q270" t="s">
        <v>3665</v>
      </c>
      <c r="R270" t="s">
        <v>3863</v>
      </c>
      <c r="S270" t="s">
        <v>4111</v>
      </c>
      <c r="T270" t="s">
        <v>3863</v>
      </c>
      <c r="X270">
        <v>0</v>
      </c>
      <c r="AA270">
        <v>0</v>
      </c>
    </row>
    <row r="271" spans="1:27">
      <c r="A271" s="1">
        <v>269</v>
      </c>
      <c r="B271">
        <v>46674</v>
      </c>
      <c r="C271" t="s">
        <v>300</v>
      </c>
      <c r="D271" t="s">
        <v>1303</v>
      </c>
      <c r="E271" t="s">
        <v>2109</v>
      </c>
      <c r="G271">
        <f>"0380810336"</f>
        <v>0</v>
      </c>
      <c r="H271">
        <f>"9780380810338"</f>
        <v>0</v>
      </c>
      <c r="I271">
        <v>5</v>
      </c>
      <c r="J271">
        <v>4.03</v>
      </c>
      <c r="K271" t="s">
        <v>3023</v>
      </c>
      <c r="L271" t="s">
        <v>3495</v>
      </c>
      <c r="M271">
        <v>736</v>
      </c>
      <c r="N271">
        <v>2008</v>
      </c>
      <c r="O271">
        <v>1980</v>
      </c>
      <c r="P271" t="s">
        <v>3514</v>
      </c>
      <c r="Q271" t="s">
        <v>3666</v>
      </c>
      <c r="T271" t="s">
        <v>4621</v>
      </c>
      <c r="U271" t="s">
        <v>4638</v>
      </c>
      <c r="X271">
        <v>1</v>
      </c>
      <c r="AA271">
        <v>0</v>
      </c>
    </row>
    <row r="272" spans="1:27">
      <c r="A272" s="1">
        <v>270</v>
      </c>
      <c r="B272">
        <v>10266902</v>
      </c>
      <c r="C272" t="s">
        <v>301</v>
      </c>
      <c r="D272" t="s">
        <v>1304</v>
      </c>
      <c r="E272" t="s">
        <v>2110</v>
      </c>
      <c r="G272">
        <f>"046501867X"</f>
        <v>0</v>
      </c>
      <c r="H272">
        <f>"9780465018673"</f>
        <v>0</v>
      </c>
      <c r="I272">
        <v>3</v>
      </c>
      <c r="J272">
        <v>3.52</v>
      </c>
      <c r="K272" t="s">
        <v>3138</v>
      </c>
      <c r="L272" t="s">
        <v>3492</v>
      </c>
      <c r="M272">
        <v>240</v>
      </c>
      <c r="N272">
        <v>2011</v>
      </c>
      <c r="O272">
        <v>2011</v>
      </c>
      <c r="P272" t="s">
        <v>3515</v>
      </c>
      <c r="Q272" t="s">
        <v>3593</v>
      </c>
      <c r="T272" t="s">
        <v>4621</v>
      </c>
      <c r="U272" t="s">
        <v>4639</v>
      </c>
      <c r="X272">
        <v>1</v>
      </c>
      <c r="AA272">
        <v>0</v>
      </c>
    </row>
    <row r="273" spans="1:27">
      <c r="A273" s="1">
        <v>271</v>
      </c>
      <c r="B273">
        <v>32967586</v>
      </c>
      <c r="C273" t="s">
        <v>302</v>
      </c>
      <c r="D273" t="s">
        <v>1305</v>
      </c>
      <c r="E273" t="s">
        <v>2111</v>
      </c>
      <c r="G273">
        <f>"1479291560"</f>
        <v>0</v>
      </c>
      <c r="H273">
        <f>"9781479291564"</f>
        <v>0</v>
      </c>
      <c r="I273">
        <v>2</v>
      </c>
      <c r="J273">
        <v>2</v>
      </c>
      <c r="K273" t="s">
        <v>3116</v>
      </c>
      <c r="L273" t="s">
        <v>3491</v>
      </c>
      <c r="M273">
        <v>46</v>
      </c>
      <c r="N273">
        <v>2012</v>
      </c>
      <c r="P273" t="s">
        <v>3516</v>
      </c>
      <c r="Q273" t="s">
        <v>3667</v>
      </c>
      <c r="T273" t="s">
        <v>4621</v>
      </c>
      <c r="U273" t="s">
        <v>4640</v>
      </c>
      <c r="X273">
        <v>1</v>
      </c>
      <c r="AA273">
        <v>0</v>
      </c>
    </row>
    <row r="274" spans="1:27">
      <c r="A274" s="1">
        <v>272</v>
      </c>
      <c r="B274">
        <v>337517</v>
      </c>
      <c r="C274" t="s">
        <v>303</v>
      </c>
      <c r="D274" t="s">
        <v>1306</v>
      </c>
      <c r="E274" t="s">
        <v>2112</v>
      </c>
      <c r="F274" t="s">
        <v>2749</v>
      </c>
      <c r="G274">
        <f>"0804722153"</f>
        <v>0</v>
      </c>
      <c r="H274">
        <f>"9780804722155"</f>
        <v>0</v>
      </c>
      <c r="I274">
        <v>0</v>
      </c>
      <c r="J274">
        <v>4.3</v>
      </c>
      <c r="K274" t="s">
        <v>3119</v>
      </c>
      <c r="L274" t="s">
        <v>3491</v>
      </c>
      <c r="M274">
        <v>480</v>
      </c>
      <c r="N274">
        <v>1987</v>
      </c>
      <c r="O274">
        <v>1978</v>
      </c>
      <c r="Q274" t="s">
        <v>3668</v>
      </c>
      <c r="R274" t="s">
        <v>3863</v>
      </c>
      <c r="S274" t="s">
        <v>4112</v>
      </c>
      <c r="T274" t="s">
        <v>3863</v>
      </c>
      <c r="X274">
        <v>0</v>
      </c>
      <c r="AA274">
        <v>0</v>
      </c>
    </row>
    <row r="275" spans="1:27">
      <c r="A275" s="1">
        <v>273</v>
      </c>
      <c r="B275">
        <v>337521</v>
      </c>
      <c r="C275" t="s">
        <v>304</v>
      </c>
      <c r="D275" t="s">
        <v>1306</v>
      </c>
      <c r="E275" t="s">
        <v>2112</v>
      </c>
      <c r="F275" t="s">
        <v>2750</v>
      </c>
      <c r="G275">
        <f>"0801822181"</f>
        <v>0</v>
      </c>
      <c r="H275">
        <f>"9780801822186"</f>
        <v>0</v>
      </c>
      <c r="I275">
        <v>0</v>
      </c>
      <c r="J275">
        <v>4.14</v>
      </c>
      <c r="K275" t="s">
        <v>3176</v>
      </c>
      <c r="L275" t="s">
        <v>3491</v>
      </c>
      <c r="M275">
        <v>352</v>
      </c>
      <c r="N275">
        <v>1979</v>
      </c>
      <c r="O275">
        <v>1972</v>
      </c>
      <c r="Q275" t="s">
        <v>3668</v>
      </c>
      <c r="R275" t="s">
        <v>3863</v>
      </c>
      <c r="S275" t="s">
        <v>4113</v>
      </c>
      <c r="T275" t="s">
        <v>3863</v>
      </c>
      <c r="X275">
        <v>0</v>
      </c>
      <c r="AA275">
        <v>0</v>
      </c>
    </row>
    <row r="276" spans="1:27">
      <c r="A276" s="1">
        <v>274</v>
      </c>
      <c r="B276">
        <v>242319</v>
      </c>
      <c r="C276" t="s">
        <v>305</v>
      </c>
      <c r="D276" t="s">
        <v>1306</v>
      </c>
      <c r="E276" t="s">
        <v>2112</v>
      </c>
      <c r="F276" t="s">
        <v>2751</v>
      </c>
      <c r="G276">
        <f>"1570753199"</f>
        <v>0</v>
      </c>
      <c r="H276">
        <f>"9781570753190"</f>
        <v>0</v>
      </c>
      <c r="I276">
        <v>0</v>
      </c>
      <c r="J276">
        <v>4.34</v>
      </c>
      <c r="K276" t="s">
        <v>3177</v>
      </c>
      <c r="L276" t="s">
        <v>3491</v>
      </c>
      <c r="M276">
        <v>215</v>
      </c>
      <c r="N276">
        <v>2001</v>
      </c>
      <c r="O276">
        <v>1999</v>
      </c>
      <c r="Q276" t="s">
        <v>3668</v>
      </c>
      <c r="R276" t="s">
        <v>3863</v>
      </c>
      <c r="S276" t="s">
        <v>4114</v>
      </c>
      <c r="T276" t="s">
        <v>3863</v>
      </c>
      <c r="X276">
        <v>0</v>
      </c>
      <c r="AA276">
        <v>0</v>
      </c>
    </row>
    <row r="277" spans="1:27">
      <c r="A277" s="1">
        <v>275</v>
      </c>
      <c r="B277">
        <v>337520</v>
      </c>
      <c r="C277" t="s">
        <v>306</v>
      </c>
      <c r="D277" t="s">
        <v>1306</v>
      </c>
      <c r="E277" t="s">
        <v>2112</v>
      </c>
      <c r="F277" t="s">
        <v>2752</v>
      </c>
      <c r="G277">
        <f>"0801818303"</f>
        <v>0</v>
      </c>
      <c r="H277">
        <f>"9780801818301"</f>
        <v>0</v>
      </c>
      <c r="I277">
        <v>0</v>
      </c>
      <c r="J277">
        <v>4.26</v>
      </c>
      <c r="K277" t="s">
        <v>3176</v>
      </c>
      <c r="L277" t="s">
        <v>3491</v>
      </c>
      <c r="M277">
        <v>328</v>
      </c>
      <c r="N277">
        <v>1976</v>
      </c>
      <c r="O277">
        <v>1961</v>
      </c>
      <c r="Q277" t="s">
        <v>3668</v>
      </c>
      <c r="R277" t="s">
        <v>3863</v>
      </c>
      <c r="S277" t="s">
        <v>4115</v>
      </c>
      <c r="T277" t="s">
        <v>3863</v>
      </c>
      <c r="X277">
        <v>0</v>
      </c>
      <c r="AA277">
        <v>0</v>
      </c>
    </row>
    <row r="278" spans="1:27">
      <c r="A278" s="1">
        <v>276</v>
      </c>
      <c r="B278">
        <v>26827093</v>
      </c>
      <c r="C278" t="s">
        <v>307</v>
      </c>
      <c r="D278" t="s">
        <v>1307</v>
      </c>
      <c r="E278" t="s">
        <v>2113</v>
      </c>
      <c r="G278">
        <f>"0385352662"</f>
        <v>0</v>
      </c>
      <c r="H278">
        <f>"9780385352666"</f>
        <v>0</v>
      </c>
      <c r="I278">
        <v>0</v>
      </c>
      <c r="J278">
        <v>3.71</v>
      </c>
      <c r="K278" t="s">
        <v>3013</v>
      </c>
      <c r="L278" t="s">
        <v>3492</v>
      </c>
      <c r="M278">
        <v>416</v>
      </c>
      <c r="N278">
        <v>2016</v>
      </c>
      <c r="O278">
        <v>2016</v>
      </c>
      <c r="Q278" t="s">
        <v>3669</v>
      </c>
      <c r="R278" t="s">
        <v>3863</v>
      </c>
      <c r="S278" t="s">
        <v>4116</v>
      </c>
      <c r="T278" t="s">
        <v>3863</v>
      </c>
      <c r="X278">
        <v>0</v>
      </c>
      <c r="AA278">
        <v>0</v>
      </c>
    </row>
    <row r="279" spans="1:27">
      <c r="A279" s="1">
        <v>277</v>
      </c>
      <c r="B279">
        <v>569179</v>
      </c>
      <c r="C279" t="s">
        <v>308</v>
      </c>
      <c r="D279" t="s">
        <v>1307</v>
      </c>
      <c r="E279" t="s">
        <v>2113</v>
      </c>
      <c r="G279">
        <f>"0452287472"</f>
        <v>0</v>
      </c>
      <c r="H279">
        <f>"9780452287471"</f>
        <v>0</v>
      </c>
      <c r="I279">
        <v>0</v>
      </c>
      <c r="J279">
        <v>3.87</v>
      </c>
      <c r="K279" t="s">
        <v>3010</v>
      </c>
      <c r="L279" t="s">
        <v>3491</v>
      </c>
      <c r="M279">
        <v>272</v>
      </c>
      <c r="N279">
        <v>2006</v>
      </c>
      <c r="O279">
        <v>2005</v>
      </c>
      <c r="Q279" t="s">
        <v>3669</v>
      </c>
      <c r="R279" t="s">
        <v>3863</v>
      </c>
      <c r="S279" t="s">
        <v>4117</v>
      </c>
      <c r="T279" t="s">
        <v>3863</v>
      </c>
      <c r="X279">
        <v>0</v>
      </c>
      <c r="AA279">
        <v>0</v>
      </c>
    </row>
    <row r="280" spans="1:27">
      <c r="A280" s="1">
        <v>278</v>
      </c>
      <c r="B280">
        <v>55298400</v>
      </c>
      <c r="C280" t="s">
        <v>309</v>
      </c>
      <c r="D280" t="s">
        <v>1307</v>
      </c>
      <c r="E280" t="s">
        <v>2113</v>
      </c>
      <c r="G280">
        <f>"1324005440"</f>
        <v>0</v>
      </c>
      <c r="H280">
        <f>"9781324005445"</f>
        <v>0</v>
      </c>
      <c r="I280">
        <v>0</v>
      </c>
      <c r="J280">
        <v>4.07</v>
      </c>
      <c r="K280" t="s">
        <v>3038</v>
      </c>
      <c r="L280" t="s">
        <v>3492</v>
      </c>
      <c r="M280">
        <v>368</v>
      </c>
      <c r="N280">
        <v>2021</v>
      </c>
      <c r="Q280" t="s">
        <v>3669</v>
      </c>
      <c r="R280" t="s">
        <v>3863</v>
      </c>
      <c r="S280" t="s">
        <v>4118</v>
      </c>
      <c r="T280" t="s">
        <v>3863</v>
      </c>
      <c r="X280">
        <v>0</v>
      </c>
      <c r="AA280">
        <v>0</v>
      </c>
    </row>
    <row r="281" spans="1:27">
      <c r="A281" s="1">
        <v>279</v>
      </c>
      <c r="B281">
        <v>54545286</v>
      </c>
      <c r="C281" t="s">
        <v>310</v>
      </c>
      <c r="D281" t="s">
        <v>1308</v>
      </c>
      <c r="E281" t="s">
        <v>2114</v>
      </c>
      <c r="F281" t="s">
        <v>2753</v>
      </c>
      <c r="G281">
        <f>"1950665461"</f>
        <v>0</v>
      </c>
      <c r="H281">
        <f>"9781950665464"</f>
        <v>0</v>
      </c>
      <c r="I281">
        <v>0</v>
      </c>
      <c r="J281">
        <v>4.27</v>
      </c>
      <c r="K281" t="s">
        <v>3178</v>
      </c>
      <c r="L281" t="s">
        <v>3492</v>
      </c>
      <c r="M281">
        <v>310</v>
      </c>
      <c r="N281">
        <v>2021</v>
      </c>
      <c r="O281">
        <v>2021</v>
      </c>
      <c r="Q281" t="s">
        <v>3670</v>
      </c>
      <c r="R281" t="s">
        <v>3863</v>
      </c>
      <c r="S281" t="s">
        <v>4119</v>
      </c>
      <c r="T281" t="s">
        <v>3863</v>
      </c>
      <c r="X281">
        <v>0</v>
      </c>
      <c r="AA281">
        <v>0</v>
      </c>
    </row>
    <row r="282" spans="1:27">
      <c r="A282" s="1">
        <v>280</v>
      </c>
      <c r="B282">
        <v>31850765</v>
      </c>
      <c r="C282" t="s">
        <v>311</v>
      </c>
      <c r="D282" t="s">
        <v>1309</v>
      </c>
      <c r="E282" t="s">
        <v>2115</v>
      </c>
      <c r="G282">
        <f>"0262035774"</f>
        <v>0</v>
      </c>
      <c r="H282">
        <f>"9780262035774"</f>
        <v>0</v>
      </c>
      <c r="I282">
        <v>0</v>
      </c>
      <c r="J282">
        <v>4.11</v>
      </c>
      <c r="K282" t="s">
        <v>3031</v>
      </c>
      <c r="L282" t="s">
        <v>3492</v>
      </c>
      <c r="M282">
        <v>568</v>
      </c>
      <c r="N282">
        <v>2017</v>
      </c>
      <c r="O282">
        <v>2017</v>
      </c>
      <c r="Q282" t="s">
        <v>3670</v>
      </c>
      <c r="R282" t="s">
        <v>3863</v>
      </c>
      <c r="S282" t="s">
        <v>4120</v>
      </c>
      <c r="T282" t="s">
        <v>3863</v>
      </c>
      <c r="X282">
        <v>0</v>
      </c>
      <c r="AA282">
        <v>0</v>
      </c>
    </row>
    <row r="283" spans="1:27">
      <c r="A283" s="1">
        <v>281</v>
      </c>
      <c r="B283">
        <v>1372508</v>
      </c>
      <c r="C283" t="s">
        <v>312</v>
      </c>
      <c r="D283" t="s">
        <v>1310</v>
      </c>
      <c r="E283" t="s">
        <v>2116</v>
      </c>
      <c r="G283">
        <f>"0312186185"</f>
        <v>0</v>
      </c>
      <c r="H283">
        <f>"9780312186180"</f>
        <v>0</v>
      </c>
      <c r="I283">
        <v>0</v>
      </c>
      <c r="J283">
        <v>4.34</v>
      </c>
      <c r="K283" t="s">
        <v>3162</v>
      </c>
      <c r="L283" t="s">
        <v>3492</v>
      </c>
      <c r="M283">
        <v>288</v>
      </c>
      <c r="N283">
        <v>1981</v>
      </c>
      <c r="O283">
        <v>1981</v>
      </c>
      <c r="Q283" t="s">
        <v>3671</v>
      </c>
      <c r="R283" t="s">
        <v>3863</v>
      </c>
      <c r="S283" t="s">
        <v>4121</v>
      </c>
      <c r="T283" t="s">
        <v>3863</v>
      </c>
      <c r="X283">
        <v>0</v>
      </c>
      <c r="AA283">
        <v>0</v>
      </c>
    </row>
    <row r="284" spans="1:27">
      <c r="A284" s="1">
        <v>282</v>
      </c>
      <c r="B284">
        <v>168642</v>
      </c>
      <c r="C284" t="s">
        <v>313</v>
      </c>
      <c r="D284" t="s">
        <v>1311</v>
      </c>
      <c r="E284" t="s">
        <v>2117</v>
      </c>
      <c r="G284">
        <f>"0679745580"</f>
        <v>0</v>
      </c>
      <c r="H284">
        <f>"9780679745587"</f>
        <v>0</v>
      </c>
      <c r="I284">
        <v>0</v>
      </c>
      <c r="J284">
        <v>4.08</v>
      </c>
      <c r="K284" t="s">
        <v>3029</v>
      </c>
      <c r="L284" t="s">
        <v>3491</v>
      </c>
      <c r="M284">
        <v>343</v>
      </c>
      <c r="N284">
        <v>1994</v>
      </c>
      <c r="O284">
        <v>1965</v>
      </c>
      <c r="Q284" t="s">
        <v>3672</v>
      </c>
      <c r="R284" t="s">
        <v>3863</v>
      </c>
      <c r="S284" t="s">
        <v>4122</v>
      </c>
      <c r="T284" t="s">
        <v>3863</v>
      </c>
      <c r="X284">
        <v>0</v>
      </c>
      <c r="AA284">
        <v>0</v>
      </c>
    </row>
    <row r="285" spans="1:27">
      <c r="A285" s="1">
        <v>283</v>
      </c>
      <c r="B285">
        <v>486459</v>
      </c>
      <c r="C285" t="s">
        <v>314</v>
      </c>
      <c r="D285" t="s">
        <v>1312</v>
      </c>
      <c r="E285" t="s">
        <v>2118</v>
      </c>
      <c r="G285">
        <f>"0965319911"</f>
        <v>0</v>
      </c>
      <c r="H285">
        <f>"9780965319911"</f>
        <v>0</v>
      </c>
      <c r="I285">
        <v>0</v>
      </c>
      <c r="J285">
        <v>4.42</v>
      </c>
      <c r="K285" t="s">
        <v>3179</v>
      </c>
      <c r="L285" t="s">
        <v>3492</v>
      </c>
      <c r="M285">
        <v>580</v>
      </c>
      <c r="N285">
        <v>2000</v>
      </c>
      <c r="O285">
        <v>2000</v>
      </c>
      <c r="Q285" t="s">
        <v>3673</v>
      </c>
      <c r="R285" t="s">
        <v>3863</v>
      </c>
      <c r="S285" t="s">
        <v>4123</v>
      </c>
      <c r="T285" t="s">
        <v>3863</v>
      </c>
      <c r="X285">
        <v>0</v>
      </c>
      <c r="AA285">
        <v>0</v>
      </c>
    </row>
    <row r="286" spans="1:27">
      <c r="A286" s="1">
        <v>284</v>
      </c>
      <c r="B286">
        <v>3396377</v>
      </c>
      <c r="C286" t="s">
        <v>315</v>
      </c>
      <c r="D286" t="s">
        <v>1313</v>
      </c>
      <c r="E286" t="s">
        <v>2119</v>
      </c>
      <c r="G286">
        <f>"1594391181"</f>
        <v>0</v>
      </c>
      <c r="H286">
        <f>"9781594391187"</f>
        <v>0</v>
      </c>
      <c r="I286">
        <v>0</v>
      </c>
      <c r="J286">
        <v>4.34</v>
      </c>
      <c r="K286" t="s">
        <v>3180</v>
      </c>
      <c r="L286" t="s">
        <v>3491</v>
      </c>
      <c r="M286">
        <v>181</v>
      </c>
      <c r="N286">
        <v>2008</v>
      </c>
      <c r="O286">
        <v>2008</v>
      </c>
      <c r="Q286" t="s">
        <v>3674</v>
      </c>
      <c r="R286" t="s">
        <v>3863</v>
      </c>
      <c r="S286" t="s">
        <v>4124</v>
      </c>
      <c r="T286" t="s">
        <v>3863</v>
      </c>
      <c r="X286">
        <v>0</v>
      </c>
      <c r="AA286">
        <v>0</v>
      </c>
    </row>
    <row r="287" spans="1:27">
      <c r="A287" s="1">
        <v>285</v>
      </c>
      <c r="B287">
        <v>350</v>
      </c>
      <c r="C287" t="s">
        <v>316</v>
      </c>
      <c r="D287" t="s">
        <v>1181</v>
      </c>
      <c r="E287" t="s">
        <v>1987</v>
      </c>
      <c r="F287" t="s">
        <v>2754</v>
      </c>
      <c r="G287">
        <f>""</f>
        <v>0</v>
      </c>
      <c r="H287">
        <f>""</f>
        <v>0</v>
      </c>
      <c r="I287">
        <v>0</v>
      </c>
      <c r="J287">
        <v>3.92</v>
      </c>
      <c r="K287" t="s">
        <v>3087</v>
      </c>
      <c r="L287" t="s">
        <v>3491</v>
      </c>
      <c r="M287">
        <v>525</v>
      </c>
      <c r="N287">
        <v>1991</v>
      </c>
      <c r="O287">
        <v>1961</v>
      </c>
      <c r="Q287" t="s">
        <v>3675</v>
      </c>
      <c r="R287" t="s">
        <v>3863</v>
      </c>
      <c r="S287" t="s">
        <v>4125</v>
      </c>
      <c r="T287" t="s">
        <v>3863</v>
      </c>
      <c r="X287">
        <v>0</v>
      </c>
      <c r="AA287">
        <v>0</v>
      </c>
    </row>
    <row r="288" spans="1:27">
      <c r="A288" s="1">
        <v>286</v>
      </c>
      <c r="B288">
        <v>4723977</v>
      </c>
      <c r="C288" t="s">
        <v>317</v>
      </c>
      <c r="D288" t="s">
        <v>1314</v>
      </c>
      <c r="E288" t="s">
        <v>2120</v>
      </c>
      <c r="G288">
        <f>"0942828445"</f>
        <v>0</v>
      </c>
      <c r="H288">
        <f>"9780942828443"</f>
        <v>0</v>
      </c>
      <c r="I288">
        <v>0</v>
      </c>
      <c r="J288">
        <v>4.6</v>
      </c>
      <c r="K288" t="s">
        <v>3181</v>
      </c>
      <c r="M288">
        <v>629</v>
      </c>
      <c r="N288">
        <v>2000</v>
      </c>
      <c r="Q288" t="s">
        <v>3676</v>
      </c>
      <c r="R288" t="s">
        <v>3863</v>
      </c>
      <c r="S288" t="s">
        <v>4126</v>
      </c>
      <c r="T288" t="s">
        <v>3863</v>
      </c>
      <c r="X288">
        <v>0</v>
      </c>
      <c r="AA288">
        <v>0</v>
      </c>
    </row>
    <row r="289" spans="1:27">
      <c r="A289" s="1">
        <v>287</v>
      </c>
      <c r="B289">
        <v>49094876</v>
      </c>
      <c r="C289" t="s">
        <v>318</v>
      </c>
      <c r="D289" t="s">
        <v>1315</v>
      </c>
      <c r="E289" t="s">
        <v>2121</v>
      </c>
      <c r="G289">
        <f>""</f>
        <v>0</v>
      </c>
      <c r="H289">
        <f>""</f>
        <v>0</v>
      </c>
      <c r="I289">
        <v>0</v>
      </c>
      <c r="J289">
        <v>4.03</v>
      </c>
      <c r="K289" t="s">
        <v>3182</v>
      </c>
      <c r="L289" t="s">
        <v>3493</v>
      </c>
      <c r="M289">
        <v>304</v>
      </c>
      <c r="N289">
        <v>2020</v>
      </c>
      <c r="O289">
        <v>2020</v>
      </c>
      <c r="Q289" t="s">
        <v>3677</v>
      </c>
      <c r="R289" t="s">
        <v>3863</v>
      </c>
      <c r="S289" t="s">
        <v>4127</v>
      </c>
      <c r="T289" t="s">
        <v>3863</v>
      </c>
      <c r="X289">
        <v>0</v>
      </c>
      <c r="AA289">
        <v>0</v>
      </c>
    </row>
    <row r="290" spans="1:27">
      <c r="A290" s="1">
        <v>288</v>
      </c>
      <c r="B290">
        <v>44224476</v>
      </c>
      <c r="C290" t="s">
        <v>319</v>
      </c>
      <c r="D290" t="s">
        <v>1316</v>
      </c>
      <c r="E290" t="s">
        <v>2122</v>
      </c>
      <c r="G290">
        <f>"0190944617"</f>
        <v>0</v>
      </c>
      <c r="H290">
        <f>"9780190944612"</f>
        <v>0</v>
      </c>
      <c r="I290">
        <v>0</v>
      </c>
      <c r="J290">
        <v>3.48</v>
      </c>
      <c r="K290" t="s">
        <v>3061</v>
      </c>
      <c r="L290" t="s">
        <v>3492</v>
      </c>
      <c r="M290">
        <v>296</v>
      </c>
      <c r="N290">
        <v>2020</v>
      </c>
      <c r="O290">
        <v>2020</v>
      </c>
      <c r="Q290" t="s">
        <v>3678</v>
      </c>
      <c r="R290" t="s">
        <v>3863</v>
      </c>
      <c r="S290" t="s">
        <v>4128</v>
      </c>
      <c r="T290" t="s">
        <v>3863</v>
      </c>
      <c r="X290">
        <v>0</v>
      </c>
      <c r="AA290">
        <v>0</v>
      </c>
    </row>
    <row r="291" spans="1:27">
      <c r="A291" s="1">
        <v>289</v>
      </c>
      <c r="B291">
        <v>139425</v>
      </c>
      <c r="C291" t="s">
        <v>320</v>
      </c>
      <c r="D291" t="s">
        <v>1317</v>
      </c>
      <c r="E291" t="s">
        <v>2123</v>
      </c>
      <c r="G291">
        <f>"1406795828"</f>
        <v>0</v>
      </c>
      <c r="H291">
        <f>"9781406795820"</f>
        <v>0</v>
      </c>
      <c r="I291">
        <v>0</v>
      </c>
      <c r="J291">
        <v>3.47</v>
      </c>
      <c r="K291" t="s">
        <v>3183</v>
      </c>
      <c r="L291" t="s">
        <v>3491</v>
      </c>
      <c r="M291">
        <v>316</v>
      </c>
      <c r="N291">
        <v>2006</v>
      </c>
      <c r="O291">
        <v>1887</v>
      </c>
      <c r="Q291" t="s">
        <v>3679</v>
      </c>
      <c r="R291" t="s">
        <v>3863</v>
      </c>
      <c r="S291" t="s">
        <v>4129</v>
      </c>
      <c r="T291" t="s">
        <v>3863</v>
      </c>
      <c r="X291">
        <v>0</v>
      </c>
      <c r="AA291">
        <v>0</v>
      </c>
    </row>
    <row r="292" spans="1:27">
      <c r="A292" s="1">
        <v>290</v>
      </c>
      <c r="B292">
        <v>43706483</v>
      </c>
      <c r="C292" t="s">
        <v>321</v>
      </c>
      <c r="D292" t="s">
        <v>1318</v>
      </c>
      <c r="E292" t="s">
        <v>2124</v>
      </c>
      <c r="G292">
        <f>"1846145082"</f>
        <v>0</v>
      </c>
      <c r="H292">
        <f>"9781846145087"</f>
        <v>0</v>
      </c>
      <c r="I292">
        <v>0</v>
      </c>
      <c r="J292">
        <v>4.26</v>
      </c>
      <c r="K292" t="s">
        <v>3184</v>
      </c>
      <c r="L292" t="s">
        <v>3492</v>
      </c>
      <c r="M292">
        <v>1088</v>
      </c>
      <c r="N292">
        <v>2019</v>
      </c>
      <c r="O292">
        <v>2019</v>
      </c>
      <c r="Q292" t="s">
        <v>3680</v>
      </c>
      <c r="R292" t="s">
        <v>3863</v>
      </c>
      <c r="S292" t="s">
        <v>4130</v>
      </c>
      <c r="T292" t="s">
        <v>3863</v>
      </c>
      <c r="X292">
        <v>0</v>
      </c>
      <c r="AA292">
        <v>0</v>
      </c>
    </row>
    <row r="293" spans="1:27">
      <c r="A293" s="1">
        <v>291</v>
      </c>
      <c r="B293">
        <v>12857</v>
      </c>
      <c r="C293" t="s">
        <v>322</v>
      </c>
      <c r="D293" t="s">
        <v>1319</v>
      </c>
      <c r="E293" t="s">
        <v>2125</v>
      </c>
      <c r="F293" t="s">
        <v>2755</v>
      </c>
      <c r="G293">
        <f>""</f>
        <v>0</v>
      </c>
      <c r="H293">
        <f>""</f>
        <v>0</v>
      </c>
      <c r="I293">
        <v>0</v>
      </c>
      <c r="J293">
        <v>3.9</v>
      </c>
      <c r="K293" t="s">
        <v>3157</v>
      </c>
      <c r="L293" t="s">
        <v>3491</v>
      </c>
      <c r="M293">
        <v>188</v>
      </c>
      <c r="N293">
        <v>2003</v>
      </c>
      <c r="O293">
        <v>1866</v>
      </c>
      <c r="Q293" t="s">
        <v>3681</v>
      </c>
      <c r="R293" t="s">
        <v>3863</v>
      </c>
      <c r="S293" t="s">
        <v>4131</v>
      </c>
      <c r="T293" t="s">
        <v>3863</v>
      </c>
      <c r="X293">
        <v>0</v>
      </c>
      <c r="AA293">
        <v>0</v>
      </c>
    </row>
    <row r="294" spans="1:27">
      <c r="A294" s="1">
        <v>292</v>
      </c>
      <c r="B294">
        <v>12731301</v>
      </c>
      <c r="C294" t="s">
        <v>323</v>
      </c>
      <c r="D294" t="s">
        <v>1320</v>
      </c>
      <c r="E294" t="s">
        <v>2126</v>
      </c>
      <c r="F294" t="s">
        <v>2756</v>
      </c>
      <c r="G294">
        <f>""</f>
        <v>0</v>
      </c>
      <c r="H294">
        <f>""</f>
        <v>0</v>
      </c>
      <c r="I294">
        <v>0</v>
      </c>
      <c r="J294">
        <v>3.97</v>
      </c>
      <c r="K294" t="s">
        <v>3157</v>
      </c>
      <c r="L294" t="s">
        <v>3493</v>
      </c>
      <c r="M294">
        <v>322</v>
      </c>
      <c r="N294">
        <v>2011</v>
      </c>
      <c r="O294">
        <v>2001</v>
      </c>
      <c r="Q294" t="s">
        <v>3682</v>
      </c>
      <c r="R294" t="s">
        <v>3863</v>
      </c>
      <c r="S294" t="s">
        <v>4132</v>
      </c>
      <c r="T294" t="s">
        <v>3863</v>
      </c>
      <c r="X294">
        <v>0</v>
      </c>
      <c r="AA294">
        <v>0</v>
      </c>
    </row>
    <row r="295" spans="1:27">
      <c r="A295" s="1">
        <v>293</v>
      </c>
      <c r="B295">
        <v>944652</v>
      </c>
      <c r="C295" t="s">
        <v>324</v>
      </c>
      <c r="D295" t="s">
        <v>1321</v>
      </c>
      <c r="E295" t="s">
        <v>2127</v>
      </c>
      <c r="F295" t="s">
        <v>2757</v>
      </c>
      <c r="G295">
        <f>"157864366X"</f>
        <v>0</v>
      </c>
      <c r="H295">
        <f>"9781578643660"</f>
        <v>0</v>
      </c>
      <c r="I295">
        <v>0</v>
      </c>
      <c r="J295">
        <v>4.43</v>
      </c>
      <c r="K295" t="s">
        <v>3185</v>
      </c>
      <c r="L295" t="s">
        <v>3492</v>
      </c>
      <c r="M295">
        <v>512</v>
      </c>
      <c r="N295">
        <v>2006</v>
      </c>
      <c r="O295">
        <v>2005</v>
      </c>
      <c r="Q295" t="s">
        <v>3517</v>
      </c>
      <c r="R295" t="s">
        <v>3863</v>
      </c>
      <c r="S295" t="s">
        <v>4133</v>
      </c>
      <c r="T295" t="s">
        <v>3863</v>
      </c>
      <c r="X295">
        <v>0</v>
      </c>
      <c r="AA295">
        <v>0</v>
      </c>
    </row>
    <row r="296" spans="1:27">
      <c r="A296" s="1">
        <v>294</v>
      </c>
      <c r="B296">
        <v>1099821</v>
      </c>
      <c r="C296" t="s">
        <v>325</v>
      </c>
      <c r="D296" t="s">
        <v>1322</v>
      </c>
      <c r="E296" t="s">
        <v>2128</v>
      </c>
      <c r="G296">
        <f>"0393329712"</f>
        <v>0</v>
      </c>
      <c r="H296">
        <f>"9780393329711"</f>
        <v>0</v>
      </c>
      <c r="I296">
        <v>0</v>
      </c>
      <c r="J296">
        <v>4.12</v>
      </c>
      <c r="K296" t="s">
        <v>3038</v>
      </c>
      <c r="L296" t="s">
        <v>3491</v>
      </c>
      <c r="M296">
        <v>344</v>
      </c>
      <c r="N296">
        <v>2007</v>
      </c>
      <c r="O296">
        <v>2006</v>
      </c>
      <c r="Q296" t="s">
        <v>3683</v>
      </c>
      <c r="R296" t="s">
        <v>3863</v>
      </c>
      <c r="S296" t="s">
        <v>4134</v>
      </c>
      <c r="T296" t="s">
        <v>3863</v>
      </c>
      <c r="X296">
        <v>0</v>
      </c>
      <c r="AA296">
        <v>0</v>
      </c>
    </row>
    <row r="297" spans="1:27">
      <c r="A297" s="1">
        <v>295</v>
      </c>
      <c r="B297">
        <v>633128</v>
      </c>
      <c r="C297" t="s">
        <v>326</v>
      </c>
      <c r="D297" t="s">
        <v>1322</v>
      </c>
      <c r="E297" t="s">
        <v>2128</v>
      </c>
      <c r="G297">
        <f>"0684857073"</f>
        <v>0</v>
      </c>
      <c r="H297">
        <f>"9780684857077"</f>
        <v>0</v>
      </c>
      <c r="I297">
        <v>0</v>
      </c>
      <c r="J297">
        <v>4.12</v>
      </c>
      <c r="K297" t="s">
        <v>3000</v>
      </c>
      <c r="L297" t="s">
        <v>3491</v>
      </c>
      <c r="M297">
        <v>462</v>
      </c>
      <c r="N297">
        <v>1999</v>
      </c>
      <c r="O297">
        <v>1998</v>
      </c>
      <c r="Q297" t="s">
        <v>3683</v>
      </c>
      <c r="R297" t="s">
        <v>3863</v>
      </c>
      <c r="S297" t="s">
        <v>4135</v>
      </c>
      <c r="T297" t="s">
        <v>3863</v>
      </c>
      <c r="X297">
        <v>0</v>
      </c>
      <c r="AA297">
        <v>0</v>
      </c>
    </row>
    <row r="298" spans="1:27">
      <c r="A298" s="1">
        <v>296</v>
      </c>
      <c r="B298">
        <v>239239</v>
      </c>
      <c r="C298" t="s">
        <v>327</v>
      </c>
      <c r="D298" t="s">
        <v>1323</v>
      </c>
      <c r="E298" t="s">
        <v>2129</v>
      </c>
      <c r="G298">
        <f>"0312858868"</f>
        <v>0</v>
      </c>
      <c r="H298">
        <f>"9780312858865"</f>
        <v>0</v>
      </c>
      <c r="I298">
        <v>0</v>
      </c>
      <c r="J298">
        <v>3.9</v>
      </c>
      <c r="K298" t="s">
        <v>3186</v>
      </c>
      <c r="L298" t="s">
        <v>3491</v>
      </c>
      <c r="M298">
        <v>404</v>
      </c>
      <c r="N298">
        <v>1997</v>
      </c>
      <c r="O298">
        <v>1995</v>
      </c>
      <c r="Q298" t="s">
        <v>3684</v>
      </c>
      <c r="R298" t="s">
        <v>3863</v>
      </c>
      <c r="S298" t="s">
        <v>4136</v>
      </c>
      <c r="T298" t="s">
        <v>3863</v>
      </c>
      <c r="X298">
        <v>0</v>
      </c>
      <c r="AA298">
        <v>0</v>
      </c>
    </row>
    <row r="299" spans="1:27">
      <c r="A299" s="1">
        <v>297</v>
      </c>
      <c r="B299">
        <v>19089</v>
      </c>
      <c r="C299" t="s">
        <v>328</v>
      </c>
      <c r="D299" t="s">
        <v>1324</v>
      </c>
      <c r="E299" t="s">
        <v>2130</v>
      </c>
      <c r="F299" t="s">
        <v>2758</v>
      </c>
      <c r="G299">
        <f>"0451529170"</f>
        <v>0</v>
      </c>
      <c r="H299">
        <f>"9780451529176"</f>
        <v>0</v>
      </c>
      <c r="I299">
        <v>0</v>
      </c>
      <c r="J299">
        <v>4</v>
      </c>
      <c r="K299" t="s">
        <v>3049</v>
      </c>
      <c r="L299" t="s">
        <v>3491</v>
      </c>
      <c r="M299">
        <v>904</v>
      </c>
      <c r="N299">
        <v>2004</v>
      </c>
      <c r="O299">
        <v>1872</v>
      </c>
      <c r="Q299" t="s">
        <v>3685</v>
      </c>
      <c r="R299" t="s">
        <v>3863</v>
      </c>
      <c r="S299" t="s">
        <v>4137</v>
      </c>
      <c r="T299" t="s">
        <v>3863</v>
      </c>
      <c r="X299">
        <v>0</v>
      </c>
      <c r="AA299">
        <v>0</v>
      </c>
    </row>
    <row r="300" spans="1:27">
      <c r="A300" s="1">
        <v>298</v>
      </c>
      <c r="B300">
        <v>149411</v>
      </c>
      <c r="C300" t="s">
        <v>329</v>
      </c>
      <c r="D300" t="s">
        <v>1325</v>
      </c>
      <c r="E300" t="s">
        <v>2131</v>
      </c>
      <c r="F300" t="s">
        <v>1816</v>
      </c>
      <c r="G300">
        <f>"0700612238"</f>
        <v>0</v>
      </c>
      <c r="H300">
        <f>"9780700612239"</f>
        <v>0</v>
      </c>
      <c r="I300">
        <v>0</v>
      </c>
      <c r="J300">
        <v>4.04</v>
      </c>
      <c r="K300" t="s">
        <v>3187</v>
      </c>
      <c r="L300" t="s">
        <v>3492</v>
      </c>
      <c r="M300">
        <v>240</v>
      </c>
      <c r="N300">
        <v>2003</v>
      </c>
      <c r="O300">
        <v>2003</v>
      </c>
      <c r="Q300" t="s">
        <v>3685</v>
      </c>
      <c r="R300" t="s">
        <v>3863</v>
      </c>
      <c r="S300" t="s">
        <v>4138</v>
      </c>
      <c r="T300" t="s">
        <v>3863</v>
      </c>
      <c r="X300">
        <v>0</v>
      </c>
      <c r="AA300">
        <v>0</v>
      </c>
    </row>
    <row r="301" spans="1:27">
      <c r="A301" s="1">
        <v>299</v>
      </c>
      <c r="B301">
        <v>239186</v>
      </c>
      <c r="C301" t="s">
        <v>330</v>
      </c>
      <c r="D301" t="s">
        <v>1326</v>
      </c>
      <c r="E301" t="s">
        <v>2132</v>
      </c>
      <c r="G301">
        <f>"0375708278"</f>
        <v>0</v>
      </c>
      <c r="H301">
        <f>"9780375708275"</f>
        <v>0</v>
      </c>
      <c r="I301">
        <v>3</v>
      </c>
      <c r="J301">
        <v>4.04</v>
      </c>
      <c r="K301" t="s">
        <v>3188</v>
      </c>
      <c r="L301" t="s">
        <v>3491</v>
      </c>
      <c r="M301">
        <v>336</v>
      </c>
      <c r="N301">
        <v>2000</v>
      </c>
      <c r="O301">
        <v>1999</v>
      </c>
      <c r="P301" t="s">
        <v>3517</v>
      </c>
      <c r="Q301" t="s">
        <v>3518</v>
      </c>
      <c r="T301" t="s">
        <v>4621</v>
      </c>
      <c r="U301" t="s">
        <v>4641</v>
      </c>
      <c r="X301">
        <v>1</v>
      </c>
      <c r="AA301">
        <v>0</v>
      </c>
    </row>
    <row r="302" spans="1:27">
      <c r="A302" s="1">
        <v>300</v>
      </c>
      <c r="B302">
        <v>178559</v>
      </c>
      <c r="C302" t="s">
        <v>331</v>
      </c>
      <c r="D302" t="s">
        <v>1327</v>
      </c>
      <c r="E302" t="s">
        <v>2133</v>
      </c>
      <c r="G302">
        <f>"0738204463"</f>
        <v>0</v>
      </c>
      <c r="H302">
        <f>"9780738204468"</f>
        <v>0</v>
      </c>
      <c r="I302">
        <v>0</v>
      </c>
      <c r="J302">
        <v>3.89</v>
      </c>
      <c r="K302" t="s">
        <v>3138</v>
      </c>
      <c r="L302" t="s">
        <v>3491</v>
      </c>
      <c r="M302">
        <v>302</v>
      </c>
      <c r="N302">
        <v>2001</v>
      </c>
      <c r="O302">
        <v>1998</v>
      </c>
      <c r="Q302" t="s">
        <v>3686</v>
      </c>
      <c r="R302" t="s">
        <v>3863</v>
      </c>
      <c r="S302" t="s">
        <v>4139</v>
      </c>
      <c r="T302" t="s">
        <v>3863</v>
      </c>
      <c r="X302">
        <v>0</v>
      </c>
      <c r="AA302">
        <v>0</v>
      </c>
    </row>
    <row r="303" spans="1:27">
      <c r="A303" s="1">
        <v>301</v>
      </c>
      <c r="B303">
        <v>1883390</v>
      </c>
      <c r="C303" t="s">
        <v>332</v>
      </c>
      <c r="D303" t="s">
        <v>1328</v>
      </c>
      <c r="E303" t="s">
        <v>2134</v>
      </c>
      <c r="G303">
        <f>"0393059731"</f>
        <v>0</v>
      </c>
      <c r="H303">
        <f>"9780393059731"</f>
        <v>0</v>
      </c>
      <c r="I303">
        <v>0</v>
      </c>
      <c r="J303">
        <v>4.01</v>
      </c>
      <c r="K303" t="s">
        <v>3189</v>
      </c>
      <c r="L303" t="s">
        <v>3492</v>
      </c>
      <c r="M303">
        <v>454</v>
      </c>
      <c r="N303">
        <v>2007</v>
      </c>
      <c r="O303">
        <v>2007</v>
      </c>
      <c r="Q303" t="s">
        <v>3687</v>
      </c>
      <c r="R303" t="s">
        <v>3863</v>
      </c>
      <c r="S303" t="s">
        <v>4140</v>
      </c>
      <c r="T303" t="s">
        <v>3863</v>
      </c>
      <c r="X303">
        <v>0</v>
      </c>
      <c r="AA303">
        <v>0</v>
      </c>
    </row>
    <row r="304" spans="1:27">
      <c r="A304" s="1">
        <v>302</v>
      </c>
      <c r="B304">
        <v>1362</v>
      </c>
      <c r="C304" t="s">
        <v>333</v>
      </c>
      <c r="D304" t="s">
        <v>1329</v>
      </c>
      <c r="E304" t="s">
        <v>2135</v>
      </c>
      <c r="F304" t="s">
        <v>2759</v>
      </c>
      <c r="G304">
        <f>"0140449086"</f>
        <v>0</v>
      </c>
      <c r="H304">
        <f>"9780140449082"</f>
        <v>0</v>
      </c>
      <c r="I304">
        <v>0</v>
      </c>
      <c r="J304">
        <v>3.98</v>
      </c>
      <c r="K304" t="s">
        <v>3010</v>
      </c>
      <c r="L304" t="s">
        <v>3491</v>
      </c>
      <c r="M304">
        <v>716</v>
      </c>
      <c r="N304">
        <v>2003</v>
      </c>
      <c r="O304">
        <v>-450</v>
      </c>
      <c r="Q304" t="s">
        <v>3687</v>
      </c>
      <c r="R304" t="s">
        <v>3863</v>
      </c>
      <c r="S304" t="s">
        <v>4141</v>
      </c>
      <c r="T304" t="s">
        <v>3863</v>
      </c>
      <c r="X304">
        <v>0</v>
      </c>
      <c r="AA304">
        <v>0</v>
      </c>
    </row>
    <row r="305" spans="1:27">
      <c r="A305" s="1">
        <v>303</v>
      </c>
      <c r="B305">
        <v>2723</v>
      </c>
      <c r="C305" t="s">
        <v>334</v>
      </c>
      <c r="D305" t="s">
        <v>1330</v>
      </c>
      <c r="E305" t="s">
        <v>2136</v>
      </c>
      <c r="G305">
        <f>"0553580078"</f>
        <v>0</v>
      </c>
      <c r="H305">
        <f>"9780553580075"</f>
        <v>0</v>
      </c>
      <c r="I305">
        <v>0</v>
      </c>
      <c r="J305">
        <v>3.74</v>
      </c>
      <c r="K305" t="s">
        <v>3164</v>
      </c>
      <c r="L305" t="s">
        <v>3495</v>
      </c>
      <c r="M305">
        <v>763</v>
      </c>
      <c r="N305">
        <v>2003</v>
      </c>
      <c r="O305">
        <v>2002</v>
      </c>
      <c r="Q305" t="s">
        <v>3687</v>
      </c>
      <c r="R305" t="s">
        <v>3863</v>
      </c>
      <c r="S305" t="s">
        <v>4142</v>
      </c>
      <c r="T305" t="s">
        <v>3863</v>
      </c>
      <c r="X305">
        <v>0</v>
      </c>
      <c r="AA305">
        <v>0</v>
      </c>
    </row>
    <row r="306" spans="1:27">
      <c r="A306" s="1">
        <v>304</v>
      </c>
      <c r="B306">
        <v>9073</v>
      </c>
      <c r="C306" t="s">
        <v>335</v>
      </c>
      <c r="D306" t="s">
        <v>1331</v>
      </c>
      <c r="E306" t="s">
        <v>2137</v>
      </c>
      <c r="G306">
        <f>"140004684X"</f>
        <v>0</v>
      </c>
      <c r="H306">
        <f>"9781400046843"</f>
        <v>0</v>
      </c>
      <c r="I306">
        <v>0</v>
      </c>
      <c r="J306">
        <v>3.93</v>
      </c>
      <c r="K306" t="s">
        <v>2998</v>
      </c>
      <c r="L306" t="s">
        <v>3491</v>
      </c>
      <c r="M306">
        <v>320</v>
      </c>
      <c r="N306">
        <v>2003</v>
      </c>
      <c r="O306">
        <v>2002</v>
      </c>
      <c r="Q306" t="s">
        <v>3688</v>
      </c>
      <c r="R306" t="s">
        <v>3863</v>
      </c>
      <c r="S306" t="s">
        <v>4143</v>
      </c>
      <c r="T306" t="s">
        <v>3863</v>
      </c>
      <c r="X306">
        <v>0</v>
      </c>
      <c r="AA306">
        <v>0</v>
      </c>
    </row>
    <row r="307" spans="1:27">
      <c r="A307" s="1">
        <v>305</v>
      </c>
      <c r="B307">
        <v>8406833</v>
      </c>
      <c r="C307" t="s">
        <v>336</v>
      </c>
      <c r="D307" t="s">
        <v>1332</v>
      </c>
      <c r="E307" t="s">
        <v>2138</v>
      </c>
      <c r="G307">
        <f>"0141192194"</f>
        <v>0</v>
      </c>
      <c r="H307">
        <f>"9780141192192"</f>
        <v>0</v>
      </c>
      <c r="I307">
        <v>0</v>
      </c>
      <c r="J307">
        <v>3.67</v>
      </c>
      <c r="K307" t="s">
        <v>3010</v>
      </c>
      <c r="L307" t="s">
        <v>3491</v>
      </c>
      <c r="M307">
        <v>150</v>
      </c>
      <c r="N307">
        <v>2010</v>
      </c>
      <c r="O307">
        <v>1938</v>
      </c>
      <c r="Q307" t="s">
        <v>3689</v>
      </c>
      <c r="R307" t="s">
        <v>3863</v>
      </c>
      <c r="S307" t="s">
        <v>4144</v>
      </c>
      <c r="T307" t="s">
        <v>3863</v>
      </c>
      <c r="X307">
        <v>0</v>
      </c>
      <c r="AA307">
        <v>0</v>
      </c>
    </row>
    <row r="308" spans="1:27">
      <c r="A308" s="1">
        <v>306</v>
      </c>
      <c r="B308">
        <v>3308099</v>
      </c>
      <c r="C308" t="s">
        <v>337</v>
      </c>
      <c r="D308" t="s">
        <v>1333</v>
      </c>
      <c r="E308" t="s">
        <v>2139</v>
      </c>
      <c r="G308">
        <f>"1881801063"</f>
        <v>0</v>
      </c>
      <c r="H308">
        <f>"9781881801061"</f>
        <v>0</v>
      </c>
      <c r="I308">
        <v>0</v>
      </c>
      <c r="J308">
        <v>4.75</v>
      </c>
      <c r="K308" t="s">
        <v>3190</v>
      </c>
      <c r="L308" t="s">
        <v>3491</v>
      </c>
      <c r="M308">
        <v>480</v>
      </c>
      <c r="N308">
        <v>1992</v>
      </c>
      <c r="O308">
        <v>1992</v>
      </c>
      <c r="Q308" t="s">
        <v>3690</v>
      </c>
      <c r="R308" t="s">
        <v>3863</v>
      </c>
      <c r="S308" t="s">
        <v>4145</v>
      </c>
      <c r="T308" t="s">
        <v>3863</v>
      </c>
      <c r="X308">
        <v>0</v>
      </c>
      <c r="AA308">
        <v>0</v>
      </c>
    </row>
    <row r="309" spans="1:27">
      <c r="A309" s="1">
        <v>307</v>
      </c>
      <c r="B309">
        <v>781426</v>
      </c>
      <c r="C309" t="s">
        <v>338</v>
      </c>
      <c r="D309" t="s">
        <v>1334</v>
      </c>
      <c r="E309" t="s">
        <v>2140</v>
      </c>
      <c r="G309">
        <f>"0970148542"</f>
        <v>0</v>
      </c>
      <c r="H309">
        <f>"9780970148544"</f>
        <v>0</v>
      </c>
      <c r="I309">
        <v>0</v>
      </c>
      <c r="J309">
        <v>3.84</v>
      </c>
      <c r="K309" t="s">
        <v>3191</v>
      </c>
      <c r="L309" t="s">
        <v>3491</v>
      </c>
      <c r="M309">
        <v>170</v>
      </c>
      <c r="N309">
        <v>2002</v>
      </c>
      <c r="O309">
        <v>1989</v>
      </c>
      <c r="Q309" t="s">
        <v>3690</v>
      </c>
      <c r="R309" t="s">
        <v>3863</v>
      </c>
      <c r="S309" t="s">
        <v>4146</v>
      </c>
      <c r="T309" t="s">
        <v>3863</v>
      </c>
      <c r="X309">
        <v>0</v>
      </c>
      <c r="AA309">
        <v>0</v>
      </c>
    </row>
    <row r="310" spans="1:27">
      <c r="A310" s="1">
        <v>308</v>
      </c>
      <c r="B310">
        <v>53694101</v>
      </c>
      <c r="C310" t="s">
        <v>339</v>
      </c>
      <c r="D310" t="s">
        <v>1335</v>
      </c>
      <c r="E310" t="s">
        <v>2141</v>
      </c>
      <c r="G310">
        <f>""</f>
        <v>0</v>
      </c>
      <c r="H310">
        <f>""</f>
        <v>0</v>
      </c>
      <c r="I310">
        <v>0</v>
      </c>
      <c r="J310">
        <v>3.61</v>
      </c>
      <c r="L310" t="s">
        <v>3493</v>
      </c>
      <c r="N310">
        <v>2020</v>
      </c>
      <c r="Q310" t="s">
        <v>3690</v>
      </c>
      <c r="R310" t="s">
        <v>3863</v>
      </c>
      <c r="S310" t="s">
        <v>4147</v>
      </c>
      <c r="T310" t="s">
        <v>3863</v>
      </c>
      <c r="X310">
        <v>0</v>
      </c>
      <c r="AA310">
        <v>0</v>
      </c>
    </row>
    <row r="311" spans="1:27">
      <c r="A311" s="1">
        <v>309</v>
      </c>
      <c r="B311">
        <v>1059</v>
      </c>
      <c r="C311" t="s">
        <v>340</v>
      </c>
      <c r="D311" t="s">
        <v>1336</v>
      </c>
      <c r="E311" t="s">
        <v>2142</v>
      </c>
      <c r="F311" t="s">
        <v>2760</v>
      </c>
      <c r="G311">
        <f>"1400098033"</f>
        <v>0</v>
      </c>
      <c r="H311">
        <f>"9781400098033"</f>
        <v>0</v>
      </c>
      <c r="I311">
        <v>0</v>
      </c>
      <c r="J311">
        <v>4.2</v>
      </c>
      <c r="K311" t="s">
        <v>2998</v>
      </c>
      <c r="L311" t="s">
        <v>3491</v>
      </c>
      <c r="M311">
        <v>480</v>
      </c>
      <c r="N311">
        <v>2005</v>
      </c>
      <c r="O311">
        <v>1979</v>
      </c>
      <c r="Q311" t="s">
        <v>3690</v>
      </c>
      <c r="R311" t="s">
        <v>3863</v>
      </c>
      <c r="S311" t="s">
        <v>4148</v>
      </c>
      <c r="T311" t="s">
        <v>3863</v>
      </c>
      <c r="X311">
        <v>0</v>
      </c>
      <c r="AA311">
        <v>0</v>
      </c>
    </row>
    <row r="312" spans="1:27">
      <c r="A312" s="1">
        <v>310</v>
      </c>
      <c r="B312">
        <v>54819176</v>
      </c>
      <c r="C312" t="s">
        <v>341</v>
      </c>
      <c r="D312" t="s">
        <v>1337</v>
      </c>
      <c r="E312" t="s">
        <v>2143</v>
      </c>
      <c r="G312">
        <f>""</f>
        <v>0</v>
      </c>
      <c r="H312">
        <f>""</f>
        <v>0</v>
      </c>
      <c r="I312">
        <v>0</v>
      </c>
      <c r="J312">
        <v>4.19</v>
      </c>
      <c r="L312" t="s">
        <v>3493</v>
      </c>
      <c r="N312">
        <v>2020</v>
      </c>
      <c r="Q312" t="s">
        <v>3691</v>
      </c>
      <c r="R312" t="s">
        <v>3863</v>
      </c>
      <c r="S312" t="s">
        <v>4149</v>
      </c>
      <c r="T312" t="s">
        <v>3863</v>
      </c>
      <c r="X312">
        <v>0</v>
      </c>
      <c r="AA312">
        <v>0</v>
      </c>
    </row>
    <row r="313" spans="1:27">
      <c r="A313" s="1">
        <v>311</v>
      </c>
      <c r="B313">
        <v>939980</v>
      </c>
      <c r="C313" t="s">
        <v>342</v>
      </c>
      <c r="D313" t="s">
        <v>1338</v>
      </c>
      <c r="E313" t="s">
        <v>2144</v>
      </c>
      <c r="G313">
        <f>"284323607X"</f>
        <v>0</v>
      </c>
      <c r="H313">
        <f>"9782843236075"</f>
        <v>0</v>
      </c>
      <c r="I313">
        <v>0</v>
      </c>
      <c r="J313">
        <v>5</v>
      </c>
      <c r="K313" t="s">
        <v>3192</v>
      </c>
      <c r="L313" t="s">
        <v>3492</v>
      </c>
      <c r="M313">
        <v>122</v>
      </c>
      <c r="N313">
        <v>2004</v>
      </c>
      <c r="O313">
        <v>2004</v>
      </c>
      <c r="Q313" t="s">
        <v>3692</v>
      </c>
      <c r="R313" t="s">
        <v>3863</v>
      </c>
      <c r="S313" t="s">
        <v>4150</v>
      </c>
      <c r="T313" t="s">
        <v>3863</v>
      </c>
      <c r="X313">
        <v>0</v>
      </c>
      <c r="AA313">
        <v>0</v>
      </c>
    </row>
    <row r="314" spans="1:27">
      <c r="A314" s="1">
        <v>312</v>
      </c>
      <c r="B314">
        <v>8909</v>
      </c>
      <c r="C314" t="s">
        <v>343</v>
      </c>
      <c r="D314" t="s">
        <v>1339</v>
      </c>
      <c r="E314" t="s">
        <v>2145</v>
      </c>
      <c r="F314" t="s">
        <v>2761</v>
      </c>
      <c r="G314">
        <f>"0375759239"</f>
        <v>0</v>
      </c>
      <c r="H314">
        <f>"9780375759239"</f>
        <v>0</v>
      </c>
      <c r="I314">
        <v>0</v>
      </c>
      <c r="J314">
        <v>3.83</v>
      </c>
      <c r="K314" t="s">
        <v>3157</v>
      </c>
      <c r="L314" t="s">
        <v>3491</v>
      </c>
      <c r="M314">
        <v>192</v>
      </c>
      <c r="N314">
        <v>2002</v>
      </c>
      <c r="O314">
        <v>1897</v>
      </c>
      <c r="Q314" t="s">
        <v>3662</v>
      </c>
      <c r="R314" t="s">
        <v>3863</v>
      </c>
      <c r="S314" t="s">
        <v>4151</v>
      </c>
      <c r="T314" t="s">
        <v>3863</v>
      </c>
      <c r="X314">
        <v>0</v>
      </c>
      <c r="AA314">
        <v>0</v>
      </c>
    </row>
    <row r="315" spans="1:27">
      <c r="A315" s="1">
        <v>313</v>
      </c>
      <c r="B315">
        <v>3244879</v>
      </c>
      <c r="C315" t="s">
        <v>344</v>
      </c>
      <c r="D315" t="s">
        <v>1285</v>
      </c>
      <c r="E315" t="s">
        <v>2091</v>
      </c>
      <c r="G315">
        <f>"0688146007"</f>
        <v>0</v>
      </c>
      <c r="H315">
        <f>"9780688146009"</f>
        <v>0</v>
      </c>
      <c r="I315">
        <v>0</v>
      </c>
      <c r="J315">
        <v>3.42</v>
      </c>
      <c r="K315" t="s">
        <v>3193</v>
      </c>
      <c r="L315" t="s">
        <v>3492</v>
      </c>
      <c r="M315">
        <v>398</v>
      </c>
      <c r="N315">
        <v>1996</v>
      </c>
      <c r="O315">
        <v>1995</v>
      </c>
      <c r="Q315" t="s">
        <v>3693</v>
      </c>
      <c r="R315" t="s">
        <v>3863</v>
      </c>
      <c r="S315" t="s">
        <v>4152</v>
      </c>
      <c r="T315" t="s">
        <v>3863</v>
      </c>
      <c r="X315">
        <v>0</v>
      </c>
      <c r="AA315">
        <v>0</v>
      </c>
    </row>
    <row r="316" spans="1:27">
      <c r="A316" s="1">
        <v>314</v>
      </c>
      <c r="B316">
        <v>41830657</v>
      </c>
      <c r="C316" t="s">
        <v>345</v>
      </c>
      <c r="D316" t="s">
        <v>1340</v>
      </c>
      <c r="E316" t="s">
        <v>2146</v>
      </c>
      <c r="G316">
        <f>""</f>
        <v>0</v>
      </c>
      <c r="H316">
        <f>""</f>
        <v>0</v>
      </c>
      <c r="I316">
        <v>0</v>
      </c>
      <c r="J316">
        <v>4.22</v>
      </c>
      <c r="K316" t="s">
        <v>3194</v>
      </c>
      <c r="L316" t="s">
        <v>3492</v>
      </c>
      <c r="M316">
        <v>376</v>
      </c>
      <c r="N316">
        <v>2021</v>
      </c>
      <c r="O316">
        <v>2021</v>
      </c>
      <c r="Q316" t="s">
        <v>3694</v>
      </c>
      <c r="R316" t="s">
        <v>3863</v>
      </c>
      <c r="S316" t="s">
        <v>4153</v>
      </c>
      <c r="T316" t="s">
        <v>3863</v>
      </c>
      <c r="X316">
        <v>0</v>
      </c>
      <c r="AA316">
        <v>0</v>
      </c>
    </row>
    <row r="317" spans="1:27">
      <c r="A317" s="1">
        <v>315</v>
      </c>
      <c r="B317">
        <v>19000</v>
      </c>
      <c r="C317" t="s">
        <v>346</v>
      </c>
      <c r="D317" t="s">
        <v>1341</v>
      </c>
      <c r="E317" t="s">
        <v>2147</v>
      </c>
      <c r="G317">
        <f>""</f>
        <v>0</v>
      </c>
      <c r="H317">
        <f>"9780743287203"</f>
        <v>0</v>
      </c>
      <c r="I317">
        <v>0</v>
      </c>
      <c r="J317">
        <v>3.81</v>
      </c>
      <c r="K317" t="s">
        <v>3064</v>
      </c>
      <c r="L317" t="s">
        <v>3491</v>
      </c>
      <c r="M317">
        <v>496</v>
      </c>
      <c r="N317">
        <v>2005</v>
      </c>
      <c r="O317">
        <v>2001</v>
      </c>
      <c r="Q317" t="s">
        <v>3695</v>
      </c>
      <c r="R317" t="s">
        <v>3863</v>
      </c>
      <c r="S317" t="s">
        <v>4154</v>
      </c>
      <c r="T317" t="s">
        <v>3863</v>
      </c>
      <c r="X317">
        <v>0</v>
      </c>
      <c r="AA317">
        <v>0</v>
      </c>
    </row>
    <row r="318" spans="1:27">
      <c r="A318" s="1">
        <v>316</v>
      </c>
      <c r="B318">
        <v>7967</v>
      </c>
      <c r="C318" t="s">
        <v>347</v>
      </c>
      <c r="D318" t="s">
        <v>1342</v>
      </c>
      <c r="E318" t="s">
        <v>2148</v>
      </c>
      <c r="G318">
        <f>"0812550757"</f>
        <v>0</v>
      </c>
      <c r="H318">
        <f>"9780812550757"</f>
        <v>0</v>
      </c>
      <c r="I318">
        <v>0</v>
      </c>
      <c r="J318">
        <v>4.08</v>
      </c>
      <c r="K318" t="s">
        <v>3144</v>
      </c>
      <c r="L318" t="s">
        <v>3491</v>
      </c>
      <c r="M318">
        <v>382</v>
      </c>
      <c r="N318">
        <v>1994</v>
      </c>
      <c r="O318">
        <v>1986</v>
      </c>
      <c r="Q318" t="s">
        <v>3696</v>
      </c>
      <c r="R318" t="s">
        <v>3863</v>
      </c>
      <c r="S318" t="s">
        <v>4155</v>
      </c>
      <c r="T318" t="s">
        <v>3863</v>
      </c>
      <c r="X318">
        <v>0</v>
      </c>
      <c r="AA318">
        <v>0</v>
      </c>
    </row>
    <row r="319" spans="1:27">
      <c r="A319" s="1">
        <v>317</v>
      </c>
      <c r="B319">
        <v>10644930</v>
      </c>
      <c r="C319" t="s">
        <v>348</v>
      </c>
      <c r="D319" t="s">
        <v>1343</v>
      </c>
      <c r="E319" t="s">
        <v>2149</v>
      </c>
      <c r="G319">
        <f>"1451627289"</f>
        <v>0</v>
      </c>
      <c r="H319">
        <f>"9781451627282"</f>
        <v>0</v>
      </c>
      <c r="I319">
        <v>0</v>
      </c>
      <c r="J319">
        <v>4.32</v>
      </c>
      <c r="K319" t="s">
        <v>3064</v>
      </c>
      <c r="L319" t="s">
        <v>3492</v>
      </c>
      <c r="M319">
        <v>849</v>
      </c>
      <c r="N319">
        <v>2011</v>
      </c>
      <c r="O319">
        <v>2011</v>
      </c>
      <c r="Q319" t="s">
        <v>3697</v>
      </c>
      <c r="R319" t="s">
        <v>3863</v>
      </c>
      <c r="S319" t="s">
        <v>4156</v>
      </c>
      <c r="T319" t="s">
        <v>3863</v>
      </c>
      <c r="X319">
        <v>0</v>
      </c>
      <c r="AA319">
        <v>0</v>
      </c>
    </row>
    <row r="320" spans="1:27">
      <c r="A320" s="1">
        <v>318</v>
      </c>
      <c r="B320">
        <v>68339</v>
      </c>
      <c r="C320" t="s">
        <v>349</v>
      </c>
      <c r="D320" t="s">
        <v>1344</v>
      </c>
      <c r="E320" t="s">
        <v>2150</v>
      </c>
      <c r="G320">
        <f>"0812544749"</f>
        <v>0</v>
      </c>
      <c r="H320">
        <f>"9780812544749"</f>
        <v>0</v>
      </c>
      <c r="I320">
        <v>0</v>
      </c>
      <c r="J320">
        <v>3.75</v>
      </c>
      <c r="K320" t="s">
        <v>3059</v>
      </c>
      <c r="L320" t="s">
        <v>3491</v>
      </c>
      <c r="M320">
        <v>416</v>
      </c>
      <c r="N320">
        <v>1997</v>
      </c>
      <c r="O320">
        <v>1996</v>
      </c>
      <c r="Q320" t="s">
        <v>3698</v>
      </c>
      <c r="R320" t="s">
        <v>3863</v>
      </c>
      <c r="S320" t="s">
        <v>4157</v>
      </c>
      <c r="T320" t="s">
        <v>3863</v>
      </c>
      <c r="X320">
        <v>0</v>
      </c>
      <c r="AA320">
        <v>0</v>
      </c>
    </row>
    <row r="321" spans="1:27">
      <c r="A321" s="1">
        <v>319</v>
      </c>
      <c r="B321">
        <v>68334</v>
      </c>
      <c r="C321" t="s">
        <v>350</v>
      </c>
      <c r="D321" t="s">
        <v>1344</v>
      </c>
      <c r="E321" t="s">
        <v>2150</v>
      </c>
      <c r="G321">
        <f>"0812550102"</f>
        <v>0</v>
      </c>
      <c r="H321">
        <f>"9780812550108"</f>
        <v>0</v>
      </c>
      <c r="I321">
        <v>0</v>
      </c>
      <c r="J321">
        <v>3.85</v>
      </c>
      <c r="K321" t="s">
        <v>3144</v>
      </c>
      <c r="L321" t="s">
        <v>3491</v>
      </c>
      <c r="M321">
        <v>377</v>
      </c>
      <c r="N321">
        <v>1996</v>
      </c>
      <c r="O321">
        <v>1994</v>
      </c>
      <c r="Q321" t="s">
        <v>3698</v>
      </c>
      <c r="R321" t="s">
        <v>3863</v>
      </c>
      <c r="S321" t="s">
        <v>4158</v>
      </c>
      <c r="T321" t="s">
        <v>3863</v>
      </c>
      <c r="X321">
        <v>0</v>
      </c>
      <c r="AA321">
        <v>0</v>
      </c>
    </row>
    <row r="322" spans="1:27">
      <c r="A322" s="1">
        <v>320</v>
      </c>
      <c r="B322">
        <v>68333</v>
      </c>
      <c r="C322" t="s">
        <v>351</v>
      </c>
      <c r="D322" t="s">
        <v>1344</v>
      </c>
      <c r="E322" t="s">
        <v>2150</v>
      </c>
      <c r="G322">
        <f>"0060733489"</f>
        <v>0</v>
      </c>
      <c r="H322">
        <f>"9780060733483"</f>
        <v>0</v>
      </c>
      <c r="I322">
        <v>0</v>
      </c>
      <c r="J322">
        <v>3.93</v>
      </c>
      <c r="K322" t="s">
        <v>3195</v>
      </c>
      <c r="L322" t="s">
        <v>3491</v>
      </c>
      <c r="M322">
        <v>400</v>
      </c>
      <c r="N322">
        <v>2004</v>
      </c>
      <c r="O322">
        <v>1993</v>
      </c>
      <c r="Q322" t="s">
        <v>3698</v>
      </c>
      <c r="R322" t="s">
        <v>3863</v>
      </c>
      <c r="S322" t="s">
        <v>4159</v>
      </c>
      <c r="T322" t="s">
        <v>3863</v>
      </c>
      <c r="X322">
        <v>0</v>
      </c>
      <c r="AA322">
        <v>0</v>
      </c>
    </row>
    <row r="323" spans="1:27">
      <c r="A323" s="1">
        <v>321</v>
      </c>
      <c r="B323">
        <v>1554075</v>
      </c>
      <c r="C323" t="s">
        <v>352</v>
      </c>
      <c r="D323" t="s">
        <v>1345</v>
      </c>
      <c r="E323" t="s">
        <v>2151</v>
      </c>
      <c r="F323" t="s">
        <v>2762</v>
      </c>
      <c r="G323">
        <f>"0955308704"</f>
        <v>0</v>
      </c>
      <c r="H323">
        <f>"9780955308703"</f>
        <v>0</v>
      </c>
      <c r="I323">
        <v>0</v>
      </c>
      <c r="J323">
        <v>4.08</v>
      </c>
      <c r="K323" t="s">
        <v>3196</v>
      </c>
      <c r="L323" t="s">
        <v>3491</v>
      </c>
      <c r="N323">
        <v>2007</v>
      </c>
      <c r="O323">
        <v>2006</v>
      </c>
      <c r="Q323" t="s">
        <v>3518</v>
      </c>
      <c r="R323" t="s">
        <v>3863</v>
      </c>
      <c r="S323" t="s">
        <v>4160</v>
      </c>
      <c r="T323" t="s">
        <v>3863</v>
      </c>
      <c r="X323">
        <v>0</v>
      </c>
      <c r="AA323">
        <v>0</v>
      </c>
    </row>
    <row r="324" spans="1:27">
      <c r="A324" s="1">
        <v>322</v>
      </c>
      <c r="B324">
        <v>34564809</v>
      </c>
      <c r="C324" t="s">
        <v>353</v>
      </c>
      <c r="D324" t="s">
        <v>1342</v>
      </c>
      <c r="E324" t="s">
        <v>2148</v>
      </c>
      <c r="G324">
        <f>"0765394863"</f>
        <v>0</v>
      </c>
      <c r="H324">
        <f>"9780765394866"</f>
        <v>0</v>
      </c>
      <c r="I324">
        <v>4</v>
      </c>
      <c r="J324">
        <v>4.3</v>
      </c>
      <c r="K324" t="s">
        <v>3144</v>
      </c>
      <c r="L324" t="s">
        <v>3492</v>
      </c>
      <c r="M324">
        <v>448</v>
      </c>
      <c r="N324">
        <v>2017</v>
      </c>
      <c r="O324">
        <v>1985</v>
      </c>
      <c r="P324" t="s">
        <v>3518</v>
      </c>
      <c r="Q324" t="s">
        <v>3667</v>
      </c>
      <c r="T324" t="s">
        <v>4621</v>
      </c>
      <c r="U324" t="s">
        <v>4642</v>
      </c>
      <c r="X324">
        <v>1</v>
      </c>
      <c r="AA324">
        <v>0</v>
      </c>
    </row>
    <row r="325" spans="1:27">
      <c r="A325" s="1">
        <v>323</v>
      </c>
      <c r="B325">
        <v>607639</v>
      </c>
      <c r="C325" t="s">
        <v>354</v>
      </c>
      <c r="D325" t="s">
        <v>1346</v>
      </c>
      <c r="E325" t="s">
        <v>2152</v>
      </c>
      <c r="F325" t="s">
        <v>2763</v>
      </c>
      <c r="G325">
        <f>"1573226521"</f>
        <v>0</v>
      </c>
      <c r="H325">
        <f>"9781573226523"</f>
        <v>0</v>
      </c>
      <c r="I325">
        <v>0</v>
      </c>
      <c r="J325">
        <v>3.96</v>
      </c>
      <c r="K325" t="s">
        <v>3090</v>
      </c>
      <c r="L325" t="s">
        <v>3491</v>
      </c>
      <c r="M325">
        <v>436</v>
      </c>
      <c r="N325">
        <v>1998</v>
      </c>
      <c r="O325">
        <v>1996</v>
      </c>
      <c r="Q325" t="s">
        <v>3667</v>
      </c>
      <c r="R325" t="s">
        <v>3863</v>
      </c>
      <c r="S325" t="s">
        <v>4161</v>
      </c>
      <c r="T325" t="s">
        <v>3863</v>
      </c>
      <c r="X325">
        <v>0</v>
      </c>
      <c r="AA325">
        <v>0</v>
      </c>
    </row>
    <row r="326" spans="1:27">
      <c r="A326" s="1">
        <v>324</v>
      </c>
      <c r="B326">
        <v>52098718</v>
      </c>
      <c r="C326" t="s">
        <v>355</v>
      </c>
      <c r="D326" t="s">
        <v>1347</v>
      </c>
      <c r="E326" t="s">
        <v>2153</v>
      </c>
      <c r="G326">
        <f>"147670032X"</f>
        <v>0</v>
      </c>
      <c r="H326">
        <f>"9781476700328"</f>
        <v>0</v>
      </c>
      <c r="I326">
        <v>0</v>
      </c>
      <c r="J326">
        <v>4.26</v>
      </c>
      <c r="K326" t="s">
        <v>3197</v>
      </c>
      <c r="L326" t="s">
        <v>3492</v>
      </c>
      <c r="M326">
        <v>336</v>
      </c>
      <c r="N326">
        <v>2020</v>
      </c>
      <c r="O326">
        <v>2020</v>
      </c>
      <c r="Q326" t="s">
        <v>3667</v>
      </c>
      <c r="R326" t="s">
        <v>3863</v>
      </c>
      <c r="S326" t="s">
        <v>4162</v>
      </c>
      <c r="T326" t="s">
        <v>3863</v>
      </c>
      <c r="X326">
        <v>0</v>
      </c>
      <c r="AA326">
        <v>0</v>
      </c>
    </row>
    <row r="327" spans="1:27">
      <c r="A327" s="1">
        <v>325</v>
      </c>
      <c r="B327">
        <v>23692271</v>
      </c>
      <c r="C327" t="s">
        <v>356</v>
      </c>
      <c r="D327" t="s">
        <v>1348</v>
      </c>
      <c r="E327" t="s">
        <v>2154</v>
      </c>
      <c r="G327">
        <f>""</f>
        <v>0</v>
      </c>
      <c r="H327">
        <f>""</f>
        <v>0</v>
      </c>
      <c r="I327">
        <v>1</v>
      </c>
      <c r="J327">
        <v>4.39</v>
      </c>
      <c r="K327" t="s">
        <v>3029</v>
      </c>
      <c r="L327" t="s">
        <v>3491</v>
      </c>
      <c r="M327">
        <v>512</v>
      </c>
      <c r="N327">
        <v>2015</v>
      </c>
      <c r="O327">
        <v>2011</v>
      </c>
      <c r="P327" t="s">
        <v>3519</v>
      </c>
      <c r="Q327" t="s">
        <v>3699</v>
      </c>
      <c r="T327" t="s">
        <v>4621</v>
      </c>
      <c r="U327" t="s">
        <v>4643</v>
      </c>
      <c r="X327">
        <v>1</v>
      </c>
      <c r="AA327">
        <v>0</v>
      </c>
    </row>
    <row r="328" spans="1:27">
      <c r="A328" s="1">
        <v>326</v>
      </c>
      <c r="B328">
        <v>18587089</v>
      </c>
      <c r="C328" t="s">
        <v>357</v>
      </c>
      <c r="D328" t="s">
        <v>1349</v>
      </c>
      <c r="E328" t="s">
        <v>2155</v>
      </c>
      <c r="G328">
        <f>"0316122556"</f>
        <v>0</v>
      </c>
      <c r="H328">
        <f>"9780316122559"</f>
        <v>0</v>
      </c>
      <c r="I328">
        <v>2</v>
      </c>
      <c r="J328">
        <v>3.98</v>
      </c>
      <c r="K328" t="s">
        <v>3198</v>
      </c>
      <c r="L328" t="s">
        <v>3492</v>
      </c>
      <c r="M328">
        <v>388</v>
      </c>
      <c r="N328">
        <v>2014</v>
      </c>
      <c r="O328">
        <v>2014</v>
      </c>
      <c r="P328" t="s">
        <v>3520</v>
      </c>
      <c r="Q328" t="s">
        <v>3700</v>
      </c>
      <c r="T328" t="s">
        <v>4621</v>
      </c>
      <c r="X328">
        <v>1</v>
      </c>
      <c r="AA328">
        <v>0</v>
      </c>
    </row>
    <row r="329" spans="1:27">
      <c r="A329" s="1">
        <v>327</v>
      </c>
      <c r="B329">
        <v>406326</v>
      </c>
      <c r="C329" t="s">
        <v>358</v>
      </c>
      <c r="D329" t="s">
        <v>1350</v>
      </c>
      <c r="E329" t="s">
        <v>2156</v>
      </c>
      <c r="F329" t="s">
        <v>2764</v>
      </c>
      <c r="G329">
        <f>"0471602035"</f>
        <v>0</v>
      </c>
      <c r="H329">
        <f>"9780471602033"</f>
        <v>0</v>
      </c>
      <c r="I329">
        <v>0</v>
      </c>
      <c r="J329">
        <v>3.67</v>
      </c>
      <c r="K329" t="s">
        <v>3199</v>
      </c>
      <c r="L329" t="s">
        <v>3491</v>
      </c>
      <c r="M329">
        <v>288</v>
      </c>
      <c r="N329">
        <v>1989</v>
      </c>
      <c r="O329">
        <v>1989</v>
      </c>
      <c r="Q329" t="s">
        <v>3693</v>
      </c>
      <c r="R329" t="s">
        <v>3863</v>
      </c>
      <c r="S329" t="s">
        <v>4163</v>
      </c>
      <c r="T329" t="s">
        <v>3863</v>
      </c>
      <c r="X329">
        <v>0</v>
      </c>
      <c r="AA329">
        <v>0</v>
      </c>
    </row>
    <row r="330" spans="1:27">
      <c r="A330" s="1">
        <v>328</v>
      </c>
      <c r="B330">
        <v>48637798</v>
      </c>
      <c r="C330" t="s">
        <v>359</v>
      </c>
      <c r="D330" t="s">
        <v>1351</v>
      </c>
      <c r="E330" t="s">
        <v>2157</v>
      </c>
      <c r="G330">
        <f>""</f>
        <v>0</v>
      </c>
      <c r="H330">
        <f>""</f>
        <v>0</v>
      </c>
      <c r="I330">
        <v>4</v>
      </c>
      <c r="J330">
        <v>4.36</v>
      </c>
      <c r="K330" t="s">
        <v>3200</v>
      </c>
      <c r="L330" t="s">
        <v>3493</v>
      </c>
      <c r="M330">
        <v>265</v>
      </c>
      <c r="N330">
        <v>2019</v>
      </c>
      <c r="O330">
        <v>2013</v>
      </c>
      <c r="P330" t="s">
        <v>3521</v>
      </c>
      <c r="Q330" t="s">
        <v>3701</v>
      </c>
      <c r="T330" t="s">
        <v>4621</v>
      </c>
      <c r="U330" t="s">
        <v>4644</v>
      </c>
      <c r="X330">
        <v>1</v>
      </c>
      <c r="AA330">
        <v>0</v>
      </c>
    </row>
    <row r="331" spans="1:27">
      <c r="A331" s="1">
        <v>329</v>
      </c>
      <c r="B331">
        <v>50403522</v>
      </c>
      <c r="C331" t="s">
        <v>360</v>
      </c>
      <c r="D331" t="s">
        <v>1352</v>
      </c>
      <c r="E331" t="s">
        <v>2158</v>
      </c>
      <c r="G331">
        <f>"1683644093"</f>
        <v>0</v>
      </c>
      <c r="H331">
        <f>"9781683644095"</f>
        <v>0</v>
      </c>
      <c r="I331">
        <v>0</v>
      </c>
      <c r="J331">
        <v>3.89</v>
      </c>
      <c r="K331" t="s">
        <v>3201</v>
      </c>
      <c r="L331" t="s">
        <v>3492</v>
      </c>
      <c r="M331">
        <v>300</v>
      </c>
      <c r="N331">
        <v>2020</v>
      </c>
      <c r="O331">
        <v>2020</v>
      </c>
      <c r="Q331" t="s">
        <v>3521</v>
      </c>
      <c r="R331" t="s">
        <v>3863</v>
      </c>
      <c r="S331" t="s">
        <v>4164</v>
      </c>
      <c r="T331" t="s">
        <v>3863</v>
      </c>
      <c r="X331">
        <v>0</v>
      </c>
      <c r="AA331">
        <v>0</v>
      </c>
    </row>
    <row r="332" spans="1:27">
      <c r="A332" s="1">
        <v>330</v>
      </c>
      <c r="B332">
        <v>13748038</v>
      </c>
      <c r="C332" t="s">
        <v>361</v>
      </c>
      <c r="D332" t="s">
        <v>1353</v>
      </c>
      <c r="E332" t="s">
        <v>2159</v>
      </c>
      <c r="G332">
        <f>"0691127557"</f>
        <v>0</v>
      </c>
      <c r="H332">
        <f>"9780691127552"</f>
        <v>0</v>
      </c>
      <c r="I332">
        <v>0</v>
      </c>
      <c r="J332">
        <v>4.12</v>
      </c>
      <c r="K332" t="s">
        <v>3016</v>
      </c>
      <c r="L332" t="s">
        <v>3492</v>
      </c>
      <c r="M332">
        <v>456</v>
      </c>
      <c r="N332">
        <v>2012</v>
      </c>
      <c r="O332">
        <v>2012</v>
      </c>
      <c r="Q332" t="s">
        <v>3702</v>
      </c>
      <c r="R332" t="s">
        <v>3863</v>
      </c>
      <c r="S332" t="s">
        <v>4165</v>
      </c>
      <c r="T332" t="s">
        <v>3863</v>
      </c>
      <c r="X332">
        <v>0</v>
      </c>
      <c r="AA332">
        <v>0</v>
      </c>
    </row>
    <row r="333" spans="1:27">
      <c r="A333" s="1">
        <v>331</v>
      </c>
      <c r="B333">
        <v>23456467</v>
      </c>
      <c r="C333" t="s">
        <v>362</v>
      </c>
      <c r="D333" t="s">
        <v>1354</v>
      </c>
      <c r="E333" t="s">
        <v>2160</v>
      </c>
      <c r="G333">
        <f>"006226205X"</f>
        <v>0</v>
      </c>
      <c r="H333">
        <f>"9780062262059"</f>
        <v>0</v>
      </c>
      <c r="I333">
        <v>0</v>
      </c>
      <c r="J333">
        <v>4.24</v>
      </c>
      <c r="K333" t="s">
        <v>3202</v>
      </c>
      <c r="L333" t="s">
        <v>3492</v>
      </c>
      <c r="M333">
        <v>464</v>
      </c>
      <c r="N333">
        <v>2014</v>
      </c>
      <c r="O333">
        <v>2014</v>
      </c>
      <c r="Q333" t="s">
        <v>3702</v>
      </c>
      <c r="R333" t="s">
        <v>3863</v>
      </c>
      <c r="S333" t="s">
        <v>4166</v>
      </c>
      <c r="T333" t="s">
        <v>3863</v>
      </c>
      <c r="X333">
        <v>0</v>
      </c>
      <c r="AA333">
        <v>0</v>
      </c>
    </row>
    <row r="334" spans="1:27">
      <c r="A334" s="1">
        <v>332</v>
      </c>
      <c r="B334">
        <v>38212132</v>
      </c>
      <c r="C334" t="s">
        <v>363</v>
      </c>
      <c r="D334" t="s">
        <v>1355</v>
      </c>
      <c r="E334" t="s">
        <v>2161</v>
      </c>
      <c r="G334">
        <f>"1631492101"</f>
        <v>0</v>
      </c>
      <c r="H334">
        <f>"9781631492105"</f>
        <v>0</v>
      </c>
      <c r="I334">
        <v>0</v>
      </c>
      <c r="J334">
        <v>3.77</v>
      </c>
      <c r="K334" t="s">
        <v>3203</v>
      </c>
      <c r="L334" t="s">
        <v>3492</v>
      </c>
      <c r="M334">
        <v>380</v>
      </c>
      <c r="N334">
        <v>2018</v>
      </c>
      <c r="O334">
        <v>2018</v>
      </c>
      <c r="Q334" t="s">
        <v>3702</v>
      </c>
      <c r="R334" t="s">
        <v>3863</v>
      </c>
      <c r="S334" t="s">
        <v>4167</v>
      </c>
      <c r="T334" t="s">
        <v>3863</v>
      </c>
      <c r="X334">
        <v>0</v>
      </c>
      <c r="AA334">
        <v>0</v>
      </c>
    </row>
    <row r="335" spans="1:27">
      <c r="A335" s="1">
        <v>333</v>
      </c>
      <c r="B335">
        <v>31951505</v>
      </c>
      <c r="C335" t="s">
        <v>364</v>
      </c>
      <c r="D335" t="s">
        <v>1356</v>
      </c>
      <c r="E335" t="s">
        <v>2162</v>
      </c>
      <c r="F335" t="s">
        <v>2765</v>
      </c>
      <c r="G335">
        <f>"0691165025"</f>
        <v>0</v>
      </c>
      <c r="H335">
        <f>"9780691165028"</f>
        <v>0</v>
      </c>
      <c r="I335">
        <v>0</v>
      </c>
      <c r="J335">
        <v>3.82</v>
      </c>
      <c r="K335" t="s">
        <v>3016</v>
      </c>
      <c r="L335" t="s">
        <v>3492</v>
      </c>
      <c r="M335">
        <v>528</v>
      </c>
      <c r="N335">
        <v>2017</v>
      </c>
      <c r="O335">
        <v>2017</v>
      </c>
      <c r="Q335" t="s">
        <v>3702</v>
      </c>
      <c r="R335" t="s">
        <v>3863</v>
      </c>
      <c r="S335" t="s">
        <v>4168</v>
      </c>
      <c r="T335" t="s">
        <v>3863</v>
      </c>
      <c r="X335">
        <v>0</v>
      </c>
      <c r="AA335">
        <v>0</v>
      </c>
    </row>
    <row r="336" spans="1:27">
      <c r="A336" s="1">
        <v>334</v>
      </c>
      <c r="B336">
        <v>10046142</v>
      </c>
      <c r="C336" t="s">
        <v>365</v>
      </c>
      <c r="D336" t="s">
        <v>1357</v>
      </c>
      <c r="E336" t="s">
        <v>2163</v>
      </c>
      <c r="G336">
        <f>"1586489291"</f>
        <v>0</v>
      </c>
      <c r="H336">
        <f>"9781586489298"</f>
        <v>0</v>
      </c>
      <c r="I336">
        <v>0</v>
      </c>
      <c r="J336">
        <v>4.17</v>
      </c>
      <c r="K336" t="s">
        <v>3047</v>
      </c>
      <c r="L336" t="s">
        <v>3492</v>
      </c>
      <c r="M336">
        <v>400</v>
      </c>
      <c r="N336">
        <v>2011</v>
      </c>
      <c r="O336">
        <v>2010</v>
      </c>
      <c r="Q336" t="s">
        <v>3702</v>
      </c>
      <c r="R336" t="s">
        <v>3863</v>
      </c>
      <c r="S336" t="s">
        <v>4169</v>
      </c>
      <c r="T336" t="s">
        <v>3863</v>
      </c>
      <c r="X336">
        <v>0</v>
      </c>
      <c r="AA336">
        <v>0</v>
      </c>
    </row>
    <row r="337" spans="1:27">
      <c r="A337" s="1">
        <v>335</v>
      </c>
      <c r="B337">
        <v>44314636</v>
      </c>
      <c r="C337" t="s">
        <v>366</v>
      </c>
      <c r="D337" t="s">
        <v>1358</v>
      </c>
      <c r="E337" t="s">
        <v>2164</v>
      </c>
      <c r="F337" t="s">
        <v>2766</v>
      </c>
      <c r="G337">
        <f>""</f>
        <v>0</v>
      </c>
      <c r="H337">
        <f>""</f>
        <v>0</v>
      </c>
      <c r="I337">
        <v>0</v>
      </c>
      <c r="J337">
        <v>3.95</v>
      </c>
      <c r="K337" t="s">
        <v>3204</v>
      </c>
      <c r="L337" t="s">
        <v>3493</v>
      </c>
      <c r="M337">
        <v>814</v>
      </c>
      <c r="N337">
        <v>2019</v>
      </c>
      <c r="Q337" t="s">
        <v>3702</v>
      </c>
      <c r="R337" t="s">
        <v>3863</v>
      </c>
      <c r="S337" t="s">
        <v>4170</v>
      </c>
      <c r="T337" t="s">
        <v>3863</v>
      </c>
      <c r="X337">
        <v>0</v>
      </c>
      <c r="AA337">
        <v>0</v>
      </c>
    </row>
    <row r="338" spans="1:27">
      <c r="A338" s="1">
        <v>336</v>
      </c>
      <c r="B338">
        <v>41183735</v>
      </c>
      <c r="C338" t="s">
        <v>367</v>
      </c>
      <c r="D338" t="s">
        <v>1359</v>
      </c>
      <c r="E338" t="s">
        <v>2165</v>
      </c>
      <c r="G338">
        <f>""</f>
        <v>0</v>
      </c>
      <c r="H338">
        <f>""</f>
        <v>0</v>
      </c>
      <c r="I338">
        <v>0</v>
      </c>
      <c r="J338">
        <v>4.42</v>
      </c>
      <c r="K338" t="s">
        <v>3205</v>
      </c>
      <c r="L338" t="s">
        <v>3494</v>
      </c>
      <c r="N338">
        <v>2008</v>
      </c>
      <c r="Q338" t="s">
        <v>3703</v>
      </c>
      <c r="R338" t="s">
        <v>3863</v>
      </c>
      <c r="S338" t="s">
        <v>4171</v>
      </c>
      <c r="T338" t="s">
        <v>3863</v>
      </c>
      <c r="X338">
        <v>0</v>
      </c>
      <c r="AA338">
        <v>0</v>
      </c>
    </row>
    <row r="339" spans="1:27">
      <c r="A339" s="1">
        <v>337</v>
      </c>
      <c r="B339">
        <v>833962</v>
      </c>
      <c r="C339" t="s">
        <v>368</v>
      </c>
      <c r="D339" t="s">
        <v>1360</v>
      </c>
      <c r="E339" t="s">
        <v>2166</v>
      </c>
      <c r="F339" t="s">
        <v>2767</v>
      </c>
      <c r="G339">
        <f>"0691027641"</f>
        <v>0</v>
      </c>
      <c r="H339">
        <f>"9780691027647"</f>
        <v>0</v>
      </c>
      <c r="I339">
        <v>0</v>
      </c>
      <c r="J339">
        <v>4.04</v>
      </c>
      <c r="K339" t="s">
        <v>3016</v>
      </c>
      <c r="L339" t="s">
        <v>3491</v>
      </c>
      <c r="M339">
        <v>952</v>
      </c>
      <c r="N339">
        <v>1986</v>
      </c>
      <c r="O339">
        <v>1943</v>
      </c>
      <c r="Q339" t="s">
        <v>3704</v>
      </c>
      <c r="R339" t="s">
        <v>3863</v>
      </c>
      <c r="S339" t="s">
        <v>4172</v>
      </c>
      <c r="T339" t="s">
        <v>3863</v>
      </c>
      <c r="X339">
        <v>0</v>
      </c>
      <c r="AA339">
        <v>0</v>
      </c>
    </row>
    <row r="340" spans="1:27">
      <c r="A340" s="1">
        <v>338</v>
      </c>
      <c r="B340">
        <v>113830</v>
      </c>
      <c r="C340" t="s">
        <v>369</v>
      </c>
      <c r="D340" t="s">
        <v>1361</v>
      </c>
      <c r="E340" t="s">
        <v>2167</v>
      </c>
      <c r="G340">
        <f>"0465037070"</f>
        <v>0</v>
      </c>
      <c r="H340">
        <f>"9780465037070"</f>
        <v>0</v>
      </c>
      <c r="I340">
        <v>0</v>
      </c>
      <c r="J340">
        <v>3.87</v>
      </c>
      <c r="K340" t="s">
        <v>3138</v>
      </c>
      <c r="L340" t="s">
        <v>3491</v>
      </c>
      <c r="M340">
        <v>400</v>
      </c>
      <c r="N340">
        <v>2006</v>
      </c>
      <c r="O340">
        <v>1976</v>
      </c>
      <c r="Q340" t="s">
        <v>3704</v>
      </c>
      <c r="R340" t="s">
        <v>3863</v>
      </c>
      <c r="S340" t="s">
        <v>4173</v>
      </c>
      <c r="T340" t="s">
        <v>3863</v>
      </c>
      <c r="X340">
        <v>0</v>
      </c>
      <c r="AA340">
        <v>0</v>
      </c>
    </row>
    <row r="341" spans="1:27">
      <c r="A341" s="1">
        <v>339</v>
      </c>
      <c r="B341">
        <v>3740387</v>
      </c>
      <c r="C341" t="s">
        <v>370</v>
      </c>
      <c r="D341" t="s">
        <v>1362</v>
      </c>
      <c r="E341" t="s">
        <v>2168</v>
      </c>
      <c r="G341">
        <f>"0253318246"</f>
        <v>0</v>
      </c>
      <c r="H341">
        <f>"9780253318244"</f>
        <v>0</v>
      </c>
      <c r="I341">
        <v>0</v>
      </c>
      <c r="J341">
        <v>4</v>
      </c>
      <c r="K341" t="s">
        <v>3206</v>
      </c>
      <c r="L341" t="s">
        <v>3498</v>
      </c>
      <c r="M341">
        <v>237</v>
      </c>
      <c r="N341">
        <v>1978</v>
      </c>
      <c r="O341">
        <v>1978</v>
      </c>
      <c r="Q341" t="s">
        <v>3704</v>
      </c>
      <c r="R341" t="s">
        <v>3863</v>
      </c>
      <c r="S341" t="s">
        <v>4174</v>
      </c>
      <c r="T341" t="s">
        <v>3863</v>
      </c>
      <c r="X341">
        <v>0</v>
      </c>
      <c r="AA341">
        <v>0</v>
      </c>
    </row>
    <row r="342" spans="1:27">
      <c r="A342" s="1">
        <v>340</v>
      </c>
      <c r="B342">
        <v>756066</v>
      </c>
      <c r="C342" t="s">
        <v>371</v>
      </c>
      <c r="D342" t="s">
        <v>1362</v>
      </c>
      <c r="E342" t="s">
        <v>2168</v>
      </c>
      <c r="F342" t="s">
        <v>2768</v>
      </c>
      <c r="G342">
        <f>"0470136006"</f>
        <v>0</v>
      </c>
      <c r="H342">
        <f>"9780470136003"</f>
        <v>0</v>
      </c>
      <c r="I342">
        <v>0</v>
      </c>
      <c r="J342">
        <v>3.86</v>
      </c>
      <c r="K342" t="s">
        <v>3127</v>
      </c>
      <c r="L342" t="s">
        <v>3492</v>
      </c>
      <c r="M342">
        <v>544</v>
      </c>
      <c r="N342">
        <v>2007</v>
      </c>
      <c r="O342">
        <v>2007</v>
      </c>
      <c r="Q342" t="s">
        <v>3704</v>
      </c>
      <c r="R342" t="s">
        <v>3863</v>
      </c>
      <c r="S342" t="s">
        <v>4175</v>
      </c>
      <c r="T342" t="s">
        <v>3863</v>
      </c>
      <c r="X342">
        <v>0</v>
      </c>
      <c r="AA342">
        <v>0</v>
      </c>
    </row>
    <row r="343" spans="1:27">
      <c r="A343" s="1">
        <v>341</v>
      </c>
      <c r="B343">
        <v>1645980</v>
      </c>
      <c r="C343" t="s">
        <v>372</v>
      </c>
      <c r="D343" t="s">
        <v>1362</v>
      </c>
      <c r="E343" t="s">
        <v>2168</v>
      </c>
      <c r="G343">
        <f>"0262182262"</f>
        <v>0</v>
      </c>
      <c r="H343">
        <f>"9780262182263"</f>
        <v>0</v>
      </c>
      <c r="I343">
        <v>0</v>
      </c>
      <c r="J343">
        <v>3.15</v>
      </c>
      <c r="K343" t="s">
        <v>3048</v>
      </c>
      <c r="L343" t="s">
        <v>3492</v>
      </c>
      <c r="M343">
        <v>456</v>
      </c>
      <c r="N343">
        <v>2002</v>
      </c>
      <c r="O343">
        <v>2002</v>
      </c>
      <c r="Q343" t="s">
        <v>3704</v>
      </c>
      <c r="R343" t="s">
        <v>3863</v>
      </c>
      <c r="S343" t="s">
        <v>4176</v>
      </c>
      <c r="T343" t="s">
        <v>3863</v>
      </c>
      <c r="X343">
        <v>0</v>
      </c>
      <c r="AA343">
        <v>0</v>
      </c>
    </row>
    <row r="344" spans="1:27">
      <c r="A344" s="1">
        <v>342</v>
      </c>
      <c r="B344">
        <v>162898</v>
      </c>
      <c r="C344" t="s">
        <v>373</v>
      </c>
      <c r="D344" t="s">
        <v>1363</v>
      </c>
      <c r="E344" t="s">
        <v>2169</v>
      </c>
      <c r="G344">
        <f>""</f>
        <v>0</v>
      </c>
      <c r="H344">
        <f>""</f>
        <v>0</v>
      </c>
      <c r="I344">
        <v>0</v>
      </c>
      <c r="J344">
        <v>3.77</v>
      </c>
      <c r="K344" t="s">
        <v>3097</v>
      </c>
      <c r="L344" t="s">
        <v>3491</v>
      </c>
      <c r="M344">
        <v>480</v>
      </c>
      <c r="N344">
        <v>2007</v>
      </c>
      <c r="O344">
        <v>1889</v>
      </c>
      <c r="Q344" t="s">
        <v>3704</v>
      </c>
      <c r="R344" t="s">
        <v>3863</v>
      </c>
      <c r="S344" t="s">
        <v>4177</v>
      </c>
      <c r="T344" t="s">
        <v>3863</v>
      </c>
      <c r="X344">
        <v>0</v>
      </c>
      <c r="AA344">
        <v>0</v>
      </c>
    </row>
    <row r="345" spans="1:27">
      <c r="A345" s="1">
        <v>343</v>
      </c>
      <c r="B345">
        <v>17903</v>
      </c>
      <c r="C345" t="s">
        <v>374</v>
      </c>
      <c r="D345" t="s">
        <v>1364</v>
      </c>
      <c r="E345" t="s">
        <v>2170</v>
      </c>
      <c r="F345" t="s">
        <v>2769</v>
      </c>
      <c r="G345">
        <f>"1559705280"</f>
        <v>0</v>
      </c>
      <c r="H345">
        <f>"9781559705288"</f>
        <v>0</v>
      </c>
      <c r="I345">
        <v>1</v>
      </c>
      <c r="J345">
        <v>3.8</v>
      </c>
      <c r="K345" t="s">
        <v>3207</v>
      </c>
      <c r="L345" t="s">
        <v>3492</v>
      </c>
      <c r="M345">
        <v>121</v>
      </c>
      <c r="N345">
        <v>2000</v>
      </c>
      <c r="O345">
        <v>1998</v>
      </c>
      <c r="P345" t="s">
        <v>3522</v>
      </c>
      <c r="Q345" t="s">
        <v>3532</v>
      </c>
      <c r="T345" t="s">
        <v>4621</v>
      </c>
      <c r="X345">
        <v>1</v>
      </c>
      <c r="AA345">
        <v>0</v>
      </c>
    </row>
    <row r="346" spans="1:27">
      <c r="A346" s="1">
        <v>344</v>
      </c>
      <c r="B346">
        <v>39644188</v>
      </c>
      <c r="C346" t="s">
        <v>375</v>
      </c>
      <c r="D346" t="s">
        <v>1365</v>
      </c>
      <c r="E346" t="s">
        <v>2171</v>
      </c>
      <c r="G346">
        <f>"0262038765"</f>
        <v>0</v>
      </c>
      <c r="H346">
        <f>"9780262038768"</f>
        <v>0</v>
      </c>
      <c r="I346">
        <v>0</v>
      </c>
      <c r="J346">
        <v>4.4</v>
      </c>
      <c r="K346" t="s">
        <v>3048</v>
      </c>
      <c r="L346" t="s">
        <v>3492</v>
      </c>
      <c r="M346">
        <v>432</v>
      </c>
      <c r="N346">
        <v>2018</v>
      </c>
      <c r="O346">
        <v>2018</v>
      </c>
      <c r="Q346" t="s">
        <v>3522</v>
      </c>
      <c r="R346" t="s">
        <v>3863</v>
      </c>
      <c r="S346" t="s">
        <v>4178</v>
      </c>
      <c r="T346" t="s">
        <v>3863</v>
      </c>
      <c r="X346">
        <v>0</v>
      </c>
      <c r="AA346">
        <v>0</v>
      </c>
    </row>
    <row r="347" spans="1:27">
      <c r="A347" s="1">
        <v>345</v>
      </c>
      <c r="B347">
        <v>223556</v>
      </c>
      <c r="C347" t="s">
        <v>376</v>
      </c>
      <c r="D347" t="s">
        <v>1366</v>
      </c>
      <c r="E347" t="s">
        <v>2172</v>
      </c>
      <c r="F347" t="s">
        <v>1541</v>
      </c>
      <c r="G347">
        <f>"0684824299"</f>
        <v>0</v>
      </c>
      <c r="H347">
        <f>"9780684824291"</f>
        <v>0</v>
      </c>
      <c r="I347">
        <v>0</v>
      </c>
      <c r="J347">
        <v>3.56</v>
      </c>
      <c r="K347" t="s">
        <v>3000</v>
      </c>
      <c r="L347" t="s">
        <v>3491</v>
      </c>
      <c r="M347">
        <v>912</v>
      </c>
      <c r="N347">
        <v>1996</v>
      </c>
      <c r="O347">
        <v>1994</v>
      </c>
      <c r="P347" t="s">
        <v>3522</v>
      </c>
      <c r="Q347" t="s">
        <v>3705</v>
      </c>
      <c r="T347" t="s">
        <v>4621</v>
      </c>
      <c r="X347">
        <v>1</v>
      </c>
      <c r="AA347">
        <v>0</v>
      </c>
    </row>
    <row r="348" spans="1:27">
      <c r="A348" s="1">
        <v>346</v>
      </c>
      <c r="B348">
        <v>24019181</v>
      </c>
      <c r="C348" t="s">
        <v>377</v>
      </c>
      <c r="D348" t="s">
        <v>1367</v>
      </c>
      <c r="E348" t="s">
        <v>2173</v>
      </c>
      <c r="G348">
        <f>"1250014549"</f>
        <v>0</v>
      </c>
      <c r="H348">
        <f>"9781250014542"</f>
        <v>0</v>
      </c>
      <c r="I348">
        <v>0</v>
      </c>
      <c r="J348">
        <v>4.26</v>
      </c>
      <c r="K348" t="s">
        <v>3162</v>
      </c>
      <c r="L348" t="s">
        <v>3492</v>
      </c>
      <c r="M348">
        <v>560</v>
      </c>
      <c r="N348">
        <v>2015</v>
      </c>
      <c r="O348">
        <v>2015</v>
      </c>
      <c r="Q348" t="s">
        <v>3706</v>
      </c>
      <c r="R348" t="s">
        <v>3863</v>
      </c>
      <c r="S348" t="s">
        <v>4179</v>
      </c>
      <c r="T348" t="s">
        <v>3863</v>
      </c>
      <c r="X348">
        <v>0</v>
      </c>
      <c r="AA348">
        <v>0</v>
      </c>
    </row>
    <row r="349" spans="1:27">
      <c r="A349" s="1">
        <v>347</v>
      </c>
      <c r="B349">
        <v>19661852</v>
      </c>
      <c r="C349" t="s">
        <v>378</v>
      </c>
      <c r="D349" t="s">
        <v>1368</v>
      </c>
      <c r="E349" t="s">
        <v>2174</v>
      </c>
      <c r="G349">
        <f>""</f>
        <v>0</v>
      </c>
      <c r="H349">
        <f>""</f>
        <v>0</v>
      </c>
      <c r="I349">
        <v>0</v>
      </c>
      <c r="J349">
        <v>4.08</v>
      </c>
      <c r="K349" t="s">
        <v>3099</v>
      </c>
      <c r="L349" t="s">
        <v>3491</v>
      </c>
      <c r="M349">
        <v>326</v>
      </c>
      <c r="N349">
        <v>2014</v>
      </c>
      <c r="O349">
        <v>2014</v>
      </c>
      <c r="Q349" t="s">
        <v>3706</v>
      </c>
      <c r="T349" t="s">
        <v>4621</v>
      </c>
      <c r="X349">
        <v>1</v>
      </c>
      <c r="AA349">
        <v>0</v>
      </c>
    </row>
    <row r="350" spans="1:27">
      <c r="A350" s="1">
        <v>348</v>
      </c>
      <c r="B350">
        <v>299804</v>
      </c>
      <c r="C350" t="s">
        <v>379</v>
      </c>
      <c r="D350" t="s">
        <v>1369</v>
      </c>
      <c r="E350" t="s">
        <v>2175</v>
      </c>
      <c r="F350" t="s">
        <v>2770</v>
      </c>
      <c r="G350">
        <f>"1585423181"</f>
        <v>0</v>
      </c>
      <c r="H350">
        <f>"9781585423187"</f>
        <v>0</v>
      </c>
      <c r="I350">
        <v>0</v>
      </c>
      <c r="J350">
        <v>4.07</v>
      </c>
      <c r="K350" t="s">
        <v>3208</v>
      </c>
      <c r="L350" t="s">
        <v>3491</v>
      </c>
      <c r="M350">
        <v>352</v>
      </c>
      <c r="N350">
        <v>2004</v>
      </c>
      <c r="O350">
        <v>2003</v>
      </c>
      <c r="Q350" t="s">
        <v>3707</v>
      </c>
      <c r="R350" t="s">
        <v>3863</v>
      </c>
      <c r="S350" t="s">
        <v>4180</v>
      </c>
      <c r="T350" t="s">
        <v>3863</v>
      </c>
      <c r="X350">
        <v>0</v>
      </c>
      <c r="AA350">
        <v>0</v>
      </c>
    </row>
    <row r="351" spans="1:27">
      <c r="A351" s="1">
        <v>349</v>
      </c>
      <c r="B351">
        <v>53481723</v>
      </c>
      <c r="C351" t="s">
        <v>380</v>
      </c>
      <c r="D351" t="s">
        <v>1370</v>
      </c>
      <c r="E351" t="s">
        <v>2176</v>
      </c>
      <c r="G351">
        <f>"1101981644"</f>
        <v>0</v>
      </c>
      <c r="H351">
        <f>"9781101981641"</f>
        <v>0</v>
      </c>
      <c r="I351">
        <v>0</v>
      </c>
      <c r="J351">
        <v>4.07</v>
      </c>
      <c r="K351" t="s">
        <v>3050</v>
      </c>
      <c r="L351" t="s">
        <v>3492</v>
      </c>
      <c r="M351">
        <v>304</v>
      </c>
      <c r="N351">
        <v>2021</v>
      </c>
      <c r="O351">
        <v>2021</v>
      </c>
      <c r="Q351" t="s">
        <v>3707</v>
      </c>
      <c r="R351" t="s">
        <v>3863</v>
      </c>
      <c r="S351" t="s">
        <v>4181</v>
      </c>
      <c r="T351" t="s">
        <v>3863</v>
      </c>
      <c r="X351">
        <v>0</v>
      </c>
      <c r="AA351">
        <v>0</v>
      </c>
    </row>
    <row r="352" spans="1:27">
      <c r="A352" s="1">
        <v>350</v>
      </c>
      <c r="B352">
        <v>15399369</v>
      </c>
      <c r="C352" t="s">
        <v>381</v>
      </c>
      <c r="D352" t="s">
        <v>1371</v>
      </c>
      <c r="E352" t="s">
        <v>2177</v>
      </c>
      <c r="G352">
        <f>"0808403451"</f>
        <v>0</v>
      </c>
      <c r="H352">
        <f>"9780808403456"</f>
        <v>0</v>
      </c>
      <c r="I352">
        <v>0</v>
      </c>
      <c r="J352">
        <v>2.71</v>
      </c>
      <c r="K352" t="s">
        <v>3209</v>
      </c>
      <c r="L352" t="s">
        <v>3492</v>
      </c>
      <c r="N352">
        <v>1970</v>
      </c>
      <c r="O352">
        <v>1970</v>
      </c>
      <c r="Q352" t="s">
        <v>3707</v>
      </c>
      <c r="R352" t="s">
        <v>3863</v>
      </c>
      <c r="S352" t="s">
        <v>4182</v>
      </c>
      <c r="T352" t="s">
        <v>3863</v>
      </c>
      <c r="X352">
        <v>0</v>
      </c>
      <c r="AA352">
        <v>0</v>
      </c>
    </row>
    <row r="353" spans="1:27">
      <c r="A353" s="1">
        <v>351</v>
      </c>
      <c r="B353">
        <v>3707</v>
      </c>
      <c r="C353" t="s">
        <v>382</v>
      </c>
      <c r="D353" t="s">
        <v>1076</v>
      </c>
      <c r="E353" t="s">
        <v>1883</v>
      </c>
      <c r="G353">
        <f>"0671019090"</f>
        <v>0</v>
      </c>
      <c r="H353">
        <f>"9780671019099"</f>
        <v>0</v>
      </c>
      <c r="I353">
        <v>3</v>
      </c>
      <c r="J353">
        <v>3.73</v>
      </c>
      <c r="K353" t="s">
        <v>3210</v>
      </c>
      <c r="L353" t="s">
        <v>3491</v>
      </c>
      <c r="M353">
        <v>160</v>
      </c>
      <c r="N353">
        <v>1998</v>
      </c>
      <c r="O353">
        <v>1985</v>
      </c>
      <c r="P353" t="s">
        <v>3523</v>
      </c>
      <c r="Q353" t="s">
        <v>3647</v>
      </c>
      <c r="T353" t="s">
        <v>4621</v>
      </c>
      <c r="U353" t="s">
        <v>4645</v>
      </c>
      <c r="X353">
        <v>1</v>
      </c>
      <c r="AA353">
        <v>0</v>
      </c>
    </row>
    <row r="354" spans="1:27">
      <c r="A354" s="1">
        <v>352</v>
      </c>
      <c r="B354">
        <v>61179</v>
      </c>
      <c r="C354" t="s">
        <v>383</v>
      </c>
      <c r="D354" t="s">
        <v>1372</v>
      </c>
      <c r="E354" t="s">
        <v>2178</v>
      </c>
      <c r="G354">
        <f>"0575077026"</f>
        <v>0</v>
      </c>
      <c r="H354">
        <f>"9780575077027"</f>
        <v>0</v>
      </c>
      <c r="I354">
        <v>0</v>
      </c>
      <c r="J354">
        <v>3.95</v>
      </c>
      <c r="K354" t="s">
        <v>3211</v>
      </c>
      <c r="L354" t="s">
        <v>3491</v>
      </c>
      <c r="M354">
        <v>288</v>
      </c>
      <c r="N354">
        <v>2005</v>
      </c>
      <c r="O354">
        <v>1970</v>
      </c>
      <c r="Q354" t="s">
        <v>3708</v>
      </c>
      <c r="R354" t="s">
        <v>3863</v>
      </c>
      <c r="S354" t="s">
        <v>4183</v>
      </c>
      <c r="T354" t="s">
        <v>3863</v>
      </c>
      <c r="X354">
        <v>0</v>
      </c>
      <c r="AA354">
        <v>0</v>
      </c>
    </row>
    <row r="355" spans="1:27">
      <c r="A355" s="1">
        <v>353</v>
      </c>
      <c r="B355">
        <v>18213403</v>
      </c>
      <c r="C355" t="s">
        <v>384</v>
      </c>
      <c r="D355" t="s">
        <v>1373</v>
      </c>
      <c r="E355" t="s">
        <v>2179</v>
      </c>
      <c r="G355">
        <f>"162779073X"</f>
        <v>0</v>
      </c>
      <c r="H355">
        <f>"9781627790734"</f>
        <v>0</v>
      </c>
      <c r="I355">
        <v>0</v>
      </c>
      <c r="J355">
        <v>4.07</v>
      </c>
      <c r="K355" t="s">
        <v>3212</v>
      </c>
      <c r="L355" t="s">
        <v>3492</v>
      </c>
      <c r="M355">
        <v>260</v>
      </c>
      <c r="N355">
        <v>2014</v>
      </c>
      <c r="O355">
        <v>2014</v>
      </c>
      <c r="Q355" t="s">
        <v>3709</v>
      </c>
      <c r="R355" t="s">
        <v>3863</v>
      </c>
      <c r="S355" t="s">
        <v>4184</v>
      </c>
      <c r="T355" t="s">
        <v>3863</v>
      </c>
      <c r="X355">
        <v>0</v>
      </c>
      <c r="AA355">
        <v>0</v>
      </c>
    </row>
    <row r="356" spans="1:27">
      <c r="A356" s="1">
        <v>354</v>
      </c>
      <c r="B356">
        <v>34466958</v>
      </c>
      <c r="C356" t="s">
        <v>385</v>
      </c>
      <c r="D356" t="s">
        <v>1147</v>
      </c>
      <c r="E356" t="s">
        <v>1953</v>
      </c>
      <c r="G356">
        <f>"150114331X"</f>
        <v>0</v>
      </c>
      <c r="H356">
        <f>"9781501143311"</f>
        <v>0</v>
      </c>
      <c r="I356">
        <v>0</v>
      </c>
      <c r="J356">
        <v>4.03</v>
      </c>
      <c r="K356" t="s">
        <v>3097</v>
      </c>
      <c r="L356" t="s">
        <v>3492</v>
      </c>
      <c r="M356">
        <v>335</v>
      </c>
      <c r="N356">
        <v>2018</v>
      </c>
      <c r="O356">
        <v>2018</v>
      </c>
      <c r="Q356" t="s">
        <v>3710</v>
      </c>
      <c r="R356" t="s">
        <v>3863</v>
      </c>
      <c r="S356" t="s">
        <v>4185</v>
      </c>
      <c r="T356" t="s">
        <v>3863</v>
      </c>
      <c r="X356">
        <v>0</v>
      </c>
      <c r="AA356">
        <v>0</v>
      </c>
    </row>
    <row r="357" spans="1:27">
      <c r="A357" s="1">
        <v>355</v>
      </c>
      <c r="B357">
        <v>264956</v>
      </c>
      <c r="C357" t="s">
        <v>386</v>
      </c>
      <c r="D357" t="s">
        <v>1374</v>
      </c>
      <c r="E357" t="s">
        <v>2180</v>
      </c>
      <c r="F357" t="s">
        <v>2771</v>
      </c>
      <c r="G357">
        <f>"027597510X"</f>
        <v>0</v>
      </c>
      <c r="H357">
        <f>"9780275975104"</f>
        <v>0</v>
      </c>
      <c r="I357">
        <v>0</v>
      </c>
      <c r="J357">
        <v>3.67</v>
      </c>
      <c r="K357" t="s">
        <v>3213</v>
      </c>
      <c r="L357" t="s">
        <v>3492</v>
      </c>
      <c r="M357">
        <v>320</v>
      </c>
      <c r="N357">
        <v>2002</v>
      </c>
      <c r="O357">
        <v>2002</v>
      </c>
      <c r="Q357" t="s">
        <v>3710</v>
      </c>
      <c r="R357" t="s">
        <v>3863</v>
      </c>
      <c r="S357" t="s">
        <v>4186</v>
      </c>
      <c r="T357" t="s">
        <v>3863</v>
      </c>
      <c r="X357">
        <v>0</v>
      </c>
      <c r="AA357">
        <v>0</v>
      </c>
    </row>
    <row r="358" spans="1:27">
      <c r="A358" s="1">
        <v>356</v>
      </c>
      <c r="B358">
        <v>26109028</v>
      </c>
      <c r="C358" t="s">
        <v>387</v>
      </c>
      <c r="D358" t="s">
        <v>1375</v>
      </c>
      <c r="E358" t="s">
        <v>2181</v>
      </c>
      <c r="G358">
        <f>"0307958248"</f>
        <v>0</v>
      </c>
      <c r="H358">
        <f>"9780307958242"</f>
        <v>0</v>
      </c>
      <c r="I358">
        <v>0</v>
      </c>
      <c r="J358">
        <v>3.29</v>
      </c>
      <c r="K358" t="s">
        <v>3214</v>
      </c>
      <c r="L358" t="s">
        <v>3492</v>
      </c>
      <c r="M358">
        <v>320</v>
      </c>
      <c r="N358">
        <v>2016</v>
      </c>
      <c r="O358">
        <v>2016</v>
      </c>
      <c r="Q358" t="s">
        <v>3711</v>
      </c>
      <c r="R358" t="s">
        <v>3863</v>
      </c>
      <c r="S358" t="s">
        <v>4187</v>
      </c>
      <c r="T358" t="s">
        <v>3863</v>
      </c>
      <c r="X358">
        <v>0</v>
      </c>
      <c r="AA358">
        <v>0</v>
      </c>
    </row>
    <row r="359" spans="1:27">
      <c r="A359" s="1">
        <v>357</v>
      </c>
      <c r="B359">
        <v>28921</v>
      </c>
      <c r="C359" t="s">
        <v>388</v>
      </c>
      <c r="D359" t="s">
        <v>1376</v>
      </c>
      <c r="E359" t="s">
        <v>2182</v>
      </c>
      <c r="G359">
        <f>""</f>
        <v>0</v>
      </c>
      <c r="H359">
        <f>""</f>
        <v>0</v>
      </c>
      <c r="I359">
        <v>3</v>
      </c>
      <c r="J359">
        <v>4.14</v>
      </c>
      <c r="K359" t="s">
        <v>3062</v>
      </c>
      <c r="L359" t="s">
        <v>3491</v>
      </c>
      <c r="M359">
        <v>258</v>
      </c>
      <c r="N359">
        <v>2005</v>
      </c>
      <c r="O359">
        <v>1989</v>
      </c>
      <c r="P359" t="s">
        <v>3524</v>
      </c>
      <c r="Q359" t="s">
        <v>3712</v>
      </c>
      <c r="T359" t="s">
        <v>4621</v>
      </c>
      <c r="U359" t="s">
        <v>4646</v>
      </c>
      <c r="X359">
        <v>1</v>
      </c>
      <c r="AA359">
        <v>0</v>
      </c>
    </row>
    <row r="360" spans="1:27">
      <c r="A360" s="1">
        <v>358</v>
      </c>
      <c r="B360">
        <v>14537326</v>
      </c>
      <c r="C360" t="s">
        <v>389</v>
      </c>
      <c r="D360" t="s">
        <v>1377</v>
      </c>
      <c r="E360" t="s">
        <v>2183</v>
      </c>
      <c r="G360">
        <f>"145042497X"</f>
        <v>0</v>
      </c>
      <c r="H360">
        <f>"9781450424974"</f>
        <v>0</v>
      </c>
      <c r="I360">
        <v>0</v>
      </c>
      <c r="J360">
        <v>4.14</v>
      </c>
      <c r="K360" t="s">
        <v>3215</v>
      </c>
      <c r="L360" t="s">
        <v>3491</v>
      </c>
      <c r="M360">
        <v>448</v>
      </c>
      <c r="N360">
        <v>2012</v>
      </c>
      <c r="O360">
        <v>2012</v>
      </c>
      <c r="Q360" t="s">
        <v>3524</v>
      </c>
      <c r="R360" t="s">
        <v>3863</v>
      </c>
      <c r="S360" t="s">
        <v>4188</v>
      </c>
      <c r="T360" t="s">
        <v>3863</v>
      </c>
      <c r="X360">
        <v>0</v>
      </c>
      <c r="AA360">
        <v>0</v>
      </c>
    </row>
    <row r="361" spans="1:27">
      <c r="A361" s="1">
        <v>359</v>
      </c>
      <c r="B361">
        <v>35407604</v>
      </c>
      <c r="C361" t="s">
        <v>390</v>
      </c>
      <c r="D361" t="s">
        <v>1378</v>
      </c>
      <c r="E361" t="s">
        <v>2184</v>
      </c>
      <c r="G361">
        <f>"1681776774"</f>
        <v>0</v>
      </c>
      <c r="H361">
        <f>"9781681776774"</f>
        <v>0</v>
      </c>
      <c r="I361">
        <v>0</v>
      </c>
      <c r="J361">
        <v>3.45</v>
      </c>
      <c r="K361" t="s">
        <v>3216</v>
      </c>
      <c r="L361" t="s">
        <v>3492</v>
      </c>
      <c r="M361">
        <v>352</v>
      </c>
      <c r="N361">
        <v>2018</v>
      </c>
      <c r="O361">
        <v>2017</v>
      </c>
      <c r="Q361" t="s">
        <v>3524</v>
      </c>
      <c r="R361" t="s">
        <v>3863</v>
      </c>
      <c r="S361" t="s">
        <v>4189</v>
      </c>
      <c r="T361" t="s">
        <v>3863</v>
      </c>
      <c r="X361">
        <v>0</v>
      </c>
      <c r="AA361">
        <v>0</v>
      </c>
    </row>
    <row r="362" spans="1:27">
      <c r="A362" s="1">
        <v>360</v>
      </c>
      <c r="B362">
        <v>333103</v>
      </c>
      <c r="C362" t="s">
        <v>391</v>
      </c>
      <c r="D362" t="s">
        <v>1379</v>
      </c>
      <c r="E362" t="s">
        <v>2185</v>
      </c>
      <c r="G362">
        <f>"0752863983"</f>
        <v>0</v>
      </c>
      <c r="H362">
        <f>"9780752863986"</f>
        <v>0</v>
      </c>
      <c r="I362">
        <v>0</v>
      </c>
      <c r="J362">
        <v>4.25</v>
      </c>
      <c r="K362" t="s">
        <v>3217</v>
      </c>
      <c r="L362" t="s">
        <v>3491</v>
      </c>
      <c r="M362">
        <v>320</v>
      </c>
      <c r="N362">
        <v>2004</v>
      </c>
      <c r="O362">
        <v>1980</v>
      </c>
      <c r="Q362" t="s">
        <v>3713</v>
      </c>
      <c r="R362" t="s">
        <v>3863</v>
      </c>
      <c r="S362" t="s">
        <v>4190</v>
      </c>
      <c r="T362" t="s">
        <v>3863</v>
      </c>
      <c r="X362">
        <v>0</v>
      </c>
      <c r="AA362">
        <v>0</v>
      </c>
    </row>
    <row r="363" spans="1:27">
      <c r="A363" s="1">
        <v>361</v>
      </c>
      <c r="B363">
        <v>3693</v>
      </c>
      <c r="C363" t="s">
        <v>392</v>
      </c>
      <c r="D363" t="s">
        <v>1076</v>
      </c>
      <c r="E363" t="s">
        <v>1883</v>
      </c>
      <c r="F363" t="s">
        <v>2772</v>
      </c>
      <c r="G363">
        <f>"0142437913"</f>
        <v>0</v>
      </c>
      <c r="H363">
        <f>"9780142437919"</f>
        <v>0</v>
      </c>
      <c r="I363">
        <v>0</v>
      </c>
      <c r="J363">
        <v>3.46</v>
      </c>
      <c r="K363" t="s">
        <v>3146</v>
      </c>
      <c r="L363" t="s">
        <v>3491</v>
      </c>
      <c r="M363">
        <v>197</v>
      </c>
      <c r="N363">
        <v>2004</v>
      </c>
      <c r="O363">
        <v>1932</v>
      </c>
      <c r="Q363" t="s">
        <v>3647</v>
      </c>
      <c r="R363" t="s">
        <v>3863</v>
      </c>
      <c r="S363" t="s">
        <v>4191</v>
      </c>
      <c r="T363" t="s">
        <v>3863</v>
      </c>
      <c r="X363">
        <v>0</v>
      </c>
      <c r="AA363">
        <v>0</v>
      </c>
    </row>
    <row r="364" spans="1:27">
      <c r="A364" s="1">
        <v>362</v>
      </c>
      <c r="B364">
        <v>213653</v>
      </c>
      <c r="C364" t="s">
        <v>393</v>
      </c>
      <c r="D364" t="s">
        <v>1076</v>
      </c>
      <c r="E364" t="s">
        <v>1883</v>
      </c>
      <c r="F364" t="s">
        <v>2773</v>
      </c>
      <c r="G364">
        <f>"0143039113"</f>
        <v>0</v>
      </c>
      <c r="H364">
        <f>"9780143039112"</f>
        <v>0</v>
      </c>
      <c r="I364">
        <v>0</v>
      </c>
      <c r="J364">
        <v>3.8</v>
      </c>
      <c r="K364" t="s">
        <v>3146</v>
      </c>
      <c r="L364" t="s">
        <v>3491</v>
      </c>
      <c r="M364">
        <v>224</v>
      </c>
      <c r="N364">
        <v>2005</v>
      </c>
      <c r="O364">
        <v>1943</v>
      </c>
      <c r="Q364" t="s">
        <v>3647</v>
      </c>
      <c r="R364" t="s">
        <v>3863</v>
      </c>
      <c r="S364" t="s">
        <v>4192</v>
      </c>
      <c r="T364" t="s">
        <v>3863</v>
      </c>
      <c r="X364">
        <v>0</v>
      </c>
      <c r="AA364">
        <v>0</v>
      </c>
    </row>
    <row r="365" spans="1:27">
      <c r="A365" s="1">
        <v>363</v>
      </c>
      <c r="B365">
        <v>3692</v>
      </c>
      <c r="C365" t="s">
        <v>394</v>
      </c>
      <c r="D365" t="s">
        <v>1076</v>
      </c>
      <c r="E365" t="s">
        <v>1883</v>
      </c>
      <c r="G365">
        <f>"0099478420"</f>
        <v>0</v>
      </c>
      <c r="H365">
        <f>"9780099478423"</f>
        <v>0</v>
      </c>
      <c r="I365">
        <v>0</v>
      </c>
      <c r="J365">
        <v>3.97</v>
      </c>
      <c r="K365" t="s">
        <v>3002</v>
      </c>
      <c r="L365" t="s">
        <v>3491</v>
      </c>
      <c r="M365">
        <v>272</v>
      </c>
      <c r="N365">
        <v>2004</v>
      </c>
      <c r="O365">
        <v>1948</v>
      </c>
      <c r="Q365" t="s">
        <v>3647</v>
      </c>
      <c r="R365" t="s">
        <v>3863</v>
      </c>
      <c r="S365" t="s">
        <v>4193</v>
      </c>
      <c r="T365" t="s">
        <v>3863</v>
      </c>
      <c r="X365">
        <v>0</v>
      </c>
      <c r="AA365">
        <v>0</v>
      </c>
    </row>
    <row r="366" spans="1:27">
      <c r="A366" s="1">
        <v>364</v>
      </c>
      <c r="B366">
        <v>48862</v>
      </c>
      <c r="C366" t="s">
        <v>395</v>
      </c>
      <c r="D366" t="s">
        <v>1076</v>
      </c>
      <c r="E366" t="s">
        <v>1883</v>
      </c>
      <c r="F366" t="s">
        <v>2774</v>
      </c>
      <c r="G366">
        <f>""</f>
        <v>0</v>
      </c>
      <c r="H366">
        <f>""</f>
        <v>0</v>
      </c>
      <c r="I366">
        <v>0</v>
      </c>
      <c r="J366">
        <v>3.68</v>
      </c>
      <c r="K366" t="s">
        <v>3029</v>
      </c>
      <c r="L366" t="s">
        <v>3491</v>
      </c>
      <c r="M366">
        <v>269</v>
      </c>
      <c r="N366">
        <v>2004</v>
      </c>
      <c r="O366">
        <v>1938</v>
      </c>
      <c r="Q366" t="s">
        <v>3647</v>
      </c>
      <c r="R366" t="s">
        <v>3863</v>
      </c>
      <c r="S366" t="s">
        <v>4194</v>
      </c>
      <c r="T366" t="s">
        <v>3863</v>
      </c>
      <c r="X366">
        <v>0</v>
      </c>
      <c r="AA366">
        <v>0</v>
      </c>
    </row>
    <row r="367" spans="1:27">
      <c r="A367" s="1">
        <v>365</v>
      </c>
      <c r="B367">
        <v>254031</v>
      </c>
      <c r="C367" t="s">
        <v>396</v>
      </c>
      <c r="D367" t="s">
        <v>1076</v>
      </c>
      <c r="E367" t="s">
        <v>1883</v>
      </c>
      <c r="G367">
        <f>"088682348X"</f>
        <v>0</v>
      </c>
      <c r="H367">
        <f>"9780886823481"</f>
        <v>0</v>
      </c>
      <c r="I367">
        <v>0</v>
      </c>
      <c r="J367">
        <v>3.89</v>
      </c>
      <c r="K367" t="s">
        <v>3154</v>
      </c>
      <c r="L367" t="s">
        <v>3492</v>
      </c>
      <c r="M367">
        <v>40</v>
      </c>
      <c r="N367">
        <v>1989</v>
      </c>
      <c r="O367">
        <v>1955</v>
      </c>
      <c r="Q367" t="s">
        <v>3647</v>
      </c>
      <c r="R367" t="s">
        <v>3863</v>
      </c>
      <c r="S367" t="s">
        <v>4195</v>
      </c>
      <c r="T367" t="s">
        <v>3863</v>
      </c>
      <c r="X367">
        <v>0</v>
      </c>
      <c r="AA367">
        <v>0</v>
      </c>
    </row>
    <row r="368" spans="1:27">
      <c r="A368" s="1">
        <v>366</v>
      </c>
      <c r="B368">
        <v>223380</v>
      </c>
      <c r="C368" t="s">
        <v>397</v>
      </c>
      <c r="D368" t="s">
        <v>1380</v>
      </c>
      <c r="E368" t="s">
        <v>2186</v>
      </c>
      <c r="G368">
        <f>"0330426648"</f>
        <v>0</v>
      </c>
      <c r="H368">
        <f>"9780330426640"</f>
        <v>0</v>
      </c>
      <c r="I368">
        <v>0</v>
      </c>
      <c r="J368">
        <v>4.24</v>
      </c>
      <c r="K368" t="s">
        <v>3218</v>
      </c>
      <c r="L368" t="s">
        <v>3494</v>
      </c>
      <c r="M368">
        <v>281</v>
      </c>
      <c r="N368">
        <v>2010</v>
      </c>
      <c r="O368">
        <v>2002</v>
      </c>
      <c r="Q368" t="s">
        <v>3647</v>
      </c>
      <c r="R368" t="s">
        <v>3863</v>
      </c>
      <c r="S368" t="s">
        <v>4196</v>
      </c>
      <c r="T368" t="s">
        <v>3863</v>
      </c>
      <c r="X368">
        <v>0</v>
      </c>
      <c r="AA368">
        <v>0</v>
      </c>
    </row>
    <row r="369" spans="1:27">
      <c r="A369" s="1">
        <v>367</v>
      </c>
      <c r="B369">
        <v>25698</v>
      </c>
      <c r="C369" t="s">
        <v>398</v>
      </c>
      <c r="D369" t="s">
        <v>1381</v>
      </c>
      <c r="E369" t="s">
        <v>2187</v>
      </c>
      <c r="F369" t="s">
        <v>2775</v>
      </c>
      <c r="G369">
        <f>"0226763749"</f>
        <v>0</v>
      </c>
      <c r="H369">
        <f>"9780226763743"</f>
        <v>0</v>
      </c>
      <c r="I369">
        <v>0</v>
      </c>
      <c r="J369">
        <v>3.87</v>
      </c>
      <c r="K369" t="s">
        <v>3219</v>
      </c>
      <c r="L369" t="s">
        <v>3491</v>
      </c>
      <c r="M369">
        <v>1076</v>
      </c>
      <c r="N369">
        <v>1977</v>
      </c>
      <c r="O369">
        <v>1776</v>
      </c>
      <c r="Q369" t="s">
        <v>3714</v>
      </c>
      <c r="R369" t="s">
        <v>3863</v>
      </c>
      <c r="S369" t="s">
        <v>4197</v>
      </c>
      <c r="T369" t="s">
        <v>3863</v>
      </c>
      <c r="X369">
        <v>0</v>
      </c>
      <c r="AA369">
        <v>0</v>
      </c>
    </row>
    <row r="370" spans="1:27">
      <c r="A370" s="1">
        <v>368</v>
      </c>
      <c r="B370">
        <v>13578224</v>
      </c>
      <c r="C370" t="s">
        <v>399</v>
      </c>
      <c r="D370" t="s">
        <v>1382</v>
      </c>
      <c r="E370" t="s">
        <v>2188</v>
      </c>
      <c r="F370" t="s">
        <v>2776</v>
      </c>
      <c r="G370">
        <f>""</f>
        <v>0</v>
      </c>
      <c r="H370">
        <f>"9788244200400"</f>
        <v>0</v>
      </c>
      <c r="I370">
        <v>0</v>
      </c>
      <c r="J370">
        <v>4.1</v>
      </c>
      <c r="O370">
        <v>2008</v>
      </c>
      <c r="Q370" t="s">
        <v>3592</v>
      </c>
      <c r="R370" t="s">
        <v>3863</v>
      </c>
      <c r="S370" t="s">
        <v>4198</v>
      </c>
      <c r="T370" t="s">
        <v>3863</v>
      </c>
      <c r="X370">
        <v>0</v>
      </c>
      <c r="AA370">
        <v>0</v>
      </c>
    </row>
    <row r="371" spans="1:27">
      <c r="A371" s="1">
        <v>369</v>
      </c>
      <c r="B371">
        <v>13594266</v>
      </c>
      <c r="C371" t="s">
        <v>400</v>
      </c>
      <c r="D371" t="s">
        <v>1383</v>
      </c>
      <c r="E371" t="s">
        <v>2189</v>
      </c>
      <c r="F371" t="s">
        <v>2777</v>
      </c>
      <c r="G371">
        <f>"1936608588"</f>
        <v>0</v>
      </c>
      <c r="H371">
        <f>"9781936608584"</f>
        <v>0</v>
      </c>
      <c r="I371">
        <v>0</v>
      </c>
      <c r="J371">
        <v>4.39</v>
      </c>
      <c r="K371" t="s">
        <v>3220</v>
      </c>
      <c r="L371" t="s">
        <v>3492</v>
      </c>
      <c r="M371">
        <v>400</v>
      </c>
      <c r="N371">
        <v>2013</v>
      </c>
      <c r="O371">
        <v>2013</v>
      </c>
      <c r="Q371" t="s">
        <v>3715</v>
      </c>
      <c r="R371" t="s">
        <v>3863</v>
      </c>
      <c r="S371" t="s">
        <v>4199</v>
      </c>
      <c r="T371" t="s">
        <v>3863</v>
      </c>
      <c r="X371">
        <v>0</v>
      </c>
      <c r="AA371">
        <v>0</v>
      </c>
    </row>
    <row r="372" spans="1:27">
      <c r="A372" s="1">
        <v>370</v>
      </c>
      <c r="B372">
        <v>28766669</v>
      </c>
      <c r="C372" t="s">
        <v>401</v>
      </c>
      <c r="D372" t="s">
        <v>1384</v>
      </c>
      <c r="E372" t="s">
        <v>2190</v>
      </c>
      <c r="G372">
        <f>"0973501820"</f>
        <v>0</v>
      </c>
      <c r="H372">
        <f>"9780973501827"</f>
        <v>0</v>
      </c>
      <c r="I372">
        <v>4</v>
      </c>
      <c r="J372">
        <v>4.44</v>
      </c>
      <c r="K372" t="s">
        <v>1384</v>
      </c>
      <c r="L372" t="s">
        <v>3491</v>
      </c>
      <c r="M372">
        <v>166</v>
      </c>
      <c r="N372">
        <v>2015</v>
      </c>
      <c r="O372">
        <v>2015</v>
      </c>
      <c r="P372" t="s">
        <v>3525</v>
      </c>
      <c r="Q372" t="s">
        <v>3533</v>
      </c>
      <c r="T372" t="s">
        <v>4621</v>
      </c>
      <c r="X372">
        <v>1</v>
      </c>
      <c r="AA372">
        <v>0</v>
      </c>
    </row>
    <row r="373" spans="1:27">
      <c r="A373" s="1">
        <v>371</v>
      </c>
      <c r="B373">
        <v>781424</v>
      </c>
      <c r="C373" t="s">
        <v>402</v>
      </c>
      <c r="D373" t="s">
        <v>1334</v>
      </c>
      <c r="E373" t="s">
        <v>2140</v>
      </c>
      <c r="F373" t="s">
        <v>2778</v>
      </c>
      <c r="G373">
        <f>"0970148534"</f>
        <v>0</v>
      </c>
      <c r="H373">
        <f>"9780970148537"</f>
        <v>0</v>
      </c>
      <c r="I373">
        <v>0</v>
      </c>
      <c r="J373">
        <v>4.14</v>
      </c>
      <c r="K373" t="s">
        <v>3191</v>
      </c>
      <c r="L373" t="s">
        <v>3491</v>
      </c>
      <c r="M373">
        <v>136</v>
      </c>
      <c r="N373">
        <v>1997</v>
      </c>
      <c r="O373">
        <v>1988</v>
      </c>
      <c r="Q373" t="s">
        <v>3716</v>
      </c>
      <c r="R373" t="s">
        <v>3863</v>
      </c>
      <c r="S373" t="s">
        <v>4200</v>
      </c>
      <c r="T373" t="s">
        <v>3863</v>
      </c>
      <c r="X373">
        <v>0</v>
      </c>
      <c r="AA373">
        <v>0</v>
      </c>
    </row>
    <row r="374" spans="1:27">
      <c r="A374" s="1">
        <v>372</v>
      </c>
      <c r="B374">
        <v>317060</v>
      </c>
      <c r="C374" t="s">
        <v>403</v>
      </c>
      <c r="D374" t="s">
        <v>1334</v>
      </c>
      <c r="E374" t="s">
        <v>2140</v>
      </c>
      <c r="G374">
        <f>"1559501618"</f>
        <v>0</v>
      </c>
      <c r="H374">
        <f>"9781559501613"</f>
        <v>0</v>
      </c>
      <c r="I374">
        <v>0</v>
      </c>
      <c r="J374">
        <v>3.93</v>
      </c>
      <c r="K374" t="s">
        <v>3221</v>
      </c>
      <c r="L374" t="s">
        <v>3491</v>
      </c>
      <c r="M374">
        <v>160</v>
      </c>
      <c r="N374">
        <v>1997</v>
      </c>
      <c r="O374">
        <v>1995</v>
      </c>
      <c r="Q374" t="s">
        <v>3716</v>
      </c>
      <c r="R374" t="s">
        <v>3863</v>
      </c>
      <c r="S374" t="s">
        <v>4201</v>
      </c>
      <c r="T374" t="s">
        <v>3863</v>
      </c>
      <c r="X374">
        <v>0</v>
      </c>
      <c r="AA374">
        <v>0</v>
      </c>
    </row>
    <row r="375" spans="1:27">
      <c r="A375" s="1">
        <v>373</v>
      </c>
      <c r="B375">
        <v>52622479</v>
      </c>
      <c r="C375" t="s">
        <v>404</v>
      </c>
      <c r="D375" t="s">
        <v>1385</v>
      </c>
      <c r="E375" t="s">
        <v>2191</v>
      </c>
      <c r="G375">
        <f>"036720312X"</f>
        <v>0</v>
      </c>
      <c r="H375">
        <f>"9780367203122"</f>
        <v>0</v>
      </c>
      <c r="I375">
        <v>0</v>
      </c>
      <c r="J375">
        <v>4.31</v>
      </c>
      <c r="K375" t="s">
        <v>3155</v>
      </c>
      <c r="L375" t="s">
        <v>3491</v>
      </c>
      <c r="M375">
        <v>126</v>
      </c>
      <c r="N375">
        <v>2020</v>
      </c>
      <c r="Q375" t="s">
        <v>3716</v>
      </c>
      <c r="R375" t="s">
        <v>3863</v>
      </c>
      <c r="S375" t="s">
        <v>4202</v>
      </c>
      <c r="T375" t="s">
        <v>3863</v>
      </c>
      <c r="X375">
        <v>0</v>
      </c>
      <c r="AA375">
        <v>0</v>
      </c>
    </row>
    <row r="376" spans="1:27">
      <c r="A376" s="1">
        <v>374</v>
      </c>
      <c r="B376">
        <v>52283963</v>
      </c>
      <c r="C376" t="s">
        <v>405</v>
      </c>
      <c r="D376" t="s">
        <v>1386</v>
      </c>
      <c r="E376" t="s">
        <v>2192</v>
      </c>
      <c r="G376">
        <f>""</f>
        <v>0</v>
      </c>
      <c r="H376">
        <f>""</f>
        <v>0</v>
      </c>
      <c r="I376">
        <v>0</v>
      </c>
      <c r="J376">
        <v>4.35</v>
      </c>
      <c r="K376" t="s">
        <v>3222</v>
      </c>
      <c r="L376" t="s">
        <v>3493</v>
      </c>
      <c r="M376">
        <v>138</v>
      </c>
      <c r="N376">
        <v>2019</v>
      </c>
      <c r="O376">
        <v>2013</v>
      </c>
      <c r="Q376" t="s">
        <v>3717</v>
      </c>
      <c r="R376" t="s">
        <v>3863</v>
      </c>
      <c r="S376" t="s">
        <v>4203</v>
      </c>
      <c r="T376" t="s">
        <v>3863</v>
      </c>
      <c r="X376">
        <v>0</v>
      </c>
      <c r="AA376">
        <v>0</v>
      </c>
    </row>
    <row r="377" spans="1:27">
      <c r="A377" s="1">
        <v>375</v>
      </c>
      <c r="B377">
        <v>25744928</v>
      </c>
      <c r="C377" t="s">
        <v>406</v>
      </c>
      <c r="D377" t="s">
        <v>1176</v>
      </c>
      <c r="E377" t="s">
        <v>1982</v>
      </c>
      <c r="G377">
        <f>"1455586692"</f>
        <v>0</v>
      </c>
      <c r="H377">
        <f>"9781455586691"</f>
        <v>0</v>
      </c>
      <c r="I377">
        <v>0</v>
      </c>
      <c r="J377">
        <v>4.18</v>
      </c>
      <c r="K377" t="s">
        <v>3223</v>
      </c>
      <c r="L377" t="s">
        <v>3492</v>
      </c>
      <c r="M377">
        <v>296</v>
      </c>
      <c r="N377">
        <v>2016</v>
      </c>
      <c r="O377">
        <v>2016</v>
      </c>
      <c r="Q377" t="s">
        <v>3717</v>
      </c>
      <c r="R377" t="s">
        <v>3863</v>
      </c>
      <c r="S377" t="s">
        <v>4204</v>
      </c>
      <c r="T377" t="s">
        <v>3863</v>
      </c>
      <c r="X377">
        <v>0</v>
      </c>
      <c r="AA377">
        <v>0</v>
      </c>
    </row>
    <row r="378" spans="1:27">
      <c r="A378" s="1">
        <v>376</v>
      </c>
      <c r="B378">
        <v>33896</v>
      </c>
      <c r="C378" t="s">
        <v>407</v>
      </c>
      <c r="D378" t="s">
        <v>1387</v>
      </c>
      <c r="E378" t="s">
        <v>2193</v>
      </c>
      <c r="G378">
        <f>"0375509321"</f>
        <v>0</v>
      </c>
      <c r="H378">
        <f>"9780375509322"</f>
        <v>0</v>
      </c>
      <c r="I378">
        <v>0</v>
      </c>
      <c r="J378">
        <v>3.72</v>
      </c>
      <c r="K378" t="s">
        <v>3039</v>
      </c>
      <c r="L378" t="s">
        <v>3492</v>
      </c>
      <c r="M378">
        <v>422</v>
      </c>
      <c r="N378">
        <v>2006</v>
      </c>
      <c r="O378">
        <v>2006</v>
      </c>
      <c r="Q378" t="s">
        <v>3718</v>
      </c>
      <c r="R378" t="s">
        <v>3863</v>
      </c>
      <c r="S378" t="s">
        <v>4205</v>
      </c>
      <c r="T378" t="s">
        <v>3863</v>
      </c>
      <c r="X378">
        <v>0</v>
      </c>
      <c r="AA378">
        <v>0</v>
      </c>
    </row>
    <row r="379" spans="1:27">
      <c r="A379" s="1">
        <v>377</v>
      </c>
      <c r="B379">
        <v>44767458</v>
      </c>
      <c r="C379" t="s">
        <v>408</v>
      </c>
      <c r="D379" t="s">
        <v>1388</v>
      </c>
      <c r="E379" t="s">
        <v>2194</v>
      </c>
      <c r="G379">
        <f>"059309932X"</f>
        <v>0</v>
      </c>
      <c r="H379">
        <f>"9780593099322"</f>
        <v>0</v>
      </c>
      <c r="I379">
        <v>0</v>
      </c>
      <c r="J379">
        <v>4.25</v>
      </c>
      <c r="K379" t="s">
        <v>3224</v>
      </c>
      <c r="L379" t="s">
        <v>3492</v>
      </c>
      <c r="M379">
        <v>658</v>
      </c>
      <c r="N379">
        <v>2019</v>
      </c>
      <c r="O379">
        <v>1965</v>
      </c>
      <c r="Q379" t="s">
        <v>3719</v>
      </c>
      <c r="R379" t="s">
        <v>3863</v>
      </c>
      <c r="S379" t="s">
        <v>4206</v>
      </c>
      <c r="T379" t="s">
        <v>3863</v>
      </c>
      <c r="X379">
        <v>0</v>
      </c>
      <c r="AA379">
        <v>0</v>
      </c>
    </row>
    <row r="380" spans="1:27">
      <c r="A380" s="1">
        <v>378</v>
      </c>
      <c r="B380">
        <v>40121985</v>
      </c>
      <c r="C380" t="s">
        <v>409</v>
      </c>
      <c r="D380" t="s">
        <v>1389</v>
      </c>
      <c r="E380" t="s">
        <v>2195</v>
      </c>
      <c r="G380">
        <f>"0374172145"</f>
        <v>0</v>
      </c>
      <c r="H380">
        <f>"9780374172145"</f>
        <v>0</v>
      </c>
      <c r="I380">
        <v>0</v>
      </c>
      <c r="J380">
        <v>4.46</v>
      </c>
      <c r="K380" t="s">
        <v>3098</v>
      </c>
      <c r="L380" t="s">
        <v>3492</v>
      </c>
      <c r="M380">
        <v>513</v>
      </c>
      <c r="N380">
        <v>2019</v>
      </c>
      <c r="O380">
        <v>2019</v>
      </c>
      <c r="Q380" t="s">
        <v>3719</v>
      </c>
      <c r="R380" t="s">
        <v>3863</v>
      </c>
      <c r="S380" t="s">
        <v>4207</v>
      </c>
      <c r="T380" t="s">
        <v>3863</v>
      </c>
      <c r="X380">
        <v>0</v>
      </c>
      <c r="AA380">
        <v>0</v>
      </c>
    </row>
    <row r="381" spans="1:27">
      <c r="A381" s="1">
        <v>379</v>
      </c>
      <c r="B381">
        <v>59661</v>
      </c>
      <c r="C381" t="s">
        <v>410</v>
      </c>
      <c r="D381" t="s">
        <v>1390</v>
      </c>
      <c r="E381" t="s">
        <v>2196</v>
      </c>
      <c r="F381" t="s">
        <v>2779</v>
      </c>
      <c r="G381">
        <f>"0679738010"</f>
        <v>0</v>
      </c>
      <c r="H381">
        <f>"9780679738015"</f>
        <v>0</v>
      </c>
      <c r="I381">
        <v>0</v>
      </c>
      <c r="J381">
        <v>4.23</v>
      </c>
      <c r="K381" t="s">
        <v>3029</v>
      </c>
      <c r="L381" t="s">
        <v>3491</v>
      </c>
      <c r="M381">
        <v>160</v>
      </c>
      <c r="N381">
        <v>1992</v>
      </c>
      <c r="O381">
        <v>1982</v>
      </c>
      <c r="Q381" t="s">
        <v>3719</v>
      </c>
      <c r="R381" t="s">
        <v>3863</v>
      </c>
      <c r="S381" t="s">
        <v>4208</v>
      </c>
      <c r="T381" t="s">
        <v>3863</v>
      </c>
      <c r="X381">
        <v>0</v>
      </c>
      <c r="AA381">
        <v>0</v>
      </c>
    </row>
    <row r="382" spans="1:27">
      <c r="A382" s="1">
        <v>380</v>
      </c>
      <c r="B382">
        <v>22715974</v>
      </c>
      <c r="C382" t="s">
        <v>411</v>
      </c>
      <c r="D382" t="s">
        <v>1391</v>
      </c>
      <c r="E382" t="s">
        <v>2197</v>
      </c>
      <c r="G382">
        <f>"1610394399"</f>
        <v>0</v>
      </c>
      <c r="H382">
        <f>"9781610394390"</f>
        <v>0</v>
      </c>
      <c r="I382">
        <v>0</v>
      </c>
      <c r="J382">
        <v>4.05</v>
      </c>
      <c r="K382" t="s">
        <v>3047</v>
      </c>
      <c r="L382" t="s">
        <v>3492</v>
      </c>
      <c r="M382">
        <v>352</v>
      </c>
      <c r="N382">
        <v>2015</v>
      </c>
      <c r="O382">
        <v>2015</v>
      </c>
      <c r="Q382" t="s">
        <v>3719</v>
      </c>
      <c r="R382" t="s">
        <v>3863</v>
      </c>
      <c r="S382" t="s">
        <v>4209</v>
      </c>
      <c r="T382" t="s">
        <v>3863</v>
      </c>
      <c r="X382">
        <v>0</v>
      </c>
      <c r="AA382">
        <v>0</v>
      </c>
    </row>
    <row r="383" spans="1:27">
      <c r="A383" s="1">
        <v>381</v>
      </c>
      <c r="B383">
        <v>10197857</v>
      </c>
      <c r="C383" t="s">
        <v>412</v>
      </c>
      <c r="D383" t="s">
        <v>1392</v>
      </c>
      <c r="E383" t="s">
        <v>2198</v>
      </c>
      <c r="G383">
        <f>"0230105017"</f>
        <v>0</v>
      </c>
      <c r="H383">
        <f>"9780230105010"</f>
        <v>0</v>
      </c>
      <c r="I383">
        <v>0</v>
      </c>
      <c r="J383">
        <v>4.2</v>
      </c>
      <c r="K383" t="s">
        <v>3162</v>
      </c>
      <c r="L383" t="s">
        <v>3492</v>
      </c>
      <c r="M383">
        <v>272</v>
      </c>
      <c r="N383">
        <v>2011</v>
      </c>
      <c r="O383">
        <v>2011</v>
      </c>
      <c r="Q383" t="s">
        <v>3719</v>
      </c>
      <c r="R383" t="s">
        <v>3863</v>
      </c>
      <c r="S383" t="s">
        <v>4210</v>
      </c>
      <c r="T383" t="s">
        <v>3863</v>
      </c>
      <c r="X383">
        <v>0</v>
      </c>
      <c r="AA383">
        <v>0</v>
      </c>
    </row>
    <row r="384" spans="1:27">
      <c r="A384" s="1">
        <v>382</v>
      </c>
      <c r="B384">
        <v>24976188</v>
      </c>
      <c r="C384" t="s">
        <v>413</v>
      </c>
      <c r="D384" t="s">
        <v>1393</v>
      </c>
      <c r="E384" t="s">
        <v>2199</v>
      </c>
      <c r="G384">
        <f>""</f>
        <v>0</v>
      </c>
      <c r="H384">
        <f>"9781483550589"</f>
        <v>0</v>
      </c>
      <c r="I384">
        <v>0</v>
      </c>
      <c r="J384">
        <v>4.12</v>
      </c>
      <c r="K384" t="s">
        <v>3225</v>
      </c>
      <c r="L384" t="s">
        <v>3494</v>
      </c>
      <c r="N384">
        <v>2015</v>
      </c>
      <c r="O384">
        <v>2015</v>
      </c>
      <c r="Q384" t="s">
        <v>3720</v>
      </c>
      <c r="R384" t="s">
        <v>3863</v>
      </c>
      <c r="S384" t="s">
        <v>4211</v>
      </c>
      <c r="T384" t="s">
        <v>3863</v>
      </c>
      <c r="X384">
        <v>0</v>
      </c>
      <c r="AA384">
        <v>0</v>
      </c>
    </row>
    <row r="385" spans="1:27">
      <c r="A385" s="1">
        <v>383</v>
      </c>
      <c r="B385">
        <v>352751</v>
      </c>
      <c r="C385" t="s">
        <v>414</v>
      </c>
      <c r="D385" t="s">
        <v>1394</v>
      </c>
      <c r="E385" t="s">
        <v>2200</v>
      </c>
      <c r="G385">
        <f>"0736045074"</f>
        <v>0</v>
      </c>
      <c r="H385">
        <f>"9780736045070"</f>
        <v>0</v>
      </c>
      <c r="I385">
        <v>0</v>
      </c>
      <c r="J385">
        <v>3.59</v>
      </c>
      <c r="K385" t="s">
        <v>3215</v>
      </c>
      <c r="L385" t="s">
        <v>3491</v>
      </c>
      <c r="M385">
        <v>328</v>
      </c>
      <c r="N385">
        <v>2003</v>
      </c>
      <c r="O385">
        <v>1995</v>
      </c>
      <c r="Q385" t="s">
        <v>3721</v>
      </c>
      <c r="R385" t="s">
        <v>3863</v>
      </c>
      <c r="S385" t="s">
        <v>4212</v>
      </c>
      <c r="T385" t="s">
        <v>3863</v>
      </c>
      <c r="X385">
        <v>0</v>
      </c>
      <c r="AA385">
        <v>0</v>
      </c>
    </row>
    <row r="386" spans="1:27">
      <c r="A386" s="1">
        <v>384</v>
      </c>
      <c r="B386">
        <v>13330771</v>
      </c>
      <c r="C386" t="s">
        <v>415</v>
      </c>
      <c r="D386" t="s">
        <v>1395</v>
      </c>
      <c r="E386" t="s">
        <v>2201</v>
      </c>
      <c r="G386">
        <f>"0307957241"</f>
        <v>0</v>
      </c>
      <c r="H386">
        <f>"9780307957245"</f>
        <v>0</v>
      </c>
      <c r="I386">
        <v>0</v>
      </c>
      <c r="J386">
        <v>3.9</v>
      </c>
      <c r="K386" t="s">
        <v>3013</v>
      </c>
      <c r="L386" t="s">
        <v>3492</v>
      </c>
      <c r="M386">
        <v>326</v>
      </c>
      <c r="N386">
        <v>2012</v>
      </c>
      <c r="O386">
        <v>2012</v>
      </c>
      <c r="Q386" t="s">
        <v>3721</v>
      </c>
      <c r="R386" t="s">
        <v>3863</v>
      </c>
      <c r="S386" t="s">
        <v>4213</v>
      </c>
      <c r="T386" t="s">
        <v>3863</v>
      </c>
      <c r="X386">
        <v>0</v>
      </c>
      <c r="AA386">
        <v>0</v>
      </c>
    </row>
    <row r="387" spans="1:27">
      <c r="A387" s="1">
        <v>385</v>
      </c>
      <c r="B387">
        <v>204527</v>
      </c>
      <c r="C387" t="s">
        <v>416</v>
      </c>
      <c r="D387" t="s">
        <v>1396</v>
      </c>
      <c r="E387" t="s">
        <v>2202</v>
      </c>
      <c r="F387" t="s">
        <v>2780</v>
      </c>
      <c r="G387">
        <f>"0415110300"</f>
        <v>0</v>
      </c>
      <c r="H387">
        <f>"9780415110303"</f>
        <v>0</v>
      </c>
      <c r="I387">
        <v>0</v>
      </c>
      <c r="J387">
        <v>4.2</v>
      </c>
      <c r="K387" t="s">
        <v>3155</v>
      </c>
      <c r="L387" t="s">
        <v>3491</v>
      </c>
      <c r="M387">
        <v>272</v>
      </c>
      <c r="N387">
        <v>1994</v>
      </c>
      <c r="O387">
        <v>1994</v>
      </c>
      <c r="Q387" t="s">
        <v>3722</v>
      </c>
      <c r="R387" t="s">
        <v>3863</v>
      </c>
      <c r="S387" t="s">
        <v>4214</v>
      </c>
      <c r="T387" t="s">
        <v>3863</v>
      </c>
      <c r="X387">
        <v>0</v>
      </c>
      <c r="AA387">
        <v>0</v>
      </c>
    </row>
    <row r="388" spans="1:27">
      <c r="A388" s="1">
        <v>386</v>
      </c>
      <c r="B388">
        <v>10506</v>
      </c>
      <c r="C388" t="s">
        <v>417</v>
      </c>
      <c r="D388" t="s">
        <v>1397</v>
      </c>
      <c r="E388" t="s">
        <v>2203</v>
      </c>
      <c r="G388">
        <f>"0156030373"</f>
        <v>0</v>
      </c>
      <c r="H388">
        <f>"9780156030373"</f>
        <v>0</v>
      </c>
      <c r="I388">
        <v>0</v>
      </c>
      <c r="J388">
        <v>3.48</v>
      </c>
      <c r="K388" t="s">
        <v>3107</v>
      </c>
      <c r="L388" t="s">
        <v>3491</v>
      </c>
      <c r="M388">
        <v>528</v>
      </c>
      <c r="N388">
        <v>2006</v>
      </c>
      <c r="O388">
        <v>1994</v>
      </c>
      <c r="Q388" t="s">
        <v>3722</v>
      </c>
      <c r="R388" t="s">
        <v>3863</v>
      </c>
      <c r="S388" t="s">
        <v>4215</v>
      </c>
      <c r="T388" t="s">
        <v>3863</v>
      </c>
      <c r="X388">
        <v>0</v>
      </c>
      <c r="AA388">
        <v>0</v>
      </c>
    </row>
    <row r="389" spans="1:27">
      <c r="A389" s="1">
        <v>387</v>
      </c>
      <c r="B389">
        <v>1386234</v>
      </c>
      <c r="C389" t="s">
        <v>418</v>
      </c>
      <c r="D389" t="s">
        <v>1398</v>
      </c>
      <c r="E389" t="s">
        <v>2204</v>
      </c>
      <c r="G389">
        <f>"0813535484"</f>
        <v>0</v>
      </c>
      <c r="H389">
        <f>"9780813535487"</f>
        <v>0</v>
      </c>
      <c r="I389">
        <v>0</v>
      </c>
      <c r="J389">
        <v>3.95</v>
      </c>
      <c r="K389" t="s">
        <v>3226</v>
      </c>
      <c r="L389" t="s">
        <v>3492</v>
      </c>
      <c r="N389">
        <v>2005</v>
      </c>
      <c r="O389">
        <v>2005</v>
      </c>
      <c r="Q389" t="s">
        <v>3722</v>
      </c>
      <c r="R389" t="s">
        <v>3863</v>
      </c>
      <c r="S389" t="s">
        <v>4216</v>
      </c>
      <c r="T389" t="s">
        <v>3863</v>
      </c>
      <c r="X389">
        <v>0</v>
      </c>
      <c r="AA389">
        <v>0</v>
      </c>
    </row>
    <row r="390" spans="1:27">
      <c r="A390" s="1">
        <v>388</v>
      </c>
      <c r="B390">
        <v>5130</v>
      </c>
      <c r="C390" t="s">
        <v>419</v>
      </c>
      <c r="D390" t="s">
        <v>1399</v>
      </c>
      <c r="E390" t="s">
        <v>2205</v>
      </c>
      <c r="G390">
        <f>"0060085495"</f>
        <v>0</v>
      </c>
      <c r="H390">
        <f>"9780060085490"</f>
        <v>0</v>
      </c>
      <c r="I390">
        <v>0</v>
      </c>
      <c r="J390">
        <v>3.86</v>
      </c>
      <c r="K390" t="s">
        <v>3227</v>
      </c>
      <c r="L390" t="s">
        <v>3491</v>
      </c>
      <c r="M390">
        <v>354</v>
      </c>
      <c r="N390">
        <v>2002</v>
      </c>
      <c r="O390">
        <v>1962</v>
      </c>
      <c r="Q390" t="s">
        <v>3722</v>
      </c>
      <c r="R390" t="s">
        <v>3863</v>
      </c>
      <c r="S390" t="s">
        <v>4217</v>
      </c>
      <c r="T390" t="s">
        <v>3863</v>
      </c>
      <c r="X390">
        <v>0</v>
      </c>
      <c r="AA390">
        <v>0</v>
      </c>
    </row>
    <row r="391" spans="1:27">
      <c r="A391" s="1">
        <v>389</v>
      </c>
      <c r="B391">
        <v>50998056</v>
      </c>
      <c r="C391" t="s">
        <v>420</v>
      </c>
      <c r="D391" t="s">
        <v>1330</v>
      </c>
      <c r="E391" t="s">
        <v>2136</v>
      </c>
      <c r="G391">
        <f>"0316300136"</f>
        <v>0</v>
      </c>
      <c r="H391">
        <f>"9780316300131"</f>
        <v>0</v>
      </c>
      <c r="I391">
        <v>0</v>
      </c>
      <c r="J391">
        <v>3.89</v>
      </c>
      <c r="K391" t="s">
        <v>3228</v>
      </c>
      <c r="L391" t="s">
        <v>3492</v>
      </c>
      <c r="M391">
        <v>563</v>
      </c>
      <c r="N391">
        <v>2020</v>
      </c>
      <c r="O391">
        <v>2020</v>
      </c>
      <c r="Q391" t="s">
        <v>3722</v>
      </c>
      <c r="R391" t="s">
        <v>3863</v>
      </c>
      <c r="S391" t="s">
        <v>4218</v>
      </c>
      <c r="T391" t="s">
        <v>3863</v>
      </c>
      <c r="X391">
        <v>0</v>
      </c>
      <c r="AA391">
        <v>0</v>
      </c>
    </row>
    <row r="392" spans="1:27">
      <c r="A392" s="1">
        <v>390</v>
      </c>
      <c r="B392">
        <v>52041387</v>
      </c>
      <c r="C392" t="s">
        <v>421</v>
      </c>
      <c r="D392" t="s">
        <v>1400</v>
      </c>
      <c r="E392" t="s">
        <v>2206</v>
      </c>
      <c r="G392">
        <f>"1538746832"</f>
        <v>0</v>
      </c>
      <c r="H392">
        <f>"9781538746837"</f>
        <v>0</v>
      </c>
      <c r="I392">
        <v>0</v>
      </c>
      <c r="J392">
        <v>3.74</v>
      </c>
      <c r="K392" t="s">
        <v>3223</v>
      </c>
      <c r="L392" t="s">
        <v>3492</v>
      </c>
      <c r="M392">
        <v>501</v>
      </c>
      <c r="N392">
        <v>2020</v>
      </c>
      <c r="O392">
        <v>2020</v>
      </c>
      <c r="Q392" t="s">
        <v>3722</v>
      </c>
      <c r="R392" t="s">
        <v>3863</v>
      </c>
      <c r="S392" t="s">
        <v>4219</v>
      </c>
      <c r="T392" t="s">
        <v>3863</v>
      </c>
      <c r="X392">
        <v>0</v>
      </c>
      <c r="AA392">
        <v>0</v>
      </c>
    </row>
    <row r="393" spans="1:27">
      <c r="A393" s="1">
        <v>391</v>
      </c>
      <c r="B393">
        <v>19447059</v>
      </c>
      <c r="C393" t="s">
        <v>422</v>
      </c>
      <c r="D393" t="s">
        <v>1401</v>
      </c>
      <c r="E393" t="s">
        <v>2207</v>
      </c>
      <c r="G393">
        <f>""</f>
        <v>0</v>
      </c>
      <c r="H393">
        <f>""</f>
        <v>0</v>
      </c>
      <c r="I393">
        <v>0</v>
      </c>
      <c r="J393">
        <v>3.77</v>
      </c>
      <c r="K393" t="s">
        <v>3229</v>
      </c>
      <c r="L393" t="s">
        <v>3493</v>
      </c>
      <c r="M393">
        <v>96</v>
      </c>
      <c r="N393">
        <v>2011</v>
      </c>
      <c r="O393">
        <v>2007</v>
      </c>
      <c r="Q393" t="s">
        <v>3723</v>
      </c>
      <c r="R393" t="s">
        <v>3863</v>
      </c>
      <c r="S393" t="s">
        <v>4220</v>
      </c>
      <c r="T393" t="s">
        <v>3863</v>
      </c>
      <c r="X393">
        <v>0</v>
      </c>
      <c r="AA393">
        <v>0</v>
      </c>
    </row>
    <row r="394" spans="1:27">
      <c r="A394" s="1">
        <v>392</v>
      </c>
      <c r="B394">
        <v>17073795</v>
      </c>
      <c r="C394" t="s">
        <v>423</v>
      </c>
      <c r="D394" t="s">
        <v>1401</v>
      </c>
      <c r="E394" t="s">
        <v>2207</v>
      </c>
      <c r="F394" t="s">
        <v>2781</v>
      </c>
      <c r="G394">
        <f>"1445613840"</f>
        <v>0</v>
      </c>
      <c r="H394">
        <f>"9781445613840"</f>
        <v>0</v>
      </c>
      <c r="I394">
        <v>0</v>
      </c>
      <c r="J394">
        <v>3.71</v>
      </c>
      <c r="K394" t="s">
        <v>3037</v>
      </c>
      <c r="L394" t="s">
        <v>3491</v>
      </c>
      <c r="M394">
        <v>304</v>
      </c>
      <c r="N394">
        <v>2013</v>
      </c>
      <c r="O394">
        <v>2011</v>
      </c>
      <c r="Q394" t="s">
        <v>3723</v>
      </c>
      <c r="R394" t="s">
        <v>3863</v>
      </c>
      <c r="S394" t="s">
        <v>4221</v>
      </c>
      <c r="T394" t="s">
        <v>3863</v>
      </c>
      <c r="X394">
        <v>0</v>
      </c>
      <c r="AA394">
        <v>0</v>
      </c>
    </row>
    <row r="395" spans="1:27">
      <c r="A395" s="1">
        <v>393</v>
      </c>
      <c r="B395">
        <v>32145</v>
      </c>
      <c r="C395" t="s">
        <v>424</v>
      </c>
      <c r="D395" t="s">
        <v>1402</v>
      </c>
      <c r="E395" t="s">
        <v>2208</v>
      </c>
      <c r="G395">
        <f>"0393324826"</f>
        <v>0</v>
      </c>
      <c r="H395">
        <f>"9780393324822"</f>
        <v>0</v>
      </c>
      <c r="I395">
        <v>0</v>
      </c>
      <c r="J395">
        <v>4.06</v>
      </c>
      <c r="K395" t="s">
        <v>3038</v>
      </c>
      <c r="L395" t="s">
        <v>3491</v>
      </c>
      <c r="M395">
        <v>303</v>
      </c>
      <c r="N395">
        <v>2004</v>
      </c>
      <c r="O395">
        <v>2003</v>
      </c>
      <c r="Q395" t="s">
        <v>3723</v>
      </c>
      <c r="R395" t="s">
        <v>3863</v>
      </c>
      <c r="S395" t="s">
        <v>4222</v>
      </c>
      <c r="T395" t="s">
        <v>3863</v>
      </c>
      <c r="X395">
        <v>0</v>
      </c>
      <c r="AA395">
        <v>0</v>
      </c>
    </row>
    <row r="396" spans="1:27">
      <c r="A396" s="1">
        <v>394</v>
      </c>
      <c r="B396">
        <v>6493208</v>
      </c>
      <c r="C396" t="s">
        <v>425</v>
      </c>
      <c r="D396" t="s">
        <v>1403</v>
      </c>
      <c r="E396" t="s">
        <v>2209</v>
      </c>
      <c r="G396">
        <f>"1400052173"</f>
        <v>0</v>
      </c>
      <c r="H396">
        <f>"9781400052172"</f>
        <v>0</v>
      </c>
      <c r="I396">
        <v>0</v>
      </c>
      <c r="J396">
        <v>4.09</v>
      </c>
      <c r="K396" t="s">
        <v>3230</v>
      </c>
      <c r="L396" t="s">
        <v>3492</v>
      </c>
      <c r="M396">
        <v>370</v>
      </c>
      <c r="N396">
        <v>2010</v>
      </c>
      <c r="O396">
        <v>2010</v>
      </c>
      <c r="Q396" t="s">
        <v>3723</v>
      </c>
      <c r="R396" t="s">
        <v>3863</v>
      </c>
      <c r="S396" t="s">
        <v>4223</v>
      </c>
      <c r="T396" t="s">
        <v>3863</v>
      </c>
      <c r="X396">
        <v>0</v>
      </c>
      <c r="AA396">
        <v>0</v>
      </c>
    </row>
    <row r="397" spans="1:27">
      <c r="A397" s="1">
        <v>395</v>
      </c>
      <c r="B397">
        <v>6261496</v>
      </c>
      <c r="C397" t="s">
        <v>426</v>
      </c>
      <c r="D397" t="s">
        <v>1404</v>
      </c>
      <c r="E397" t="s">
        <v>2210</v>
      </c>
      <c r="G397">
        <f>"1432725661"</f>
        <v>0</v>
      </c>
      <c r="H397">
        <f>"9781432725662"</f>
        <v>0</v>
      </c>
      <c r="I397">
        <v>0</v>
      </c>
      <c r="J397">
        <v>3.46</v>
      </c>
      <c r="K397" t="s">
        <v>3231</v>
      </c>
      <c r="L397" t="s">
        <v>3491</v>
      </c>
      <c r="M397">
        <v>624</v>
      </c>
      <c r="N397">
        <v>2008</v>
      </c>
      <c r="O397">
        <v>2008</v>
      </c>
      <c r="Q397" t="s">
        <v>3723</v>
      </c>
      <c r="R397" t="s">
        <v>3863</v>
      </c>
      <c r="S397" t="s">
        <v>4224</v>
      </c>
      <c r="T397" t="s">
        <v>3863</v>
      </c>
      <c r="X397">
        <v>0</v>
      </c>
      <c r="AA397">
        <v>0</v>
      </c>
    </row>
    <row r="398" spans="1:27">
      <c r="A398" s="1">
        <v>396</v>
      </c>
      <c r="B398">
        <v>1228617</v>
      </c>
      <c r="C398" t="s">
        <v>427</v>
      </c>
      <c r="D398" t="s">
        <v>1405</v>
      </c>
      <c r="E398" t="s">
        <v>2211</v>
      </c>
      <c r="G398">
        <f>"0262700719"</f>
        <v>0</v>
      </c>
      <c r="H398">
        <f>"9780262700719"</f>
        <v>0</v>
      </c>
      <c r="I398">
        <v>0</v>
      </c>
      <c r="J398">
        <v>3.76</v>
      </c>
      <c r="K398" t="s">
        <v>3048</v>
      </c>
      <c r="L398" t="s">
        <v>3491</v>
      </c>
      <c r="M398">
        <v>320</v>
      </c>
      <c r="N398">
        <v>2000</v>
      </c>
      <c r="O398">
        <v>2000</v>
      </c>
      <c r="Q398" t="s">
        <v>3723</v>
      </c>
      <c r="R398" t="s">
        <v>3863</v>
      </c>
      <c r="S398" t="s">
        <v>4225</v>
      </c>
      <c r="T398" t="s">
        <v>3863</v>
      </c>
      <c r="X398">
        <v>0</v>
      </c>
      <c r="AA398">
        <v>0</v>
      </c>
    </row>
    <row r="399" spans="1:27">
      <c r="A399" s="1">
        <v>397</v>
      </c>
      <c r="B399">
        <v>1552853</v>
      </c>
      <c r="C399" t="s">
        <v>428</v>
      </c>
      <c r="D399" t="s">
        <v>1406</v>
      </c>
      <c r="E399" t="s">
        <v>2212</v>
      </c>
      <c r="G399">
        <f>"0375422293"</f>
        <v>0</v>
      </c>
      <c r="H399">
        <f>"9780375422294"</f>
        <v>0</v>
      </c>
      <c r="I399">
        <v>0</v>
      </c>
      <c r="J399">
        <v>4.13</v>
      </c>
      <c r="K399" t="s">
        <v>3150</v>
      </c>
      <c r="L399" t="s">
        <v>3492</v>
      </c>
      <c r="M399">
        <v>479</v>
      </c>
      <c r="N399">
        <v>2006</v>
      </c>
      <c r="O399">
        <v>2006</v>
      </c>
      <c r="Q399" t="s">
        <v>3723</v>
      </c>
      <c r="R399" t="s">
        <v>3863</v>
      </c>
      <c r="S399" t="s">
        <v>4226</v>
      </c>
      <c r="T399" t="s">
        <v>3863</v>
      </c>
      <c r="X399">
        <v>0</v>
      </c>
      <c r="AA399">
        <v>0</v>
      </c>
    </row>
    <row r="400" spans="1:27">
      <c r="A400" s="1">
        <v>398</v>
      </c>
      <c r="B400">
        <v>160116</v>
      </c>
      <c r="C400" t="s">
        <v>429</v>
      </c>
      <c r="D400" t="s">
        <v>1407</v>
      </c>
      <c r="E400" t="s">
        <v>2213</v>
      </c>
      <c r="F400" t="s">
        <v>2782</v>
      </c>
      <c r="G400">
        <f>"0962692506"</f>
        <v>0</v>
      </c>
      <c r="H400">
        <f>"9780962692505"</f>
        <v>0</v>
      </c>
      <c r="I400">
        <v>0</v>
      </c>
      <c r="J400">
        <v>4.13</v>
      </c>
      <c r="K400" t="s">
        <v>3232</v>
      </c>
      <c r="L400" t="s">
        <v>3491</v>
      </c>
      <c r="M400">
        <v>201</v>
      </c>
      <c r="N400">
        <v>1990</v>
      </c>
      <c r="O400">
        <v>1990</v>
      </c>
      <c r="Q400" t="s">
        <v>3724</v>
      </c>
      <c r="R400" t="s">
        <v>3863</v>
      </c>
      <c r="S400" t="s">
        <v>4227</v>
      </c>
      <c r="T400" t="s">
        <v>3863</v>
      </c>
      <c r="X400">
        <v>0</v>
      </c>
      <c r="AA400">
        <v>0</v>
      </c>
    </row>
    <row r="401" spans="1:27">
      <c r="A401" s="1">
        <v>399</v>
      </c>
      <c r="B401">
        <v>13050383</v>
      </c>
      <c r="C401" t="s">
        <v>430</v>
      </c>
      <c r="D401" t="s">
        <v>1408</v>
      </c>
      <c r="E401" t="s">
        <v>2214</v>
      </c>
      <c r="G401">
        <f>"0143121006"</f>
        <v>0</v>
      </c>
      <c r="H401">
        <f>"9780143121008"</f>
        <v>0</v>
      </c>
      <c r="I401">
        <v>0</v>
      </c>
      <c r="J401">
        <v>3.84</v>
      </c>
      <c r="K401" t="s">
        <v>3233</v>
      </c>
      <c r="L401" t="s">
        <v>3492</v>
      </c>
      <c r="M401">
        <v>260</v>
      </c>
      <c r="N401">
        <v>2012</v>
      </c>
      <c r="O401">
        <v>2012</v>
      </c>
      <c r="Q401" t="s">
        <v>3724</v>
      </c>
      <c r="R401" t="s">
        <v>3863</v>
      </c>
      <c r="S401" t="s">
        <v>4228</v>
      </c>
      <c r="T401" t="s">
        <v>3863</v>
      </c>
      <c r="X401">
        <v>0</v>
      </c>
      <c r="AA401">
        <v>0</v>
      </c>
    </row>
    <row r="402" spans="1:27">
      <c r="A402" s="1">
        <v>400</v>
      </c>
      <c r="B402">
        <v>12173</v>
      </c>
      <c r="C402" t="s">
        <v>431</v>
      </c>
      <c r="D402" t="s">
        <v>1409</v>
      </c>
      <c r="E402" t="s">
        <v>2215</v>
      </c>
      <c r="F402" t="s">
        <v>2783</v>
      </c>
      <c r="G402">
        <f>"0262661373"</f>
        <v>0</v>
      </c>
      <c r="H402">
        <f>"9780262661379"</f>
        <v>0</v>
      </c>
      <c r="I402">
        <v>0</v>
      </c>
      <c r="J402">
        <v>3.73</v>
      </c>
      <c r="K402" t="s">
        <v>3234</v>
      </c>
      <c r="L402" t="s">
        <v>3491</v>
      </c>
      <c r="M402">
        <v>190</v>
      </c>
      <c r="N402">
        <v>2003</v>
      </c>
      <c r="O402">
        <v>2003</v>
      </c>
      <c r="Q402" t="s">
        <v>3725</v>
      </c>
      <c r="R402" t="s">
        <v>3863</v>
      </c>
      <c r="S402" t="s">
        <v>4229</v>
      </c>
      <c r="T402" t="s">
        <v>3863</v>
      </c>
      <c r="X402">
        <v>0</v>
      </c>
      <c r="AA402">
        <v>0</v>
      </c>
    </row>
    <row r="403" spans="1:27">
      <c r="A403" s="1">
        <v>401</v>
      </c>
      <c r="B403">
        <v>9376070</v>
      </c>
      <c r="C403" t="s">
        <v>432</v>
      </c>
      <c r="D403" t="s">
        <v>1410</v>
      </c>
      <c r="E403" t="s">
        <v>2216</v>
      </c>
      <c r="F403" t="s">
        <v>2784</v>
      </c>
      <c r="G403">
        <f>"0199551162"</f>
        <v>0</v>
      </c>
      <c r="H403">
        <f>"9780199551163"</f>
        <v>0</v>
      </c>
      <c r="I403">
        <v>0</v>
      </c>
      <c r="J403">
        <v>4</v>
      </c>
      <c r="K403" t="s">
        <v>3061</v>
      </c>
      <c r="L403" t="s">
        <v>3492</v>
      </c>
      <c r="M403">
        <v>432</v>
      </c>
      <c r="N403">
        <v>2011</v>
      </c>
      <c r="O403">
        <v>2011</v>
      </c>
      <c r="Q403" t="s">
        <v>3725</v>
      </c>
      <c r="R403" t="s">
        <v>3863</v>
      </c>
      <c r="S403" t="s">
        <v>4230</v>
      </c>
      <c r="T403" t="s">
        <v>3863</v>
      </c>
      <c r="X403">
        <v>0</v>
      </c>
      <c r="AA403">
        <v>0</v>
      </c>
    </row>
    <row r="404" spans="1:27">
      <c r="A404" s="1">
        <v>402</v>
      </c>
      <c r="B404">
        <v>209889</v>
      </c>
      <c r="C404" t="s">
        <v>433</v>
      </c>
      <c r="D404" t="s">
        <v>1411</v>
      </c>
      <c r="E404" t="s">
        <v>2217</v>
      </c>
      <c r="G404">
        <f>"0345375564"</f>
        <v>0</v>
      </c>
      <c r="H404">
        <f>"9780345375568"</f>
        <v>0</v>
      </c>
      <c r="I404">
        <v>0</v>
      </c>
      <c r="J404">
        <v>4.31</v>
      </c>
      <c r="K404" t="s">
        <v>3001</v>
      </c>
      <c r="L404" t="s">
        <v>3491</v>
      </c>
      <c r="M404">
        <v>1040</v>
      </c>
      <c r="N404">
        <v>1992</v>
      </c>
      <c r="O404">
        <v>1991</v>
      </c>
      <c r="Q404" t="s">
        <v>3712</v>
      </c>
      <c r="R404" t="s">
        <v>3863</v>
      </c>
      <c r="S404" t="s">
        <v>4231</v>
      </c>
      <c r="T404" t="s">
        <v>3863</v>
      </c>
      <c r="X404">
        <v>0</v>
      </c>
      <c r="AA404">
        <v>0</v>
      </c>
    </row>
    <row r="405" spans="1:27">
      <c r="A405" s="1">
        <v>403</v>
      </c>
      <c r="B405">
        <v>1823</v>
      </c>
      <c r="C405" t="s">
        <v>434</v>
      </c>
      <c r="D405" t="s">
        <v>1412</v>
      </c>
      <c r="E405" t="s">
        <v>2218</v>
      </c>
      <c r="G405">
        <f>"0743233212"</f>
        <v>0</v>
      </c>
      <c r="H405">
        <f>"9780743233217"</f>
        <v>0</v>
      </c>
      <c r="I405">
        <v>0</v>
      </c>
      <c r="J405">
        <v>3.96</v>
      </c>
      <c r="K405" t="s">
        <v>3121</v>
      </c>
      <c r="L405" t="s">
        <v>3491</v>
      </c>
      <c r="M405">
        <v>336</v>
      </c>
      <c r="N405">
        <v>2003</v>
      </c>
      <c r="O405">
        <v>2001</v>
      </c>
      <c r="Q405" t="s">
        <v>3712</v>
      </c>
      <c r="R405" t="s">
        <v>3863</v>
      </c>
      <c r="S405" t="s">
        <v>4232</v>
      </c>
      <c r="T405" t="s">
        <v>3863</v>
      </c>
      <c r="X405">
        <v>0</v>
      </c>
      <c r="AA405">
        <v>0</v>
      </c>
    </row>
    <row r="406" spans="1:27">
      <c r="A406" s="1">
        <v>404</v>
      </c>
      <c r="B406">
        <v>50416393</v>
      </c>
      <c r="C406" t="s">
        <v>435</v>
      </c>
      <c r="D406" t="s">
        <v>1413</v>
      </c>
      <c r="E406" t="s">
        <v>2219</v>
      </c>
      <c r="F406" t="s">
        <v>2785</v>
      </c>
      <c r="G406">
        <f>"0358126606"</f>
        <v>0</v>
      </c>
      <c r="H406">
        <f>"9780358126607"</f>
        <v>0</v>
      </c>
      <c r="I406">
        <v>0</v>
      </c>
      <c r="J406">
        <v>4.03</v>
      </c>
      <c r="K406" t="s">
        <v>3107</v>
      </c>
      <c r="L406" t="s">
        <v>3492</v>
      </c>
      <c r="M406">
        <v>384</v>
      </c>
      <c r="N406">
        <v>2020</v>
      </c>
      <c r="O406">
        <v>2020</v>
      </c>
      <c r="Q406" t="s">
        <v>3726</v>
      </c>
      <c r="R406" t="s">
        <v>3863</v>
      </c>
      <c r="S406" t="s">
        <v>4233</v>
      </c>
      <c r="T406" t="s">
        <v>3863</v>
      </c>
      <c r="X406">
        <v>0</v>
      </c>
      <c r="AA406">
        <v>0</v>
      </c>
    </row>
    <row r="407" spans="1:27">
      <c r="A407" s="1">
        <v>405</v>
      </c>
      <c r="B407">
        <v>52089665</v>
      </c>
      <c r="C407" t="s">
        <v>436</v>
      </c>
      <c r="D407" t="s">
        <v>1414</v>
      </c>
      <c r="E407" t="s">
        <v>2220</v>
      </c>
      <c r="G407">
        <f>""</f>
        <v>0</v>
      </c>
      <c r="H407">
        <f>""</f>
        <v>0</v>
      </c>
      <c r="I407">
        <v>0</v>
      </c>
      <c r="J407">
        <v>4.02</v>
      </c>
      <c r="K407" t="s">
        <v>3235</v>
      </c>
      <c r="L407" t="s">
        <v>3493</v>
      </c>
      <c r="N407">
        <v>2019</v>
      </c>
      <c r="Q407" t="s">
        <v>3727</v>
      </c>
      <c r="R407" t="s">
        <v>3863</v>
      </c>
      <c r="S407" t="s">
        <v>4234</v>
      </c>
      <c r="T407" t="s">
        <v>3863</v>
      </c>
      <c r="X407">
        <v>0</v>
      </c>
      <c r="AA407">
        <v>0</v>
      </c>
    </row>
    <row r="408" spans="1:27">
      <c r="A408" s="1">
        <v>406</v>
      </c>
      <c r="B408">
        <v>32277642</v>
      </c>
      <c r="C408" t="s">
        <v>437</v>
      </c>
      <c r="D408" t="s">
        <v>1415</v>
      </c>
      <c r="E408" t="s">
        <v>2221</v>
      </c>
      <c r="G408">
        <f>"153905344X"</f>
        <v>0</v>
      </c>
      <c r="H408">
        <f>"9781539053446"</f>
        <v>0</v>
      </c>
      <c r="I408">
        <v>0</v>
      </c>
      <c r="J408">
        <v>3.51</v>
      </c>
      <c r="K408" t="s">
        <v>3116</v>
      </c>
      <c r="L408" t="s">
        <v>3491</v>
      </c>
      <c r="M408">
        <v>224</v>
      </c>
      <c r="N408">
        <v>2016</v>
      </c>
      <c r="O408">
        <v>1895</v>
      </c>
      <c r="Q408" t="s">
        <v>3728</v>
      </c>
      <c r="R408" t="s">
        <v>3863</v>
      </c>
      <c r="S408" t="s">
        <v>4235</v>
      </c>
      <c r="T408" t="s">
        <v>3863</v>
      </c>
      <c r="X408">
        <v>0</v>
      </c>
      <c r="AA408">
        <v>0</v>
      </c>
    </row>
    <row r="409" spans="1:27">
      <c r="A409" s="1">
        <v>407</v>
      </c>
      <c r="B409">
        <v>232459</v>
      </c>
      <c r="C409" t="s">
        <v>438</v>
      </c>
      <c r="D409" t="s">
        <v>1416</v>
      </c>
      <c r="E409" t="s">
        <v>2222</v>
      </c>
      <c r="G409">
        <f>"0743227220"</f>
        <v>0</v>
      </c>
      <c r="H409">
        <f>"9780743227223"</f>
        <v>0</v>
      </c>
      <c r="I409">
        <v>0</v>
      </c>
      <c r="J409">
        <v>4.26</v>
      </c>
      <c r="K409" t="s">
        <v>3000</v>
      </c>
      <c r="L409" t="s">
        <v>3491</v>
      </c>
      <c r="M409">
        <v>1024</v>
      </c>
      <c r="N409">
        <v>2003</v>
      </c>
      <c r="O409">
        <v>1985</v>
      </c>
      <c r="Q409" t="s">
        <v>3729</v>
      </c>
      <c r="R409" t="s">
        <v>3863</v>
      </c>
      <c r="S409" t="s">
        <v>4236</v>
      </c>
      <c r="T409" t="s">
        <v>3863</v>
      </c>
      <c r="X409">
        <v>0</v>
      </c>
      <c r="AA409">
        <v>0</v>
      </c>
    </row>
    <row r="410" spans="1:27">
      <c r="A410" s="1">
        <v>408</v>
      </c>
      <c r="B410">
        <v>39105906</v>
      </c>
      <c r="C410" t="s">
        <v>439</v>
      </c>
      <c r="D410" t="s">
        <v>1417</v>
      </c>
      <c r="E410" t="s">
        <v>2223</v>
      </c>
      <c r="G410">
        <f>"1787352463"</f>
        <v>0</v>
      </c>
      <c r="H410">
        <f>"9781787352469"</f>
        <v>0</v>
      </c>
      <c r="I410">
        <v>0</v>
      </c>
      <c r="J410">
        <v>3.97</v>
      </c>
      <c r="K410" t="s">
        <v>3236</v>
      </c>
      <c r="L410" t="s">
        <v>3491</v>
      </c>
      <c r="M410">
        <v>326</v>
      </c>
      <c r="N410">
        <v>2018</v>
      </c>
      <c r="O410">
        <v>2018</v>
      </c>
      <c r="Q410" t="s">
        <v>3729</v>
      </c>
      <c r="R410" t="s">
        <v>3863</v>
      </c>
      <c r="S410" t="s">
        <v>4237</v>
      </c>
      <c r="T410" t="s">
        <v>3863</v>
      </c>
      <c r="X410">
        <v>0</v>
      </c>
      <c r="AA410">
        <v>0</v>
      </c>
    </row>
    <row r="411" spans="1:27">
      <c r="A411" s="1">
        <v>409</v>
      </c>
      <c r="B411">
        <v>22872436</v>
      </c>
      <c r="C411" t="s">
        <v>440</v>
      </c>
      <c r="D411" t="s">
        <v>1418</v>
      </c>
      <c r="E411" t="s">
        <v>2224</v>
      </c>
      <c r="G411">
        <f>""</f>
        <v>0</v>
      </c>
      <c r="H411">
        <f>""</f>
        <v>0</v>
      </c>
      <c r="I411">
        <v>0</v>
      </c>
      <c r="J411">
        <v>4.24</v>
      </c>
      <c r="K411" t="s">
        <v>3237</v>
      </c>
      <c r="L411" t="s">
        <v>3494</v>
      </c>
      <c r="M411">
        <v>241</v>
      </c>
      <c r="N411">
        <v>2014</v>
      </c>
      <c r="O411">
        <v>2014</v>
      </c>
      <c r="Q411" t="s">
        <v>3526</v>
      </c>
      <c r="R411" t="s">
        <v>3863</v>
      </c>
      <c r="S411" t="s">
        <v>4238</v>
      </c>
      <c r="T411" t="s">
        <v>3863</v>
      </c>
      <c r="X411">
        <v>0</v>
      </c>
      <c r="AA411">
        <v>0</v>
      </c>
    </row>
    <row r="412" spans="1:27">
      <c r="A412" s="1">
        <v>410</v>
      </c>
      <c r="B412">
        <v>223379</v>
      </c>
      <c r="C412" t="s">
        <v>441</v>
      </c>
      <c r="D412" t="s">
        <v>1380</v>
      </c>
      <c r="E412" t="s">
        <v>2186</v>
      </c>
      <c r="G412">
        <f>"1596061006"</f>
        <v>0</v>
      </c>
      <c r="H412">
        <f>"9781596061002"</f>
        <v>0</v>
      </c>
      <c r="I412">
        <v>4</v>
      </c>
      <c r="J412">
        <v>4.36</v>
      </c>
      <c r="K412" t="s">
        <v>3238</v>
      </c>
      <c r="L412" t="s">
        <v>3492</v>
      </c>
      <c r="M412">
        <v>60</v>
      </c>
      <c r="N412">
        <v>2007</v>
      </c>
      <c r="O412">
        <v>2007</v>
      </c>
      <c r="P412" t="s">
        <v>3526</v>
      </c>
      <c r="Q412" t="s">
        <v>3526</v>
      </c>
      <c r="T412" t="s">
        <v>4621</v>
      </c>
      <c r="X412">
        <v>1</v>
      </c>
      <c r="AA412">
        <v>0</v>
      </c>
    </row>
    <row r="413" spans="1:27">
      <c r="A413" s="1">
        <v>411</v>
      </c>
      <c r="B413">
        <v>62022</v>
      </c>
      <c r="C413" t="s">
        <v>442</v>
      </c>
      <c r="D413" t="s">
        <v>1419</v>
      </c>
      <c r="E413" t="s">
        <v>2225</v>
      </c>
      <c r="F413" t="s">
        <v>2786</v>
      </c>
      <c r="G413">
        <f>"1400030609"</f>
        <v>0</v>
      </c>
      <c r="H413">
        <f>"9781400030606"</f>
        <v>0</v>
      </c>
      <c r="I413">
        <v>0</v>
      </c>
      <c r="J413">
        <v>4.2</v>
      </c>
      <c r="K413" t="s">
        <v>3029</v>
      </c>
      <c r="L413" t="s">
        <v>3491</v>
      </c>
      <c r="M413">
        <v>258</v>
      </c>
      <c r="N413">
        <v>2003</v>
      </c>
      <c r="O413">
        <v>1983</v>
      </c>
      <c r="Q413" t="s">
        <v>3730</v>
      </c>
      <c r="R413" t="s">
        <v>3863</v>
      </c>
      <c r="S413" t="s">
        <v>4239</v>
      </c>
      <c r="T413" t="s">
        <v>3863</v>
      </c>
      <c r="X413">
        <v>0</v>
      </c>
      <c r="AA413">
        <v>0</v>
      </c>
    </row>
    <row r="414" spans="1:27">
      <c r="A414" s="1">
        <v>412</v>
      </c>
      <c r="B414">
        <v>22836957</v>
      </c>
      <c r="C414" t="s">
        <v>443</v>
      </c>
      <c r="D414" t="s">
        <v>1420</v>
      </c>
      <c r="E414" t="s">
        <v>2226</v>
      </c>
      <c r="G414">
        <f>"125006662X"</f>
        <v>0</v>
      </c>
      <c r="H414">
        <f>"9781250066626"</f>
        <v>0</v>
      </c>
      <c r="I414">
        <v>0</v>
      </c>
      <c r="J414">
        <v>3.95</v>
      </c>
      <c r="K414" t="s">
        <v>3034</v>
      </c>
      <c r="L414" t="s">
        <v>3492</v>
      </c>
      <c r="M414">
        <v>262</v>
      </c>
      <c r="N414">
        <v>2015</v>
      </c>
      <c r="O414">
        <v>2002</v>
      </c>
      <c r="Q414" t="s">
        <v>3731</v>
      </c>
      <c r="R414" t="s">
        <v>3863</v>
      </c>
      <c r="S414" t="s">
        <v>4240</v>
      </c>
      <c r="T414" t="s">
        <v>3863</v>
      </c>
      <c r="X414">
        <v>0</v>
      </c>
      <c r="AA414">
        <v>0</v>
      </c>
    </row>
    <row r="415" spans="1:27">
      <c r="A415" s="1">
        <v>413</v>
      </c>
      <c r="B415">
        <v>13399</v>
      </c>
      <c r="C415" t="s">
        <v>444</v>
      </c>
      <c r="D415" t="s">
        <v>1421</v>
      </c>
      <c r="E415" t="s">
        <v>2227</v>
      </c>
      <c r="F415" t="s">
        <v>2787</v>
      </c>
      <c r="G415">
        <f>"0425201686"</f>
        <v>0</v>
      </c>
      <c r="H415">
        <f>"9780425201688"</f>
        <v>0</v>
      </c>
      <c r="I415">
        <v>0</v>
      </c>
      <c r="J415">
        <v>3.86</v>
      </c>
      <c r="K415" t="s">
        <v>3239</v>
      </c>
      <c r="L415" t="s">
        <v>3491</v>
      </c>
      <c r="M415">
        <v>355</v>
      </c>
      <c r="N415">
        <v>2004</v>
      </c>
      <c r="O415">
        <v>2004</v>
      </c>
      <c r="Q415" t="s">
        <v>3732</v>
      </c>
      <c r="R415" t="s">
        <v>3863</v>
      </c>
      <c r="S415" t="s">
        <v>4241</v>
      </c>
      <c r="T415" t="s">
        <v>3863</v>
      </c>
      <c r="X415">
        <v>0</v>
      </c>
      <c r="AA415">
        <v>0</v>
      </c>
    </row>
    <row r="416" spans="1:27">
      <c r="A416" s="1">
        <v>414</v>
      </c>
      <c r="B416">
        <v>50358526</v>
      </c>
      <c r="C416" t="s">
        <v>445</v>
      </c>
      <c r="D416" t="s">
        <v>1422</v>
      </c>
      <c r="E416" t="s">
        <v>2228</v>
      </c>
      <c r="G416">
        <f>"1541647149"</f>
        <v>0</v>
      </c>
      <c r="H416">
        <f>"9781541647145"</f>
        <v>0</v>
      </c>
      <c r="I416">
        <v>0</v>
      </c>
      <c r="J416">
        <v>3.59</v>
      </c>
      <c r="K416" t="s">
        <v>3138</v>
      </c>
      <c r="L416" t="s">
        <v>3492</v>
      </c>
      <c r="M416">
        <v>272</v>
      </c>
      <c r="N416">
        <v>2020</v>
      </c>
      <c r="O416">
        <v>2020</v>
      </c>
      <c r="Q416" t="s">
        <v>3732</v>
      </c>
      <c r="R416" t="s">
        <v>3863</v>
      </c>
      <c r="S416" t="s">
        <v>4242</v>
      </c>
      <c r="T416" t="s">
        <v>3863</v>
      </c>
      <c r="X416">
        <v>0</v>
      </c>
      <c r="AA416">
        <v>0</v>
      </c>
    </row>
    <row r="417" spans="1:27">
      <c r="A417" s="1">
        <v>415</v>
      </c>
      <c r="B417">
        <v>1170269</v>
      </c>
      <c r="C417" t="s">
        <v>446</v>
      </c>
      <c r="D417" t="s">
        <v>1423</v>
      </c>
      <c r="E417" t="s">
        <v>2229</v>
      </c>
      <c r="G417">
        <f>"0878930116"</f>
        <v>0</v>
      </c>
      <c r="H417">
        <f>"9780878930111"</f>
        <v>0</v>
      </c>
      <c r="I417">
        <v>0</v>
      </c>
      <c r="J417">
        <v>4.1</v>
      </c>
      <c r="K417" t="s">
        <v>3240</v>
      </c>
      <c r="L417" t="s">
        <v>3492</v>
      </c>
      <c r="M417">
        <v>543</v>
      </c>
      <c r="N417">
        <v>2001</v>
      </c>
      <c r="O417">
        <v>1975</v>
      </c>
      <c r="Q417" t="s">
        <v>3733</v>
      </c>
      <c r="R417" t="s">
        <v>3863</v>
      </c>
      <c r="S417" t="s">
        <v>4243</v>
      </c>
      <c r="T417" t="s">
        <v>3863</v>
      </c>
      <c r="X417">
        <v>0</v>
      </c>
      <c r="AA417">
        <v>0</v>
      </c>
    </row>
    <row r="418" spans="1:27">
      <c r="A418" s="1">
        <v>416</v>
      </c>
      <c r="B418">
        <v>1467199</v>
      </c>
      <c r="C418" t="s">
        <v>447</v>
      </c>
      <c r="D418" t="s">
        <v>1424</v>
      </c>
      <c r="E418" t="s">
        <v>2230</v>
      </c>
      <c r="G418">
        <f>"1410214206"</f>
        <v>0</v>
      </c>
      <c r="H418">
        <f>"9781410214201"</f>
        <v>0</v>
      </c>
      <c r="I418">
        <v>0</v>
      </c>
      <c r="J418">
        <v>4.12</v>
      </c>
      <c r="K418" t="s">
        <v>3241</v>
      </c>
      <c r="L418" t="s">
        <v>3491</v>
      </c>
      <c r="M418">
        <v>472</v>
      </c>
      <c r="N418">
        <v>2004</v>
      </c>
      <c r="O418">
        <v>1872</v>
      </c>
      <c r="Q418" t="s">
        <v>3733</v>
      </c>
      <c r="R418" t="s">
        <v>3863</v>
      </c>
      <c r="S418" t="s">
        <v>4244</v>
      </c>
      <c r="T418" t="s">
        <v>3863</v>
      </c>
      <c r="X418">
        <v>0</v>
      </c>
      <c r="AA418">
        <v>0</v>
      </c>
    </row>
    <row r="419" spans="1:27">
      <c r="A419" s="1">
        <v>417</v>
      </c>
      <c r="B419">
        <v>1045675</v>
      </c>
      <c r="C419" t="s">
        <v>448</v>
      </c>
      <c r="D419" t="s">
        <v>1425</v>
      </c>
      <c r="E419" t="s">
        <v>2231</v>
      </c>
      <c r="G419">
        <f>"1887813128"</f>
        <v>0</v>
      </c>
      <c r="H419">
        <f>"9781887813129"</f>
        <v>0</v>
      </c>
      <c r="I419">
        <v>0</v>
      </c>
      <c r="J419">
        <v>4.05</v>
      </c>
      <c r="K419" t="s">
        <v>3242</v>
      </c>
      <c r="L419" t="s">
        <v>3492</v>
      </c>
      <c r="M419">
        <v>406</v>
      </c>
      <c r="N419">
        <v>1996</v>
      </c>
      <c r="O419">
        <v>1939</v>
      </c>
      <c r="Q419" t="s">
        <v>3734</v>
      </c>
      <c r="R419" t="s">
        <v>3863</v>
      </c>
      <c r="S419" t="s">
        <v>4245</v>
      </c>
      <c r="T419" t="s">
        <v>3863</v>
      </c>
      <c r="X419">
        <v>0</v>
      </c>
      <c r="AA419">
        <v>0</v>
      </c>
    </row>
    <row r="420" spans="1:27">
      <c r="A420" s="1">
        <v>418</v>
      </c>
      <c r="B420">
        <v>415</v>
      </c>
      <c r="C420" t="s">
        <v>449</v>
      </c>
      <c r="D420" t="s">
        <v>1426</v>
      </c>
      <c r="E420" t="s">
        <v>2232</v>
      </c>
      <c r="G420">
        <f>"0143039946"</f>
        <v>0</v>
      </c>
      <c r="H420">
        <f>"9780143039945"</f>
        <v>0</v>
      </c>
      <c r="I420">
        <v>0</v>
      </c>
      <c r="J420">
        <v>3.98</v>
      </c>
      <c r="K420" t="s">
        <v>3010</v>
      </c>
      <c r="L420" t="s">
        <v>3491</v>
      </c>
      <c r="M420">
        <v>776</v>
      </c>
      <c r="N420">
        <v>2006</v>
      </c>
      <c r="O420">
        <v>1973</v>
      </c>
      <c r="Q420" t="s">
        <v>3735</v>
      </c>
      <c r="R420" t="s">
        <v>3863</v>
      </c>
      <c r="S420" t="s">
        <v>4246</v>
      </c>
      <c r="T420" t="s">
        <v>3863</v>
      </c>
      <c r="X420">
        <v>0</v>
      </c>
      <c r="AA420">
        <v>0</v>
      </c>
    </row>
    <row r="421" spans="1:27">
      <c r="A421" s="1">
        <v>419</v>
      </c>
      <c r="B421">
        <v>6759</v>
      </c>
      <c r="C421" t="s">
        <v>450</v>
      </c>
      <c r="D421" t="s">
        <v>1427</v>
      </c>
      <c r="E421" t="s">
        <v>2233</v>
      </c>
      <c r="G421">
        <f>"0316921173"</f>
        <v>0</v>
      </c>
      <c r="H421">
        <f>"9780316921176"</f>
        <v>0</v>
      </c>
      <c r="I421">
        <v>0</v>
      </c>
      <c r="J421">
        <v>4.26</v>
      </c>
      <c r="K421" t="s">
        <v>3243</v>
      </c>
      <c r="L421" t="s">
        <v>3491</v>
      </c>
      <c r="M421">
        <v>1088</v>
      </c>
      <c r="N421">
        <v>2005</v>
      </c>
      <c r="O421">
        <v>1996</v>
      </c>
      <c r="Q421" t="s">
        <v>3735</v>
      </c>
      <c r="R421" t="s">
        <v>3863</v>
      </c>
      <c r="S421" t="s">
        <v>4247</v>
      </c>
      <c r="T421" t="s">
        <v>3863</v>
      </c>
      <c r="X421">
        <v>0</v>
      </c>
      <c r="AA421">
        <v>0</v>
      </c>
    </row>
    <row r="422" spans="1:27">
      <c r="A422" s="1">
        <v>420</v>
      </c>
      <c r="B422">
        <v>3115359</v>
      </c>
      <c r="C422" t="s">
        <v>451</v>
      </c>
      <c r="D422" t="s">
        <v>1428</v>
      </c>
      <c r="E422" t="s">
        <v>2234</v>
      </c>
      <c r="F422" t="s">
        <v>2788</v>
      </c>
      <c r="G422">
        <f>"0374100144"</f>
        <v>0</v>
      </c>
      <c r="H422">
        <f>"9780374100148"</f>
        <v>0</v>
      </c>
      <c r="I422">
        <v>0</v>
      </c>
      <c r="J422">
        <v>4.18</v>
      </c>
      <c r="K422" t="s">
        <v>3098</v>
      </c>
      <c r="L422" t="s">
        <v>3492</v>
      </c>
      <c r="M422">
        <v>898</v>
      </c>
      <c r="N422">
        <v>2008</v>
      </c>
      <c r="O422">
        <v>2004</v>
      </c>
      <c r="Q422" t="s">
        <v>3735</v>
      </c>
      <c r="R422" t="s">
        <v>3863</v>
      </c>
      <c r="S422" t="s">
        <v>4248</v>
      </c>
      <c r="T422" t="s">
        <v>3863</v>
      </c>
      <c r="X422">
        <v>0</v>
      </c>
      <c r="AA422">
        <v>0</v>
      </c>
    </row>
    <row r="423" spans="1:27">
      <c r="A423" s="1">
        <v>421</v>
      </c>
      <c r="B423">
        <v>38212112</v>
      </c>
      <c r="C423" t="s">
        <v>452</v>
      </c>
      <c r="D423" t="s">
        <v>1429</v>
      </c>
      <c r="E423" t="s">
        <v>2235</v>
      </c>
      <c r="G423">
        <f>"0393356175"</f>
        <v>0</v>
      </c>
      <c r="H423">
        <f>"9780393356175"</f>
        <v>0</v>
      </c>
      <c r="I423">
        <v>0</v>
      </c>
      <c r="J423">
        <v>4</v>
      </c>
      <c r="K423" t="s">
        <v>3038</v>
      </c>
      <c r="L423" t="s">
        <v>3491</v>
      </c>
      <c r="M423">
        <v>368</v>
      </c>
      <c r="N423">
        <v>2018</v>
      </c>
      <c r="O423">
        <v>1978</v>
      </c>
      <c r="Q423" t="s">
        <v>3736</v>
      </c>
      <c r="R423" t="s">
        <v>3863</v>
      </c>
      <c r="S423" t="s">
        <v>4249</v>
      </c>
      <c r="T423" t="s">
        <v>3863</v>
      </c>
      <c r="X423">
        <v>0</v>
      </c>
      <c r="AA423">
        <v>0</v>
      </c>
    </row>
    <row r="424" spans="1:27">
      <c r="A424" s="1">
        <v>422</v>
      </c>
      <c r="B424">
        <v>332613</v>
      </c>
      <c r="C424" t="s">
        <v>453</v>
      </c>
      <c r="D424" t="s">
        <v>1430</v>
      </c>
      <c r="E424" t="s">
        <v>2236</v>
      </c>
      <c r="F424" t="s">
        <v>2789</v>
      </c>
      <c r="G424">
        <f>""</f>
        <v>0</v>
      </c>
      <c r="H424">
        <f>""</f>
        <v>0</v>
      </c>
      <c r="I424">
        <v>0</v>
      </c>
      <c r="J424">
        <v>4.2</v>
      </c>
      <c r="K424" t="s">
        <v>3049</v>
      </c>
      <c r="L424" t="s">
        <v>3495</v>
      </c>
      <c r="M424">
        <v>325</v>
      </c>
      <c r="N424">
        <v>1963</v>
      </c>
      <c r="O424">
        <v>1962</v>
      </c>
      <c r="Q424" t="s">
        <v>3737</v>
      </c>
      <c r="R424" t="s">
        <v>3863</v>
      </c>
      <c r="S424" t="s">
        <v>4250</v>
      </c>
      <c r="T424" t="s">
        <v>3863</v>
      </c>
      <c r="X424">
        <v>0</v>
      </c>
      <c r="AA424">
        <v>0</v>
      </c>
    </row>
    <row r="425" spans="1:27">
      <c r="A425" s="1">
        <v>423</v>
      </c>
      <c r="B425">
        <v>20694722</v>
      </c>
      <c r="C425" t="s">
        <v>454</v>
      </c>
      <c r="D425" t="s">
        <v>1431</v>
      </c>
      <c r="E425" t="s">
        <v>2237</v>
      </c>
      <c r="G425">
        <f>"022610818X"</f>
        <v>0</v>
      </c>
      <c r="H425">
        <f>"9780226108186"</f>
        <v>0</v>
      </c>
      <c r="I425">
        <v>0</v>
      </c>
      <c r="J425">
        <v>4.33</v>
      </c>
      <c r="K425" t="s">
        <v>3052</v>
      </c>
      <c r="L425" t="s">
        <v>3492</v>
      </c>
      <c r="M425">
        <v>328</v>
      </c>
      <c r="N425">
        <v>2014</v>
      </c>
      <c r="O425">
        <v>2014</v>
      </c>
      <c r="Q425" t="s">
        <v>3737</v>
      </c>
      <c r="R425" t="s">
        <v>3863</v>
      </c>
      <c r="S425" t="s">
        <v>4251</v>
      </c>
      <c r="T425" t="s">
        <v>3863</v>
      </c>
      <c r="X425">
        <v>0</v>
      </c>
      <c r="AA425">
        <v>0</v>
      </c>
    </row>
    <row r="426" spans="1:27">
      <c r="A426" s="1">
        <v>424</v>
      </c>
      <c r="B426">
        <v>23019295</v>
      </c>
      <c r="C426" t="s">
        <v>455</v>
      </c>
      <c r="D426" t="s">
        <v>1432</v>
      </c>
      <c r="E426" t="s">
        <v>2238</v>
      </c>
      <c r="F426" t="s">
        <v>2790</v>
      </c>
      <c r="G426">
        <f>"0062385321"</f>
        <v>0</v>
      </c>
      <c r="H426">
        <f>"9780062385321"</f>
        <v>0</v>
      </c>
      <c r="I426">
        <v>2</v>
      </c>
      <c r="J426">
        <v>3.52</v>
      </c>
      <c r="K426" t="s">
        <v>3244</v>
      </c>
      <c r="L426" t="s">
        <v>3492</v>
      </c>
      <c r="M426">
        <v>387</v>
      </c>
      <c r="N426">
        <v>2015</v>
      </c>
      <c r="O426">
        <v>2015</v>
      </c>
      <c r="P426" t="s">
        <v>3527</v>
      </c>
      <c r="Q426" t="s">
        <v>3738</v>
      </c>
      <c r="T426" t="s">
        <v>4621</v>
      </c>
      <c r="U426" t="s">
        <v>4647</v>
      </c>
      <c r="X426">
        <v>1</v>
      </c>
      <c r="AA426">
        <v>0</v>
      </c>
    </row>
    <row r="427" spans="1:27">
      <c r="A427" s="1">
        <v>425</v>
      </c>
      <c r="B427">
        <v>30200112</v>
      </c>
      <c r="C427" t="s">
        <v>456</v>
      </c>
      <c r="D427" t="s">
        <v>1433</v>
      </c>
      <c r="E427" t="s">
        <v>2239</v>
      </c>
      <c r="F427" t="s">
        <v>2791</v>
      </c>
      <c r="G427">
        <f>""</f>
        <v>0</v>
      </c>
      <c r="H427">
        <f>""</f>
        <v>0</v>
      </c>
      <c r="I427">
        <v>0</v>
      </c>
      <c r="J427">
        <v>4.46</v>
      </c>
      <c r="K427" t="s">
        <v>3245</v>
      </c>
      <c r="L427" t="s">
        <v>3493</v>
      </c>
      <c r="M427">
        <v>496</v>
      </c>
      <c r="N427">
        <v>2016</v>
      </c>
      <c r="O427">
        <v>2013</v>
      </c>
      <c r="Q427" t="s">
        <v>3527</v>
      </c>
      <c r="R427" t="s">
        <v>3863</v>
      </c>
      <c r="S427" t="s">
        <v>4252</v>
      </c>
      <c r="T427" t="s">
        <v>3863</v>
      </c>
      <c r="X427">
        <v>0</v>
      </c>
      <c r="AA427">
        <v>0</v>
      </c>
    </row>
    <row r="428" spans="1:27">
      <c r="A428" s="1">
        <v>426</v>
      </c>
      <c r="B428">
        <v>50074593</v>
      </c>
      <c r="C428" t="s">
        <v>457</v>
      </c>
      <c r="D428" t="s">
        <v>1434</v>
      </c>
      <c r="E428" t="s">
        <v>2240</v>
      </c>
      <c r="F428" t="s">
        <v>2792</v>
      </c>
      <c r="G428">
        <f>"1783527412"</f>
        <v>0</v>
      </c>
      <c r="H428">
        <f>"9781783527410"</f>
        <v>0</v>
      </c>
      <c r="I428">
        <v>0</v>
      </c>
      <c r="J428">
        <v>3.98</v>
      </c>
      <c r="K428" t="s">
        <v>3246</v>
      </c>
      <c r="L428" t="s">
        <v>3492</v>
      </c>
      <c r="M428">
        <v>100</v>
      </c>
      <c r="N428">
        <v>2019</v>
      </c>
      <c r="O428">
        <v>1934</v>
      </c>
      <c r="Q428" t="s">
        <v>3739</v>
      </c>
      <c r="R428" t="s">
        <v>3863</v>
      </c>
      <c r="S428" t="s">
        <v>4253</v>
      </c>
      <c r="T428" t="s">
        <v>3863</v>
      </c>
      <c r="X428">
        <v>0</v>
      </c>
      <c r="AA428">
        <v>0</v>
      </c>
    </row>
    <row r="429" spans="1:27">
      <c r="A429" s="1">
        <v>427</v>
      </c>
      <c r="B429">
        <v>88077</v>
      </c>
      <c r="C429" t="s">
        <v>458</v>
      </c>
      <c r="D429" t="s">
        <v>1435</v>
      </c>
      <c r="E429" t="s">
        <v>2241</v>
      </c>
      <c r="F429" t="s">
        <v>2793</v>
      </c>
      <c r="G429">
        <f>"0679772871"</f>
        <v>0</v>
      </c>
      <c r="H429">
        <f>"9780679772873"</f>
        <v>0</v>
      </c>
      <c r="I429">
        <v>0</v>
      </c>
      <c r="J429">
        <v>4.12</v>
      </c>
      <c r="K429" t="s">
        <v>3029</v>
      </c>
      <c r="L429" t="s">
        <v>3491</v>
      </c>
      <c r="M429">
        <v>706</v>
      </c>
      <c r="N429">
        <v>1996</v>
      </c>
      <c r="O429">
        <v>1924</v>
      </c>
      <c r="Q429" t="s">
        <v>3740</v>
      </c>
      <c r="R429" t="s">
        <v>3863</v>
      </c>
      <c r="S429" t="s">
        <v>4254</v>
      </c>
      <c r="T429" t="s">
        <v>3863</v>
      </c>
      <c r="X429">
        <v>0</v>
      </c>
      <c r="AA429">
        <v>0</v>
      </c>
    </row>
    <row r="430" spans="1:27">
      <c r="A430" s="1">
        <v>428</v>
      </c>
      <c r="B430">
        <v>40121378</v>
      </c>
      <c r="C430" t="s">
        <v>459</v>
      </c>
      <c r="D430" t="s">
        <v>1436</v>
      </c>
      <c r="E430" t="s">
        <v>2242</v>
      </c>
      <c r="G430">
        <f>""</f>
        <v>0</v>
      </c>
      <c r="H430">
        <f>""</f>
        <v>0</v>
      </c>
      <c r="I430">
        <v>0</v>
      </c>
      <c r="J430">
        <v>4.38</v>
      </c>
      <c r="K430" t="s">
        <v>3247</v>
      </c>
      <c r="L430" t="s">
        <v>3493</v>
      </c>
      <c r="M430">
        <v>319</v>
      </c>
      <c r="N430">
        <v>2018</v>
      </c>
      <c r="O430">
        <v>2018</v>
      </c>
      <c r="Q430" t="s">
        <v>3741</v>
      </c>
      <c r="R430" t="s">
        <v>3863</v>
      </c>
      <c r="S430" t="s">
        <v>4255</v>
      </c>
      <c r="T430" t="s">
        <v>3863</v>
      </c>
      <c r="X430">
        <v>0</v>
      </c>
      <c r="AA430">
        <v>0</v>
      </c>
    </row>
    <row r="431" spans="1:27">
      <c r="A431" s="1">
        <v>429</v>
      </c>
      <c r="B431">
        <v>45892235</v>
      </c>
      <c r="C431" t="s">
        <v>460</v>
      </c>
      <c r="D431" t="s">
        <v>1437</v>
      </c>
      <c r="E431" t="s">
        <v>2243</v>
      </c>
      <c r="G431">
        <f>"0374287260"</f>
        <v>0</v>
      </c>
      <c r="H431">
        <f>"9780374287269"</f>
        <v>0</v>
      </c>
      <c r="I431">
        <v>0</v>
      </c>
      <c r="J431">
        <v>4.19</v>
      </c>
      <c r="K431" t="s">
        <v>3098</v>
      </c>
      <c r="L431" t="s">
        <v>3492</v>
      </c>
      <c r="M431">
        <v>528</v>
      </c>
      <c r="N431">
        <v>2020</v>
      </c>
      <c r="O431">
        <v>2020</v>
      </c>
      <c r="Q431" t="s">
        <v>3742</v>
      </c>
      <c r="R431" t="s">
        <v>3863</v>
      </c>
      <c r="S431" t="s">
        <v>4256</v>
      </c>
      <c r="T431" t="s">
        <v>3863</v>
      </c>
      <c r="X431">
        <v>0</v>
      </c>
      <c r="AA431">
        <v>0</v>
      </c>
    </row>
    <row r="432" spans="1:27">
      <c r="A432" s="1">
        <v>430</v>
      </c>
      <c r="B432">
        <v>28294</v>
      </c>
      <c r="C432" t="s">
        <v>461</v>
      </c>
      <c r="D432" t="s">
        <v>1438</v>
      </c>
      <c r="E432" t="s">
        <v>2244</v>
      </c>
      <c r="F432" t="s">
        <v>2794</v>
      </c>
      <c r="G432">
        <f>"1567922961"</f>
        <v>0</v>
      </c>
      <c r="H432">
        <f>"9781567922967"</f>
        <v>0</v>
      </c>
      <c r="I432">
        <v>0</v>
      </c>
      <c r="J432">
        <v>3.78</v>
      </c>
      <c r="K432" t="s">
        <v>3248</v>
      </c>
      <c r="L432" t="s">
        <v>3491</v>
      </c>
      <c r="M432">
        <v>284</v>
      </c>
      <c r="N432">
        <v>2005</v>
      </c>
      <c r="O432">
        <v>1969</v>
      </c>
      <c r="Q432" t="s">
        <v>3743</v>
      </c>
      <c r="R432" t="s">
        <v>3863</v>
      </c>
      <c r="S432" t="s">
        <v>4257</v>
      </c>
      <c r="T432" t="s">
        <v>3863</v>
      </c>
      <c r="X432">
        <v>0</v>
      </c>
      <c r="AA432">
        <v>0</v>
      </c>
    </row>
    <row r="433" spans="1:27">
      <c r="A433" s="1">
        <v>431</v>
      </c>
      <c r="B433">
        <v>2206315</v>
      </c>
      <c r="C433" t="s">
        <v>462</v>
      </c>
      <c r="D433" t="s">
        <v>1439</v>
      </c>
      <c r="E433" t="s">
        <v>2245</v>
      </c>
      <c r="G433">
        <f>"089037080X"</f>
        <v>0</v>
      </c>
      <c r="H433">
        <f>"9780890370803"</f>
        <v>0</v>
      </c>
      <c r="I433">
        <v>0</v>
      </c>
      <c r="J433">
        <v>3.86</v>
      </c>
      <c r="O433">
        <v>1978</v>
      </c>
      <c r="Q433" t="s">
        <v>3744</v>
      </c>
      <c r="R433" t="s">
        <v>3863</v>
      </c>
      <c r="S433" t="s">
        <v>4258</v>
      </c>
      <c r="T433" t="s">
        <v>3863</v>
      </c>
      <c r="X433">
        <v>0</v>
      </c>
      <c r="AA433">
        <v>0</v>
      </c>
    </row>
    <row r="434" spans="1:27">
      <c r="A434" s="1">
        <v>432</v>
      </c>
      <c r="B434">
        <v>52914599</v>
      </c>
      <c r="C434" t="s">
        <v>463</v>
      </c>
      <c r="D434" t="s">
        <v>1440</v>
      </c>
      <c r="E434" t="s">
        <v>2246</v>
      </c>
      <c r="G434">
        <f>""</f>
        <v>0</v>
      </c>
      <c r="H434">
        <f>"9781787383012"</f>
        <v>0</v>
      </c>
      <c r="I434">
        <v>0</v>
      </c>
      <c r="J434">
        <v>3.73</v>
      </c>
      <c r="K434" t="s">
        <v>3249</v>
      </c>
      <c r="L434" t="s">
        <v>3492</v>
      </c>
      <c r="M434">
        <v>208</v>
      </c>
      <c r="N434">
        <v>2020</v>
      </c>
      <c r="Q434" t="s">
        <v>3745</v>
      </c>
      <c r="R434" t="s">
        <v>3863</v>
      </c>
      <c r="S434" t="s">
        <v>4259</v>
      </c>
      <c r="T434" t="s">
        <v>3863</v>
      </c>
      <c r="X434">
        <v>0</v>
      </c>
      <c r="AA434">
        <v>0</v>
      </c>
    </row>
    <row r="435" spans="1:27">
      <c r="A435" s="1">
        <v>433</v>
      </c>
      <c r="B435">
        <v>4017830</v>
      </c>
      <c r="C435" t="s">
        <v>464</v>
      </c>
      <c r="D435" t="s">
        <v>1441</v>
      </c>
      <c r="E435" t="s">
        <v>2247</v>
      </c>
      <c r="G435">
        <f>"0195071786"</f>
        <v>0</v>
      </c>
      <c r="H435">
        <f>"9780195071788"</f>
        <v>0</v>
      </c>
      <c r="I435">
        <v>0</v>
      </c>
      <c r="J435">
        <v>3.33</v>
      </c>
      <c r="K435" t="s">
        <v>3061</v>
      </c>
      <c r="L435" t="s">
        <v>3492</v>
      </c>
      <c r="M435">
        <v>400</v>
      </c>
      <c r="N435">
        <v>1993</v>
      </c>
      <c r="O435">
        <v>1993</v>
      </c>
      <c r="Q435" t="s">
        <v>3746</v>
      </c>
      <c r="R435" t="s">
        <v>3863</v>
      </c>
      <c r="S435" t="s">
        <v>4260</v>
      </c>
      <c r="T435" t="s">
        <v>3863</v>
      </c>
      <c r="X435">
        <v>0</v>
      </c>
      <c r="AA435">
        <v>0</v>
      </c>
    </row>
    <row r="436" spans="1:27">
      <c r="A436" s="1">
        <v>434</v>
      </c>
      <c r="B436">
        <v>4420281</v>
      </c>
      <c r="C436" t="s">
        <v>465</v>
      </c>
      <c r="D436" t="s">
        <v>1442</v>
      </c>
      <c r="E436" t="s">
        <v>2248</v>
      </c>
      <c r="G436">
        <f>""</f>
        <v>0</v>
      </c>
      <c r="H436">
        <f>""</f>
        <v>0</v>
      </c>
      <c r="I436">
        <v>0</v>
      </c>
      <c r="J436">
        <v>3.95</v>
      </c>
      <c r="K436" t="s">
        <v>3250</v>
      </c>
      <c r="L436" t="s">
        <v>3492</v>
      </c>
      <c r="M436">
        <v>304</v>
      </c>
      <c r="N436">
        <v>2008</v>
      </c>
      <c r="O436">
        <v>2008</v>
      </c>
      <c r="Q436" t="s">
        <v>3747</v>
      </c>
      <c r="R436" t="s">
        <v>3863</v>
      </c>
      <c r="S436" t="s">
        <v>4261</v>
      </c>
      <c r="T436" t="s">
        <v>3863</v>
      </c>
      <c r="X436">
        <v>0</v>
      </c>
      <c r="AA436">
        <v>0</v>
      </c>
    </row>
    <row r="437" spans="1:27">
      <c r="A437" s="1">
        <v>435</v>
      </c>
      <c r="B437">
        <v>50088631</v>
      </c>
      <c r="C437" t="s">
        <v>466</v>
      </c>
      <c r="D437" t="s">
        <v>1443</v>
      </c>
      <c r="E437" t="s">
        <v>2249</v>
      </c>
      <c r="G437">
        <f>"038554376X"</f>
        <v>0</v>
      </c>
      <c r="H437">
        <f>"9780385543767"</f>
        <v>0</v>
      </c>
      <c r="I437">
        <v>0</v>
      </c>
      <c r="J437">
        <v>4.15</v>
      </c>
      <c r="K437" t="s">
        <v>3053</v>
      </c>
      <c r="L437" t="s">
        <v>3492</v>
      </c>
      <c r="M437">
        <v>377</v>
      </c>
      <c r="N437">
        <v>2020</v>
      </c>
      <c r="O437">
        <v>2020</v>
      </c>
      <c r="Q437" t="s">
        <v>3748</v>
      </c>
      <c r="R437" t="s">
        <v>3863</v>
      </c>
      <c r="S437" t="s">
        <v>4262</v>
      </c>
      <c r="T437" t="s">
        <v>3863</v>
      </c>
      <c r="X437">
        <v>0</v>
      </c>
      <c r="AA437">
        <v>0</v>
      </c>
    </row>
    <row r="438" spans="1:27">
      <c r="A438" s="1">
        <v>436</v>
      </c>
      <c r="B438">
        <v>9739365</v>
      </c>
      <c r="C438" t="s">
        <v>467</v>
      </c>
      <c r="D438" t="s">
        <v>1444</v>
      </c>
      <c r="E438" t="s">
        <v>2250</v>
      </c>
      <c r="F438" t="s">
        <v>2795</v>
      </c>
      <c r="G438">
        <f>"031269945X"</f>
        <v>0</v>
      </c>
      <c r="H438">
        <f>"9780312699451"</f>
        <v>0</v>
      </c>
      <c r="I438">
        <v>4</v>
      </c>
      <c r="J438">
        <v>4.05</v>
      </c>
      <c r="K438" t="s">
        <v>3162</v>
      </c>
      <c r="L438" t="s">
        <v>3492</v>
      </c>
      <c r="M438">
        <v>331</v>
      </c>
      <c r="N438">
        <v>2011</v>
      </c>
      <c r="O438">
        <v>2011</v>
      </c>
      <c r="Q438" t="s">
        <v>3583</v>
      </c>
      <c r="T438" t="s">
        <v>4621</v>
      </c>
      <c r="X438">
        <v>1</v>
      </c>
      <c r="AA438">
        <v>0</v>
      </c>
    </row>
    <row r="439" spans="1:27">
      <c r="A439" s="1">
        <v>437</v>
      </c>
      <c r="B439">
        <v>3392039</v>
      </c>
      <c r="C439" t="s">
        <v>468</v>
      </c>
      <c r="D439" t="s">
        <v>1445</v>
      </c>
      <c r="E439" t="s">
        <v>2251</v>
      </c>
      <c r="F439" t="s">
        <v>2796</v>
      </c>
      <c r="G439">
        <f>"1596915323"</f>
        <v>0</v>
      </c>
      <c r="H439">
        <f>"9781596915329"</f>
        <v>0</v>
      </c>
      <c r="I439">
        <v>2</v>
      </c>
      <c r="J439">
        <v>3.57</v>
      </c>
      <c r="K439" t="s">
        <v>3251</v>
      </c>
      <c r="L439" t="s">
        <v>3492</v>
      </c>
      <c r="M439">
        <v>545</v>
      </c>
      <c r="N439">
        <v>2008</v>
      </c>
      <c r="O439">
        <v>2009</v>
      </c>
      <c r="Q439" t="s">
        <v>3583</v>
      </c>
      <c r="T439" t="s">
        <v>4621</v>
      </c>
      <c r="X439">
        <v>1</v>
      </c>
      <c r="AA439">
        <v>0</v>
      </c>
    </row>
    <row r="440" spans="1:27">
      <c r="A440" s="1">
        <v>438</v>
      </c>
      <c r="B440">
        <v>55030</v>
      </c>
      <c r="C440" t="s">
        <v>469</v>
      </c>
      <c r="D440" t="s">
        <v>1446</v>
      </c>
      <c r="E440" t="s">
        <v>2252</v>
      </c>
      <c r="G440">
        <f>"0375508325"</f>
        <v>0</v>
      </c>
      <c r="H440">
        <f>"9780375508325"</f>
        <v>0</v>
      </c>
      <c r="I440">
        <v>3</v>
      </c>
      <c r="J440">
        <v>4.38</v>
      </c>
      <c r="K440" t="s">
        <v>3039</v>
      </c>
      <c r="L440" t="s">
        <v>3495</v>
      </c>
      <c r="M440">
        <v>365</v>
      </c>
      <c r="N440">
        <v>2002</v>
      </c>
      <c r="O440">
        <v>1980</v>
      </c>
      <c r="Q440" t="s">
        <v>3583</v>
      </c>
      <c r="T440" t="s">
        <v>4621</v>
      </c>
      <c r="X440">
        <v>1</v>
      </c>
      <c r="AA440">
        <v>0</v>
      </c>
    </row>
    <row r="441" spans="1:27">
      <c r="A441" s="1">
        <v>439</v>
      </c>
      <c r="B441">
        <v>3869</v>
      </c>
      <c r="C441" t="s">
        <v>470</v>
      </c>
      <c r="D441" t="s">
        <v>1447</v>
      </c>
      <c r="E441" t="s">
        <v>2253</v>
      </c>
      <c r="G441">
        <f>"0553380168"</f>
        <v>0</v>
      </c>
      <c r="H441">
        <f>"9780553380163"</f>
        <v>0</v>
      </c>
      <c r="I441">
        <v>3</v>
      </c>
      <c r="J441">
        <v>4.2</v>
      </c>
      <c r="K441" t="s">
        <v>3164</v>
      </c>
      <c r="L441" t="s">
        <v>3491</v>
      </c>
      <c r="M441">
        <v>213</v>
      </c>
      <c r="N441">
        <v>1998</v>
      </c>
      <c r="O441">
        <v>1988</v>
      </c>
      <c r="Q441" t="s">
        <v>3583</v>
      </c>
      <c r="T441" t="s">
        <v>4621</v>
      </c>
      <c r="X441">
        <v>1</v>
      </c>
      <c r="AA441">
        <v>0</v>
      </c>
    </row>
    <row r="442" spans="1:27">
      <c r="A442" s="1">
        <v>440</v>
      </c>
      <c r="B442">
        <v>8701960</v>
      </c>
      <c r="C442" t="s">
        <v>471</v>
      </c>
      <c r="D442" t="s">
        <v>1448</v>
      </c>
      <c r="E442" t="s">
        <v>2254</v>
      </c>
      <c r="G442">
        <f>"0375423729"</f>
        <v>0</v>
      </c>
      <c r="H442">
        <f>"9780375423727"</f>
        <v>0</v>
      </c>
      <c r="I442">
        <v>5</v>
      </c>
      <c r="J442">
        <v>4.02</v>
      </c>
      <c r="K442" t="s">
        <v>3252</v>
      </c>
      <c r="L442" t="s">
        <v>3492</v>
      </c>
      <c r="M442">
        <v>527</v>
      </c>
      <c r="N442">
        <v>2011</v>
      </c>
      <c r="O442">
        <v>2011</v>
      </c>
      <c r="Q442" t="s">
        <v>3583</v>
      </c>
      <c r="R442" t="s">
        <v>3862</v>
      </c>
      <c r="S442" t="s">
        <v>4263</v>
      </c>
      <c r="T442" t="s">
        <v>4621</v>
      </c>
      <c r="X442">
        <v>1</v>
      </c>
      <c r="AA442">
        <v>0</v>
      </c>
    </row>
    <row r="443" spans="1:27">
      <c r="A443" s="1">
        <v>441</v>
      </c>
      <c r="B443">
        <v>6346975</v>
      </c>
      <c r="C443" t="s">
        <v>472</v>
      </c>
      <c r="D443" t="s">
        <v>1449</v>
      </c>
      <c r="E443" t="s">
        <v>2255</v>
      </c>
      <c r="G443">
        <f>"159420229X"</f>
        <v>0</v>
      </c>
      <c r="H443">
        <f>"9781594202292"</f>
        <v>0</v>
      </c>
      <c r="I443">
        <v>4</v>
      </c>
      <c r="J443">
        <v>3.87</v>
      </c>
      <c r="K443" t="s">
        <v>3253</v>
      </c>
      <c r="L443" t="s">
        <v>3492</v>
      </c>
      <c r="M443">
        <v>307</v>
      </c>
      <c r="N443">
        <v>2011</v>
      </c>
      <c r="O443">
        <v>2011</v>
      </c>
      <c r="Q443" t="s">
        <v>3583</v>
      </c>
      <c r="T443" t="s">
        <v>4621</v>
      </c>
      <c r="X443">
        <v>1</v>
      </c>
      <c r="AA443">
        <v>0</v>
      </c>
    </row>
    <row r="444" spans="1:27">
      <c r="A444" s="1">
        <v>442</v>
      </c>
      <c r="B444">
        <v>21</v>
      </c>
      <c r="C444" t="s">
        <v>473</v>
      </c>
      <c r="D444" t="s">
        <v>1450</v>
      </c>
      <c r="E444" t="s">
        <v>2256</v>
      </c>
      <c r="G444">
        <f>"076790818X"</f>
        <v>0</v>
      </c>
      <c r="H444">
        <f>"9780767908184"</f>
        <v>0</v>
      </c>
      <c r="I444">
        <v>4</v>
      </c>
      <c r="J444">
        <v>4.2</v>
      </c>
      <c r="K444" t="s">
        <v>3109</v>
      </c>
      <c r="L444" t="s">
        <v>3491</v>
      </c>
      <c r="M444">
        <v>544</v>
      </c>
      <c r="N444">
        <v>2004</v>
      </c>
      <c r="O444">
        <v>2003</v>
      </c>
      <c r="Q444" t="s">
        <v>3583</v>
      </c>
      <c r="T444" t="s">
        <v>4621</v>
      </c>
      <c r="X444">
        <v>1</v>
      </c>
      <c r="AA444">
        <v>0</v>
      </c>
    </row>
    <row r="445" spans="1:27">
      <c r="A445" s="1">
        <v>443</v>
      </c>
      <c r="B445">
        <v>363486</v>
      </c>
      <c r="C445" t="s">
        <v>474</v>
      </c>
      <c r="D445" t="s">
        <v>1451</v>
      </c>
      <c r="E445" t="s">
        <v>2257</v>
      </c>
      <c r="G445">
        <f>"0700610294"</f>
        <v>0</v>
      </c>
      <c r="H445">
        <f>"9780700610297"</f>
        <v>0</v>
      </c>
      <c r="I445">
        <v>2</v>
      </c>
      <c r="J445">
        <v>3.95</v>
      </c>
      <c r="K445" t="s">
        <v>3187</v>
      </c>
      <c r="L445" t="s">
        <v>3491</v>
      </c>
      <c r="M445">
        <v>446</v>
      </c>
      <c r="N445">
        <v>1998</v>
      </c>
      <c r="O445">
        <v>1998</v>
      </c>
      <c r="Q445" t="s">
        <v>3583</v>
      </c>
      <c r="T445" t="s">
        <v>4621</v>
      </c>
      <c r="X445">
        <v>1</v>
      </c>
      <c r="AA445">
        <v>0</v>
      </c>
    </row>
    <row r="446" spans="1:27">
      <c r="A446" s="1">
        <v>444</v>
      </c>
      <c r="B446">
        <v>6117055</v>
      </c>
      <c r="C446" t="s">
        <v>475</v>
      </c>
      <c r="D446" t="s">
        <v>1452</v>
      </c>
      <c r="E446" t="s">
        <v>2258</v>
      </c>
      <c r="G446">
        <f>"059306173X"</f>
        <v>0</v>
      </c>
      <c r="H446">
        <f>"9780593061732"</f>
        <v>0</v>
      </c>
      <c r="I446">
        <v>3</v>
      </c>
      <c r="J446">
        <v>4.15</v>
      </c>
      <c r="K446" t="s">
        <v>3254</v>
      </c>
      <c r="L446" t="s">
        <v>3492</v>
      </c>
      <c r="M446">
        <v>470</v>
      </c>
      <c r="N446">
        <v>2009</v>
      </c>
      <c r="O446">
        <v>2009</v>
      </c>
      <c r="Q446" t="s">
        <v>3583</v>
      </c>
      <c r="T446" t="s">
        <v>4621</v>
      </c>
      <c r="X446">
        <v>1</v>
      </c>
      <c r="AA446">
        <v>0</v>
      </c>
    </row>
    <row r="447" spans="1:27">
      <c r="A447" s="1">
        <v>445</v>
      </c>
      <c r="B447">
        <v>431898</v>
      </c>
      <c r="C447" t="s">
        <v>476</v>
      </c>
      <c r="D447" t="s">
        <v>1453</v>
      </c>
      <c r="E447" t="s">
        <v>2259</v>
      </c>
      <c r="F447" t="s">
        <v>2797</v>
      </c>
      <c r="G447">
        <f>"1400046955"</f>
        <v>0</v>
      </c>
      <c r="H447">
        <f>"9781400046959"</f>
        <v>0</v>
      </c>
      <c r="I447">
        <v>3</v>
      </c>
      <c r="J447">
        <v>4.21</v>
      </c>
      <c r="K447" t="s">
        <v>3255</v>
      </c>
      <c r="L447" t="s">
        <v>3491</v>
      </c>
      <c r="M447">
        <v>384</v>
      </c>
      <c r="N447">
        <v>2003</v>
      </c>
      <c r="O447">
        <v>2001</v>
      </c>
      <c r="Q447" t="s">
        <v>3583</v>
      </c>
      <c r="T447" t="s">
        <v>4621</v>
      </c>
      <c r="X447">
        <v>1</v>
      </c>
      <c r="AA447">
        <v>0</v>
      </c>
    </row>
    <row r="448" spans="1:27">
      <c r="A448" s="1">
        <v>446</v>
      </c>
      <c r="B448">
        <v>1303</v>
      </c>
      <c r="C448" t="s">
        <v>477</v>
      </c>
      <c r="D448" t="s">
        <v>1454</v>
      </c>
      <c r="E448" t="s">
        <v>2260</v>
      </c>
      <c r="F448" t="s">
        <v>2798</v>
      </c>
      <c r="G448">
        <f>"0140280197"</f>
        <v>0</v>
      </c>
      <c r="H448">
        <f>"9780140280197"</f>
        <v>0</v>
      </c>
      <c r="I448">
        <v>4</v>
      </c>
      <c r="J448">
        <v>4.14</v>
      </c>
      <c r="K448" t="s">
        <v>3010</v>
      </c>
      <c r="L448" t="s">
        <v>3491</v>
      </c>
      <c r="M448">
        <v>452</v>
      </c>
      <c r="N448">
        <v>2000</v>
      </c>
      <c r="O448">
        <v>1998</v>
      </c>
      <c r="Q448" t="s">
        <v>3583</v>
      </c>
      <c r="T448" t="s">
        <v>4621</v>
      </c>
      <c r="X448">
        <v>1</v>
      </c>
      <c r="AA448">
        <v>0</v>
      </c>
    </row>
    <row r="449" spans="1:27">
      <c r="A449" s="1">
        <v>447</v>
      </c>
      <c r="B449">
        <v>9755391</v>
      </c>
      <c r="C449" t="s">
        <v>478</v>
      </c>
      <c r="D449" t="s">
        <v>1455</v>
      </c>
      <c r="E449" t="s">
        <v>2261</v>
      </c>
      <c r="F449" t="s">
        <v>2799</v>
      </c>
      <c r="G449">
        <f>"0553807579"</f>
        <v>0</v>
      </c>
      <c r="H449">
        <f>"9780553807578"</f>
        <v>0</v>
      </c>
      <c r="I449">
        <v>2</v>
      </c>
      <c r="J449">
        <v>4.33</v>
      </c>
      <c r="K449" t="s">
        <v>3256</v>
      </c>
      <c r="L449" t="s">
        <v>3492</v>
      </c>
      <c r="M449">
        <v>280</v>
      </c>
      <c r="N449">
        <v>2011</v>
      </c>
      <c r="O449">
        <v>2011</v>
      </c>
      <c r="Q449" t="s">
        <v>3583</v>
      </c>
      <c r="T449" t="s">
        <v>4621</v>
      </c>
      <c r="X449">
        <v>1</v>
      </c>
      <c r="AA449">
        <v>0</v>
      </c>
    </row>
    <row r="450" spans="1:27">
      <c r="A450" s="1">
        <v>448</v>
      </c>
      <c r="B450">
        <v>115587</v>
      </c>
      <c r="C450" t="s">
        <v>479</v>
      </c>
      <c r="D450" t="s">
        <v>1456</v>
      </c>
      <c r="E450" t="s">
        <v>2262</v>
      </c>
      <c r="G450">
        <f>"0385339364"</f>
        <v>0</v>
      </c>
      <c r="H450">
        <f>"9780385339360"</f>
        <v>0</v>
      </c>
      <c r="I450">
        <v>4</v>
      </c>
      <c r="J450">
        <v>4.16</v>
      </c>
      <c r="K450" t="s">
        <v>3070</v>
      </c>
      <c r="L450" t="s">
        <v>3491</v>
      </c>
      <c r="M450">
        <v>324</v>
      </c>
      <c r="N450">
        <v>2005</v>
      </c>
      <c r="O450">
        <v>2002</v>
      </c>
      <c r="Q450" t="s">
        <v>3583</v>
      </c>
      <c r="T450" t="s">
        <v>4621</v>
      </c>
      <c r="X450">
        <v>1</v>
      </c>
      <c r="AA450">
        <v>0</v>
      </c>
    </row>
    <row r="451" spans="1:27">
      <c r="A451" s="1">
        <v>449</v>
      </c>
      <c r="B451">
        <v>2334090</v>
      </c>
      <c r="C451" t="s">
        <v>480</v>
      </c>
      <c r="D451" t="s">
        <v>1457</v>
      </c>
      <c r="E451" t="s">
        <v>2263</v>
      </c>
      <c r="F451" t="s">
        <v>1457</v>
      </c>
      <c r="G451">
        <f>"0498025411"</f>
        <v>0</v>
      </c>
      <c r="H451">
        <f>"9780498025419"</f>
        <v>0</v>
      </c>
      <c r="I451">
        <v>3</v>
      </c>
      <c r="J451">
        <v>3.88</v>
      </c>
      <c r="K451" t="s">
        <v>3257</v>
      </c>
      <c r="L451" t="s">
        <v>3492</v>
      </c>
      <c r="M451">
        <v>273</v>
      </c>
      <c r="N451">
        <v>1981</v>
      </c>
      <c r="O451">
        <v>1981</v>
      </c>
      <c r="Q451" t="s">
        <v>3583</v>
      </c>
      <c r="T451" t="s">
        <v>4621</v>
      </c>
      <c r="X451">
        <v>1</v>
      </c>
      <c r="AA451">
        <v>0</v>
      </c>
    </row>
    <row r="452" spans="1:27">
      <c r="A452" s="1">
        <v>450</v>
      </c>
      <c r="B452">
        <v>3228917</v>
      </c>
      <c r="C452" t="s">
        <v>481</v>
      </c>
      <c r="D452" t="s">
        <v>1458</v>
      </c>
      <c r="E452" t="s">
        <v>2264</v>
      </c>
      <c r="G452">
        <f>"0316017922"</f>
        <v>0</v>
      </c>
      <c r="H452">
        <f>"9780316017923"</f>
        <v>0</v>
      </c>
      <c r="I452">
        <v>3</v>
      </c>
      <c r="J452">
        <v>4.18</v>
      </c>
      <c r="K452" t="s">
        <v>3258</v>
      </c>
      <c r="L452" t="s">
        <v>3492</v>
      </c>
      <c r="M452">
        <v>309</v>
      </c>
      <c r="N452">
        <v>2008</v>
      </c>
      <c r="O452">
        <v>2008</v>
      </c>
      <c r="Q452" t="s">
        <v>3583</v>
      </c>
      <c r="T452" t="s">
        <v>4621</v>
      </c>
      <c r="X452">
        <v>1</v>
      </c>
      <c r="AA452">
        <v>0</v>
      </c>
    </row>
    <row r="453" spans="1:27">
      <c r="A453" s="1">
        <v>451</v>
      </c>
      <c r="B453">
        <v>95734</v>
      </c>
      <c r="C453" t="s">
        <v>482</v>
      </c>
      <c r="D453" t="s">
        <v>1459</v>
      </c>
      <c r="E453" t="s">
        <v>2265</v>
      </c>
      <c r="G453">
        <f>"1573229377"</f>
        <v>0</v>
      </c>
      <c r="H453">
        <f>"9781573229371"</f>
        <v>0</v>
      </c>
      <c r="I453">
        <v>2</v>
      </c>
      <c r="J453">
        <v>4.03</v>
      </c>
      <c r="K453" t="s">
        <v>3090</v>
      </c>
      <c r="L453" t="s">
        <v>3491</v>
      </c>
      <c r="M453">
        <v>227</v>
      </c>
      <c r="N453">
        <v>2002</v>
      </c>
      <c r="O453">
        <v>2001</v>
      </c>
      <c r="Q453" t="s">
        <v>3583</v>
      </c>
      <c r="T453" t="s">
        <v>4621</v>
      </c>
      <c r="X453">
        <v>1</v>
      </c>
      <c r="AA453">
        <v>0</v>
      </c>
    </row>
    <row r="454" spans="1:27">
      <c r="A454" s="1">
        <v>452</v>
      </c>
      <c r="B454">
        <v>4069</v>
      </c>
      <c r="C454" t="s">
        <v>483</v>
      </c>
      <c r="D454" t="s">
        <v>1460</v>
      </c>
      <c r="E454" t="s">
        <v>2266</v>
      </c>
      <c r="F454" t="s">
        <v>2800</v>
      </c>
      <c r="G454">
        <f>"080701429X"</f>
        <v>0</v>
      </c>
      <c r="H454">
        <f>"9780807014295"</f>
        <v>0</v>
      </c>
      <c r="I454">
        <v>3</v>
      </c>
      <c r="J454">
        <v>4.36</v>
      </c>
      <c r="K454" t="s">
        <v>3259</v>
      </c>
      <c r="L454" t="s">
        <v>3491</v>
      </c>
      <c r="M454">
        <v>165</v>
      </c>
      <c r="N454">
        <v>2006</v>
      </c>
      <c r="O454">
        <v>1946</v>
      </c>
      <c r="Q454" t="s">
        <v>3583</v>
      </c>
      <c r="T454" t="s">
        <v>4621</v>
      </c>
      <c r="X454">
        <v>1</v>
      </c>
      <c r="AA454">
        <v>0</v>
      </c>
    </row>
    <row r="455" spans="1:27">
      <c r="A455" s="1">
        <v>453</v>
      </c>
      <c r="B455">
        <v>1945282</v>
      </c>
      <c r="C455" t="s">
        <v>484</v>
      </c>
      <c r="D455" t="s">
        <v>1461</v>
      </c>
      <c r="E455" t="s">
        <v>2267</v>
      </c>
      <c r="G455">
        <f>"0425053466"</f>
        <v>0</v>
      </c>
      <c r="H455">
        <f>"9780425053461"</f>
        <v>0</v>
      </c>
      <c r="I455">
        <v>3</v>
      </c>
      <c r="J455">
        <v>4.12</v>
      </c>
      <c r="K455" t="s">
        <v>3086</v>
      </c>
      <c r="L455" t="s">
        <v>3491</v>
      </c>
      <c r="M455">
        <v>0</v>
      </c>
      <c r="N455">
        <v>1982</v>
      </c>
      <c r="O455">
        <v>1980</v>
      </c>
      <c r="Q455" t="s">
        <v>3583</v>
      </c>
      <c r="T455" t="s">
        <v>4621</v>
      </c>
      <c r="X455">
        <v>1</v>
      </c>
      <c r="AA455">
        <v>0</v>
      </c>
    </row>
    <row r="456" spans="1:27">
      <c r="A456" s="1">
        <v>454</v>
      </c>
      <c r="B456">
        <v>937696</v>
      </c>
      <c r="C456" t="s">
        <v>485</v>
      </c>
      <c r="D456" t="s">
        <v>1462</v>
      </c>
      <c r="E456" t="s">
        <v>2268</v>
      </c>
      <c r="G456">
        <f>"0891418725"</f>
        <v>0</v>
      </c>
      <c r="H456">
        <f>"9780891418726"</f>
        <v>0</v>
      </c>
      <c r="I456">
        <v>3</v>
      </c>
      <c r="J456">
        <v>4.03</v>
      </c>
      <c r="K456" t="s">
        <v>3260</v>
      </c>
      <c r="L456" t="s">
        <v>3492</v>
      </c>
      <c r="M456">
        <v>379</v>
      </c>
      <c r="N456">
        <v>2005</v>
      </c>
      <c r="O456">
        <v>2005</v>
      </c>
      <c r="Q456" t="s">
        <v>3583</v>
      </c>
      <c r="T456" t="s">
        <v>4621</v>
      </c>
      <c r="X456">
        <v>1</v>
      </c>
      <c r="AA456">
        <v>0</v>
      </c>
    </row>
    <row r="457" spans="1:27">
      <c r="A457" s="1">
        <v>455</v>
      </c>
      <c r="B457">
        <v>13160142</v>
      </c>
      <c r="C457" t="s">
        <v>486</v>
      </c>
      <c r="D457" t="s">
        <v>1463</v>
      </c>
      <c r="E457" t="s">
        <v>2269</v>
      </c>
      <c r="G457">
        <f>"0310330718"</f>
        <v>0</v>
      </c>
      <c r="H457">
        <f>"9780310330714"</f>
        <v>0</v>
      </c>
      <c r="I457">
        <v>1</v>
      </c>
      <c r="J457">
        <v>4.16</v>
      </c>
      <c r="K457" t="s">
        <v>3261</v>
      </c>
      <c r="L457" t="s">
        <v>3492</v>
      </c>
      <c r="M457">
        <v>224</v>
      </c>
      <c r="N457">
        <v>2012</v>
      </c>
      <c r="O457">
        <v>2011</v>
      </c>
      <c r="Q457" t="s">
        <v>3583</v>
      </c>
      <c r="T457" t="s">
        <v>4621</v>
      </c>
      <c r="X457">
        <v>1</v>
      </c>
      <c r="AA457">
        <v>0</v>
      </c>
    </row>
    <row r="458" spans="1:27">
      <c r="A458" s="1">
        <v>456</v>
      </c>
      <c r="B458">
        <v>17098</v>
      </c>
      <c r="C458" t="s">
        <v>487</v>
      </c>
      <c r="D458" t="s">
        <v>1448</v>
      </c>
      <c r="E458" t="s">
        <v>2254</v>
      </c>
      <c r="G458">
        <f>"1400032954"</f>
        <v>0</v>
      </c>
      <c r="H458">
        <f>"9781400032952"</f>
        <v>0</v>
      </c>
      <c r="I458">
        <v>2</v>
      </c>
      <c r="J458">
        <v>3.75</v>
      </c>
      <c r="K458" t="s">
        <v>3029</v>
      </c>
      <c r="L458" t="s">
        <v>3491</v>
      </c>
      <c r="M458">
        <v>288</v>
      </c>
      <c r="N458">
        <v>2004</v>
      </c>
      <c r="O458">
        <v>2003</v>
      </c>
      <c r="Q458" t="s">
        <v>3583</v>
      </c>
      <c r="T458" t="s">
        <v>4621</v>
      </c>
      <c r="X458">
        <v>1</v>
      </c>
      <c r="AA458">
        <v>0</v>
      </c>
    </row>
    <row r="459" spans="1:27">
      <c r="A459" s="1">
        <v>457</v>
      </c>
      <c r="B459">
        <v>12296</v>
      </c>
      <c r="C459" t="s">
        <v>488</v>
      </c>
      <c r="D459" t="s">
        <v>1464</v>
      </c>
      <c r="E459" t="s">
        <v>2270</v>
      </c>
      <c r="F459" t="s">
        <v>2801</v>
      </c>
      <c r="G459">
        <f>"0142437263"</f>
        <v>0</v>
      </c>
      <c r="H459">
        <f>"9780142437261"</f>
        <v>0</v>
      </c>
      <c r="I459">
        <v>2</v>
      </c>
      <c r="J459">
        <v>3.43</v>
      </c>
      <c r="K459" t="s">
        <v>3010</v>
      </c>
      <c r="L459" t="s">
        <v>3491</v>
      </c>
      <c r="M459">
        <v>279</v>
      </c>
      <c r="N459">
        <v>2003</v>
      </c>
      <c r="O459">
        <v>1850</v>
      </c>
      <c r="Q459" t="s">
        <v>3583</v>
      </c>
      <c r="T459" t="s">
        <v>4621</v>
      </c>
      <c r="X459">
        <v>1</v>
      </c>
      <c r="AA459">
        <v>0</v>
      </c>
    </row>
    <row r="460" spans="1:27">
      <c r="A460" s="1">
        <v>458</v>
      </c>
      <c r="B460">
        <v>49552</v>
      </c>
      <c r="C460" t="s">
        <v>489</v>
      </c>
      <c r="D460" t="s">
        <v>1465</v>
      </c>
      <c r="E460" t="s">
        <v>2271</v>
      </c>
      <c r="F460" t="s">
        <v>2802</v>
      </c>
      <c r="G460">
        <f>""</f>
        <v>0</v>
      </c>
      <c r="H460">
        <f>""</f>
        <v>0</v>
      </c>
      <c r="I460">
        <v>2</v>
      </c>
      <c r="J460">
        <v>4</v>
      </c>
      <c r="K460" t="s">
        <v>3262</v>
      </c>
      <c r="L460" t="s">
        <v>3491</v>
      </c>
      <c r="M460">
        <v>159</v>
      </c>
      <c r="N460">
        <v>1989</v>
      </c>
      <c r="O460">
        <v>1942</v>
      </c>
      <c r="Q460" t="s">
        <v>3583</v>
      </c>
      <c r="T460" t="s">
        <v>4621</v>
      </c>
      <c r="X460">
        <v>1</v>
      </c>
      <c r="AA460">
        <v>0</v>
      </c>
    </row>
    <row r="461" spans="1:27">
      <c r="A461" s="1">
        <v>459</v>
      </c>
      <c r="B461">
        <v>7144</v>
      </c>
      <c r="C461" t="s">
        <v>490</v>
      </c>
      <c r="D461" t="s">
        <v>1319</v>
      </c>
      <c r="E461" t="s">
        <v>2125</v>
      </c>
      <c r="F461" t="s">
        <v>2803</v>
      </c>
      <c r="G461">
        <f>"0143058142"</f>
        <v>0</v>
      </c>
      <c r="H461">
        <f>"9780143058144"</f>
        <v>0</v>
      </c>
      <c r="I461">
        <v>4</v>
      </c>
      <c r="J461">
        <v>4.25</v>
      </c>
      <c r="K461" t="s">
        <v>3072</v>
      </c>
      <c r="L461" t="s">
        <v>3491</v>
      </c>
      <c r="M461">
        <v>671</v>
      </c>
      <c r="N461">
        <v>2002</v>
      </c>
      <c r="O461">
        <v>1866</v>
      </c>
      <c r="Q461" t="s">
        <v>3583</v>
      </c>
      <c r="T461" t="s">
        <v>4621</v>
      </c>
      <c r="X461">
        <v>1</v>
      </c>
      <c r="AA461">
        <v>0</v>
      </c>
    </row>
    <row r="462" spans="1:27">
      <c r="A462" s="1">
        <v>460</v>
      </c>
      <c r="B462">
        <v>5695</v>
      </c>
      <c r="C462" t="s">
        <v>491</v>
      </c>
      <c r="D462" t="s">
        <v>1319</v>
      </c>
      <c r="E462" t="s">
        <v>2125</v>
      </c>
      <c r="F462" t="s">
        <v>2804</v>
      </c>
      <c r="G462">
        <f>""</f>
        <v>0</v>
      </c>
      <c r="H462">
        <f>""</f>
        <v>0</v>
      </c>
      <c r="I462">
        <v>2</v>
      </c>
      <c r="J462">
        <v>4.29</v>
      </c>
      <c r="K462" t="s">
        <v>3029</v>
      </c>
      <c r="L462" t="s">
        <v>3491</v>
      </c>
      <c r="M462">
        <v>733</v>
      </c>
      <c r="N462">
        <v>1995</v>
      </c>
      <c r="O462">
        <v>1871</v>
      </c>
      <c r="Q462" t="s">
        <v>3583</v>
      </c>
      <c r="T462" t="s">
        <v>4621</v>
      </c>
      <c r="X462">
        <v>1</v>
      </c>
      <c r="AA462">
        <v>0</v>
      </c>
    </row>
    <row r="463" spans="1:27">
      <c r="A463" s="1">
        <v>461</v>
      </c>
      <c r="B463">
        <v>1097</v>
      </c>
      <c r="C463" t="s">
        <v>492</v>
      </c>
      <c r="D463" t="s">
        <v>1466</v>
      </c>
      <c r="E463" t="s">
        <v>2272</v>
      </c>
      <c r="G463">
        <f>"0060838582"</f>
        <v>0</v>
      </c>
      <c r="H463">
        <f>"9780060838584"</f>
        <v>0</v>
      </c>
      <c r="I463">
        <v>2</v>
      </c>
      <c r="J463">
        <v>3.75</v>
      </c>
      <c r="K463" t="s">
        <v>2997</v>
      </c>
      <c r="L463" t="s">
        <v>3491</v>
      </c>
      <c r="M463">
        <v>399</v>
      </c>
      <c r="N463">
        <v>2005</v>
      </c>
      <c r="O463">
        <v>2001</v>
      </c>
      <c r="Q463" t="s">
        <v>3583</v>
      </c>
      <c r="T463" t="s">
        <v>4621</v>
      </c>
      <c r="X463">
        <v>1</v>
      </c>
      <c r="AA463">
        <v>0</v>
      </c>
    </row>
    <row r="464" spans="1:27">
      <c r="A464" s="1">
        <v>462</v>
      </c>
      <c r="B464">
        <v>30659</v>
      </c>
      <c r="C464" t="s">
        <v>493</v>
      </c>
      <c r="D464" t="s">
        <v>1467</v>
      </c>
      <c r="E464" t="s">
        <v>2273</v>
      </c>
      <c r="F464" t="s">
        <v>2805</v>
      </c>
      <c r="G464">
        <f>"0140449337"</f>
        <v>0</v>
      </c>
      <c r="H464">
        <f>"9780140449334"</f>
        <v>0</v>
      </c>
      <c r="I464">
        <v>5</v>
      </c>
      <c r="J464">
        <v>4.25</v>
      </c>
      <c r="K464" t="s">
        <v>3010</v>
      </c>
      <c r="L464" t="s">
        <v>3491</v>
      </c>
      <c r="M464">
        <v>254</v>
      </c>
      <c r="N464">
        <v>2006</v>
      </c>
      <c r="O464">
        <v>180</v>
      </c>
      <c r="Q464" t="s">
        <v>3583</v>
      </c>
      <c r="R464" t="s">
        <v>3862</v>
      </c>
      <c r="S464" t="s">
        <v>4264</v>
      </c>
      <c r="T464" t="s">
        <v>4621</v>
      </c>
      <c r="X464">
        <v>1</v>
      </c>
      <c r="AA464">
        <v>0</v>
      </c>
    </row>
    <row r="465" spans="1:27">
      <c r="A465" s="1">
        <v>463</v>
      </c>
      <c r="B465">
        <v>3690</v>
      </c>
      <c r="C465" t="s">
        <v>494</v>
      </c>
      <c r="D465" t="s">
        <v>1076</v>
      </c>
      <c r="E465" t="s">
        <v>1883</v>
      </c>
      <c r="F465" t="s">
        <v>2806</v>
      </c>
      <c r="G465">
        <f>"0142437301"</f>
        <v>0</v>
      </c>
      <c r="H465">
        <f>"9780142437308"</f>
        <v>0</v>
      </c>
      <c r="I465">
        <v>3</v>
      </c>
      <c r="J465">
        <v>3.97</v>
      </c>
      <c r="K465" t="s">
        <v>3010</v>
      </c>
      <c r="L465" t="s">
        <v>3491</v>
      </c>
      <c r="M465">
        <v>222</v>
      </c>
      <c r="N465">
        <v>2003</v>
      </c>
      <c r="O465">
        <v>1940</v>
      </c>
      <c r="Q465" t="s">
        <v>3583</v>
      </c>
      <c r="T465" t="s">
        <v>4621</v>
      </c>
      <c r="X465">
        <v>1</v>
      </c>
      <c r="AA465">
        <v>0</v>
      </c>
    </row>
    <row r="466" spans="1:27">
      <c r="A466" s="1">
        <v>464</v>
      </c>
      <c r="B466">
        <v>111300</v>
      </c>
      <c r="C466" t="s">
        <v>495</v>
      </c>
      <c r="D466" t="s">
        <v>1092</v>
      </c>
      <c r="E466" t="s">
        <v>1899</v>
      </c>
      <c r="F466" t="s">
        <v>2807</v>
      </c>
      <c r="G466">
        <f>"0141185503"</f>
        <v>0</v>
      </c>
      <c r="H466">
        <f>"9780141185507"</f>
        <v>0</v>
      </c>
      <c r="I466">
        <v>2</v>
      </c>
      <c r="J466">
        <v>3.94</v>
      </c>
      <c r="K466" t="s">
        <v>3146</v>
      </c>
      <c r="L466" t="s">
        <v>3491</v>
      </c>
      <c r="M466">
        <v>240</v>
      </c>
      <c r="N466">
        <v>2000</v>
      </c>
      <c r="O466">
        <v>1933</v>
      </c>
      <c r="Q466" t="s">
        <v>3583</v>
      </c>
      <c r="T466" t="s">
        <v>4621</v>
      </c>
      <c r="X466">
        <v>1</v>
      </c>
      <c r="AA466">
        <v>0</v>
      </c>
    </row>
    <row r="467" spans="1:27">
      <c r="A467" s="1">
        <v>465</v>
      </c>
      <c r="B467">
        <v>5470</v>
      </c>
      <c r="C467" t="s">
        <v>496</v>
      </c>
      <c r="D467" t="s">
        <v>1106</v>
      </c>
      <c r="E467" t="s">
        <v>1913</v>
      </c>
      <c r="F467" t="s">
        <v>2808</v>
      </c>
      <c r="G467">
        <f>""</f>
        <v>0</v>
      </c>
      <c r="H467">
        <f>""</f>
        <v>0</v>
      </c>
      <c r="I467">
        <v>3</v>
      </c>
      <c r="J467">
        <v>4.19</v>
      </c>
      <c r="K467" t="s">
        <v>3263</v>
      </c>
      <c r="L467" t="s">
        <v>3495</v>
      </c>
      <c r="M467">
        <v>328</v>
      </c>
      <c r="N467">
        <v>1950</v>
      </c>
      <c r="O467">
        <v>1949</v>
      </c>
      <c r="Q467" t="s">
        <v>3583</v>
      </c>
      <c r="T467" t="s">
        <v>4621</v>
      </c>
      <c r="X467">
        <v>1</v>
      </c>
      <c r="AA467">
        <v>0</v>
      </c>
    </row>
    <row r="468" spans="1:27">
      <c r="A468" s="1">
        <v>466</v>
      </c>
      <c r="B468">
        <v>7624</v>
      </c>
      <c r="C468" t="s">
        <v>497</v>
      </c>
      <c r="D468" t="s">
        <v>1468</v>
      </c>
      <c r="E468" t="s">
        <v>2274</v>
      </c>
      <c r="G468">
        <f>"0140283331"</f>
        <v>0</v>
      </c>
      <c r="H468">
        <f>"9780140283334"</f>
        <v>0</v>
      </c>
      <c r="I468">
        <v>2</v>
      </c>
      <c r="J468">
        <v>3.69</v>
      </c>
      <c r="K468" t="s">
        <v>3264</v>
      </c>
      <c r="L468" t="s">
        <v>3491</v>
      </c>
      <c r="M468">
        <v>182</v>
      </c>
      <c r="N468">
        <v>1999</v>
      </c>
      <c r="O468">
        <v>1954</v>
      </c>
      <c r="Q468" t="s">
        <v>3583</v>
      </c>
      <c r="T468" t="s">
        <v>4621</v>
      </c>
      <c r="X468">
        <v>1</v>
      </c>
      <c r="AA468">
        <v>0</v>
      </c>
    </row>
    <row r="469" spans="1:27">
      <c r="A469" s="1">
        <v>467</v>
      </c>
      <c r="B469">
        <v>43536</v>
      </c>
      <c r="C469" t="s">
        <v>498</v>
      </c>
      <c r="D469" t="s">
        <v>1469</v>
      </c>
      <c r="E469" t="s">
        <v>2275</v>
      </c>
      <c r="F469" t="s">
        <v>2809</v>
      </c>
      <c r="G469">
        <f>"0809230410"</f>
        <v>0</v>
      </c>
      <c r="H469">
        <f>"9780809230419"</f>
        <v>0</v>
      </c>
      <c r="I469">
        <v>3</v>
      </c>
      <c r="J469">
        <v>4.46</v>
      </c>
      <c r="K469" t="s">
        <v>3265</v>
      </c>
      <c r="L469" t="s">
        <v>3492</v>
      </c>
      <c r="M469">
        <v>201</v>
      </c>
      <c r="N469">
        <v>1997</v>
      </c>
      <c r="O469">
        <v>1997</v>
      </c>
      <c r="Q469" t="s">
        <v>3583</v>
      </c>
      <c r="T469" t="s">
        <v>4621</v>
      </c>
      <c r="X469">
        <v>1</v>
      </c>
      <c r="AA469">
        <v>0</v>
      </c>
    </row>
    <row r="470" spans="1:27">
      <c r="A470" s="1">
        <v>468</v>
      </c>
      <c r="B470">
        <v>48757</v>
      </c>
      <c r="C470" t="s">
        <v>499</v>
      </c>
      <c r="D470" t="s">
        <v>1470</v>
      </c>
      <c r="E470" t="s">
        <v>2276</v>
      </c>
      <c r="F470" t="s">
        <v>2810</v>
      </c>
      <c r="G470">
        <f>"1405204265"</f>
        <v>0</v>
      </c>
      <c r="H470">
        <f>"9781405204262"</f>
        <v>0</v>
      </c>
      <c r="I470">
        <v>2</v>
      </c>
      <c r="J470">
        <v>3.99</v>
      </c>
      <c r="K470" t="s">
        <v>3266</v>
      </c>
      <c r="L470" t="s">
        <v>3491</v>
      </c>
      <c r="M470">
        <v>176</v>
      </c>
      <c r="N470">
        <v>2003</v>
      </c>
      <c r="O470">
        <v>1982</v>
      </c>
      <c r="Q470" t="s">
        <v>3583</v>
      </c>
      <c r="T470" t="s">
        <v>4621</v>
      </c>
      <c r="X470">
        <v>1</v>
      </c>
      <c r="AA470">
        <v>0</v>
      </c>
    </row>
    <row r="471" spans="1:27">
      <c r="A471" s="1">
        <v>469</v>
      </c>
      <c r="B471">
        <v>12917124</v>
      </c>
      <c r="C471" t="s">
        <v>500</v>
      </c>
      <c r="D471" t="s">
        <v>1471</v>
      </c>
      <c r="E471" t="s">
        <v>2277</v>
      </c>
      <c r="G471">
        <f>"0307887170"</f>
        <v>0</v>
      </c>
      <c r="H471">
        <f>"9780307887177"</f>
        <v>0</v>
      </c>
      <c r="I471">
        <v>2</v>
      </c>
      <c r="J471">
        <v>4.1</v>
      </c>
      <c r="K471" t="s">
        <v>3230</v>
      </c>
      <c r="L471" t="s">
        <v>3492</v>
      </c>
      <c r="M471">
        <v>368</v>
      </c>
      <c r="N471">
        <v>2012</v>
      </c>
      <c r="O471">
        <v>2012</v>
      </c>
      <c r="Q471" t="s">
        <v>3583</v>
      </c>
      <c r="T471" t="s">
        <v>4621</v>
      </c>
      <c r="X471">
        <v>1</v>
      </c>
      <c r="AA471">
        <v>0</v>
      </c>
    </row>
    <row r="472" spans="1:27">
      <c r="A472" s="1">
        <v>470</v>
      </c>
      <c r="B472">
        <v>386162</v>
      </c>
      <c r="C472" t="s">
        <v>501</v>
      </c>
      <c r="D472" t="s">
        <v>1472</v>
      </c>
      <c r="E472" t="s">
        <v>2278</v>
      </c>
      <c r="G472">
        <f>""</f>
        <v>0</v>
      </c>
      <c r="H472">
        <f>""</f>
        <v>0</v>
      </c>
      <c r="I472">
        <v>1</v>
      </c>
      <c r="J472">
        <v>4.22</v>
      </c>
      <c r="K472" t="s">
        <v>3267</v>
      </c>
      <c r="L472" t="s">
        <v>3491</v>
      </c>
      <c r="M472">
        <v>193</v>
      </c>
      <c r="N472">
        <v>2007</v>
      </c>
      <c r="O472">
        <v>1979</v>
      </c>
      <c r="Q472" t="s">
        <v>3583</v>
      </c>
      <c r="T472" t="s">
        <v>4621</v>
      </c>
      <c r="X472">
        <v>1</v>
      </c>
      <c r="AA472">
        <v>0</v>
      </c>
    </row>
    <row r="473" spans="1:27">
      <c r="A473" s="1">
        <v>471</v>
      </c>
      <c r="B473">
        <v>242472</v>
      </c>
      <c r="C473" t="s">
        <v>502</v>
      </c>
      <c r="D473" t="s">
        <v>1473</v>
      </c>
      <c r="E473" t="s">
        <v>2279</v>
      </c>
      <c r="F473" t="s">
        <v>2811</v>
      </c>
      <c r="G473">
        <f>""</f>
        <v>0</v>
      </c>
      <c r="H473">
        <f>""</f>
        <v>0</v>
      </c>
      <c r="I473">
        <v>4</v>
      </c>
      <c r="J473">
        <v>3.95</v>
      </c>
      <c r="K473" t="s">
        <v>3268</v>
      </c>
      <c r="L473" t="s">
        <v>3492</v>
      </c>
      <c r="M473">
        <v>366</v>
      </c>
      <c r="N473">
        <v>2007</v>
      </c>
      <c r="O473">
        <v>2007</v>
      </c>
      <c r="Q473" t="s">
        <v>3583</v>
      </c>
      <c r="T473" t="s">
        <v>4621</v>
      </c>
      <c r="X473">
        <v>1</v>
      </c>
      <c r="AA473">
        <v>0</v>
      </c>
    </row>
    <row r="474" spans="1:27">
      <c r="A474" s="1">
        <v>472</v>
      </c>
      <c r="B474">
        <v>13530973</v>
      </c>
      <c r="C474" t="s">
        <v>503</v>
      </c>
      <c r="D474" t="s">
        <v>1473</v>
      </c>
      <c r="E474" t="s">
        <v>2279</v>
      </c>
      <c r="G474">
        <f>"1400067820"</f>
        <v>0</v>
      </c>
      <c r="H474">
        <f>"9781400067824"</f>
        <v>0</v>
      </c>
      <c r="I474">
        <v>4</v>
      </c>
      <c r="J474">
        <v>4.09</v>
      </c>
      <c r="K474" t="s">
        <v>3039</v>
      </c>
      <c r="L474" t="s">
        <v>3492</v>
      </c>
      <c r="M474">
        <v>426</v>
      </c>
      <c r="N474">
        <v>2012</v>
      </c>
      <c r="O474">
        <v>2012</v>
      </c>
      <c r="Q474" t="s">
        <v>3583</v>
      </c>
      <c r="T474" t="s">
        <v>4621</v>
      </c>
      <c r="X474">
        <v>1</v>
      </c>
      <c r="AA474">
        <v>0</v>
      </c>
    </row>
    <row r="475" spans="1:27">
      <c r="A475" s="1">
        <v>473</v>
      </c>
      <c r="B475">
        <v>38315</v>
      </c>
      <c r="C475" t="s">
        <v>504</v>
      </c>
      <c r="D475" t="s">
        <v>1473</v>
      </c>
      <c r="E475" t="s">
        <v>2279</v>
      </c>
      <c r="G475">
        <f>"0812975219"</f>
        <v>0</v>
      </c>
      <c r="H475">
        <f>"9780812975215"</f>
        <v>0</v>
      </c>
      <c r="I475">
        <v>4</v>
      </c>
      <c r="J475">
        <v>4.08</v>
      </c>
      <c r="K475" t="s">
        <v>3269</v>
      </c>
      <c r="L475" t="s">
        <v>3491</v>
      </c>
      <c r="M475">
        <v>368</v>
      </c>
      <c r="N475">
        <v>2005</v>
      </c>
      <c r="O475">
        <v>2001</v>
      </c>
      <c r="Q475" t="s">
        <v>3583</v>
      </c>
      <c r="T475" t="s">
        <v>4621</v>
      </c>
      <c r="X475">
        <v>1</v>
      </c>
      <c r="AA475">
        <v>0</v>
      </c>
    </row>
    <row r="476" spans="1:27">
      <c r="A476" s="1">
        <v>474</v>
      </c>
      <c r="B476">
        <v>1305</v>
      </c>
      <c r="C476" t="s">
        <v>505</v>
      </c>
      <c r="D476" t="s">
        <v>1474</v>
      </c>
      <c r="E476" t="s">
        <v>2280</v>
      </c>
      <c r="G476">
        <f>"055338368X"</f>
        <v>0</v>
      </c>
      <c r="H476">
        <f>"9780553383683"</f>
        <v>0</v>
      </c>
      <c r="I476">
        <v>4</v>
      </c>
      <c r="J476">
        <v>4.39</v>
      </c>
      <c r="K476" t="s">
        <v>3256</v>
      </c>
      <c r="L476" t="s">
        <v>3491</v>
      </c>
      <c r="M476">
        <v>526</v>
      </c>
      <c r="N476">
        <v>2005</v>
      </c>
      <c r="O476">
        <v>1998</v>
      </c>
      <c r="Q476" t="s">
        <v>3583</v>
      </c>
      <c r="T476" t="s">
        <v>4621</v>
      </c>
      <c r="X476">
        <v>1</v>
      </c>
      <c r="AA476">
        <v>0</v>
      </c>
    </row>
    <row r="477" spans="1:27">
      <c r="A477" s="1">
        <v>475</v>
      </c>
      <c r="B477">
        <v>187181</v>
      </c>
      <c r="C477" t="s">
        <v>506</v>
      </c>
      <c r="D477" t="s">
        <v>1475</v>
      </c>
      <c r="E477" t="s">
        <v>2281</v>
      </c>
      <c r="G477">
        <f>"0449213447"</f>
        <v>0</v>
      </c>
      <c r="H477">
        <f>"9780449213445"</f>
        <v>0</v>
      </c>
      <c r="I477">
        <v>2</v>
      </c>
      <c r="J477">
        <v>4.05</v>
      </c>
      <c r="K477" t="s">
        <v>3159</v>
      </c>
      <c r="L477" t="s">
        <v>3495</v>
      </c>
      <c r="M477">
        <v>304</v>
      </c>
      <c r="N477">
        <v>1987</v>
      </c>
      <c r="O477">
        <v>1966</v>
      </c>
      <c r="Q477" t="s">
        <v>3583</v>
      </c>
      <c r="T477" t="s">
        <v>4621</v>
      </c>
      <c r="X477">
        <v>1</v>
      </c>
      <c r="AA477">
        <v>0</v>
      </c>
    </row>
    <row r="478" spans="1:27">
      <c r="A478" s="1">
        <v>476</v>
      </c>
      <c r="B478">
        <v>414999</v>
      </c>
      <c r="C478" t="s">
        <v>507</v>
      </c>
      <c r="D478" t="s">
        <v>1476</v>
      </c>
      <c r="E478" t="s">
        <v>2282</v>
      </c>
      <c r="G478">
        <f>""</f>
        <v>0</v>
      </c>
      <c r="H478">
        <f>""</f>
        <v>0</v>
      </c>
      <c r="I478">
        <v>3</v>
      </c>
      <c r="J478">
        <v>4.11</v>
      </c>
      <c r="K478" t="s">
        <v>3270</v>
      </c>
      <c r="L478" t="s">
        <v>3495</v>
      </c>
      <c r="M478">
        <v>224</v>
      </c>
      <c r="N478">
        <v>1987</v>
      </c>
      <c r="O478">
        <v>1953</v>
      </c>
      <c r="Q478" t="s">
        <v>3583</v>
      </c>
      <c r="T478" t="s">
        <v>4621</v>
      </c>
      <c r="X478">
        <v>1</v>
      </c>
      <c r="AA478">
        <v>0</v>
      </c>
    </row>
    <row r="479" spans="1:27">
      <c r="A479" s="1">
        <v>477</v>
      </c>
      <c r="B479">
        <v>865</v>
      </c>
      <c r="C479" t="s">
        <v>508</v>
      </c>
      <c r="D479" t="s">
        <v>1477</v>
      </c>
      <c r="E479" t="s">
        <v>2283</v>
      </c>
      <c r="F479" t="s">
        <v>2812</v>
      </c>
      <c r="G479">
        <f>"0061122416"</f>
        <v>0</v>
      </c>
      <c r="H479">
        <f>"9780061122415"</f>
        <v>0</v>
      </c>
      <c r="I479">
        <v>3</v>
      </c>
      <c r="J479">
        <v>3.9</v>
      </c>
      <c r="K479" t="s">
        <v>3163</v>
      </c>
      <c r="L479" t="s">
        <v>3491</v>
      </c>
      <c r="M479">
        <v>197</v>
      </c>
      <c r="N479">
        <v>1993</v>
      </c>
      <c r="O479">
        <v>1988</v>
      </c>
      <c r="Q479" t="s">
        <v>3583</v>
      </c>
      <c r="T479" t="s">
        <v>4621</v>
      </c>
      <c r="X479">
        <v>1</v>
      </c>
      <c r="AA479">
        <v>0</v>
      </c>
    </row>
    <row r="480" spans="1:27">
      <c r="A480" s="1">
        <v>478</v>
      </c>
      <c r="B480">
        <v>55403</v>
      </c>
      <c r="C480" t="s">
        <v>509</v>
      </c>
      <c r="D480" t="s">
        <v>1478</v>
      </c>
      <c r="E480" t="s">
        <v>2284</v>
      </c>
      <c r="G480">
        <f>"0871137380"</f>
        <v>0</v>
      </c>
      <c r="H480">
        <f>"9780871137388"</f>
        <v>0</v>
      </c>
      <c r="I480">
        <v>3</v>
      </c>
      <c r="J480">
        <v>4.28</v>
      </c>
      <c r="K480" t="s">
        <v>3271</v>
      </c>
      <c r="L480" t="s">
        <v>3492</v>
      </c>
      <c r="M480">
        <v>386</v>
      </c>
      <c r="N480">
        <v>1999</v>
      </c>
      <c r="O480">
        <v>1999</v>
      </c>
      <c r="Q480" t="s">
        <v>3583</v>
      </c>
      <c r="T480" t="s">
        <v>4621</v>
      </c>
      <c r="X480">
        <v>1</v>
      </c>
      <c r="AA480">
        <v>0</v>
      </c>
    </row>
    <row r="481" spans="1:27">
      <c r="A481" s="1">
        <v>479</v>
      </c>
      <c r="B481">
        <v>253272</v>
      </c>
      <c r="C481" t="s">
        <v>510</v>
      </c>
      <c r="D481" t="s">
        <v>1461</v>
      </c>
      <c r="E481" t="s">
        <v>2267</v>
      </c>
      <c r="F481" t="s">
        <v>2813</v>
      </c>
      <c r="G481">
        <f>"0425101339"</f>
        <v>0</v>
      </c>
      <c r="H481">
        <f>"9780425101339"</f>
        <v>0</v>
      </c>
      <c r="I481">
        <v>5</v>
      </c>
      <c r="J481">
        <v>4.19</v>
      </c>
      <c r="K481" t="s">
        <v>3239</v>
      </c>
      <c r="L481" t="s">
        <v>3491</v>
      </c>
      <c r="M481">
        <v>240</v>
      </c>
      <c r="N481">
        <v>1986</v>
      </c>
      <c r="O481">
        <v>1978</v>
      </c>
      <c r="Q481" t="s">
        <v>3583</v>
      </c>
      <c r="T481" t="s">
        <v>4621</v>
      </c>
      <c r="X481">
        <v>1</v>
      </c>
      <c r="AA481">
        <v>0</v>
      </c>
    </row>
    <row r="482" spans="1:27">
      <c r="A482" s="1">
        <v>480</v>
      </c>
      <c r="B482">
        <v>34127824</v>
      </c>
      <c r="C482" t="s">
        <v>511</v>
      </c>
      <c r="D482" t="s">
        <v>1479</v>
      </c>
      <c r="E482" t="s">
        <v>2285</v>
      </c>
      <c r="G482">
        <f>"1501145037"</f>
        <v>0</v>
      </c>
      <c r="H482">
        <f>"9781501145032"</f>
        <v>0</v>
      </c>
      <c r="I482">
        <v>2</v>
      </c>
      <c r="J482">
        <v>4.43</v>
      </c>
      <c r="K482" t="s">
        <v>3064</v>
      </c>
      <c r="L482" t="s">
        <v>3492</v>
      </c>
      <c r="M482">
        <v>320</v>
      </c>
      <c r="N482">
        <v>2017</v>
      </c>
      <c r="O482">
        <v>2017</v>
      </c>
      <c r="Q482" t="s">
        <v>3583</v>
      </c>
      <c r="T482" t="s">
        <v>4621</v>
      </c>
      <c r="X482">
        <v>1</v>
      </c>
      <c r="AA482">
        <v>0</v>
      </c>
    </row>
    <row r="483" spans="1:27">
      <c r="A483" s="1">
        <v>481</v>
      </c>
      <c r="B483">
        <v>1000990</v>
      </c>
      <c r="C483" t="s">
        <v>512</v>
      </c>
      <c r="D483" t="s">
        <v>1480</v>
      </c>
      <c r="E483" t="s">
        <v>2286</v>
      </c>
      <c r="G483">
        <f>"0618494782"</f>
        <v>0</v>
      </c>
      <c r="H483">
        <f>"9780618494781"</f>
        <v>0</v>
      </c>
      <c r="I483">
        <v>3</v>
      </c>
      <c r="J483">
        <v>3.65</v>
      </c>
      <c r="K483" t="s">
        <v>3272</v>
      </c>
      <c r="L483" t="s">
        <v>3491</v>
      </c>
      <c r="M483">
        <v>96</v>
      </c>
      <c r="N483">
        <v>2004</v>
      </c>
      <c r="O483">
        <v>2009</v>
      </c>
      <c r="Q483" t="s">
        <v>3583</v>
      </c>
      <c r="T483" t="s">
        <v>4621</v>
      </c>
      <c r="X483">
        <v>1</v>
      </c>
      <c r="AA483">
        <v>0</v>
      </c>
    </row>
    <row r="484" spans="1:27">
      <c r="A484" s="1">
        <v>482</v>
      </c>
      <c r="B484">
        <v>24113</v>
      </c>
      <c r="C484" t="s">
        <v>513</v>
      </c>
      <c r="D484" t="s">
        <v>1481</v>
      </c>
      <c r="E484" t="s">
        <v>2287</v>
      </c>
      <c r="G484">
        <f>"0465026567"</f>
        <v>0</v>
      </c>
      <c r="H484">
        <f>"9780465026562"</f>
        <v>0</v>
      </c>
      <c r="I484">
        <v>5</v>
      </c>
      <c r="J484">
        <v>4.28</v>
      </c>
      <c r="K484" t="s">
        <v>3138</v>
      </c>
      <c r="L484" t="s">
        <v>3491</v>
      </c>
      <c r="M484">
        <v>756</v>
      </c>
      <c r="N484">
        <v>1999</v>
      </c>
      <c r="O484">
        <v>1979</v>
      </c>
      <c r="Q484" t="s">
        <v>3583</v>
      </c>
      <c r="T484" t="s">
        <v>4621</v>
      </c>
      <c r="X484">
        <v>1</v>
      </c>
      <c r="AA484">
        <v>0</v>
      </c>
    </row>
    <row r="485" spans="1:27">
      <c r="A485" s="1">
        <v>483</v>
      </c>
      <c r="B485">
        <v>24396871</v>
      </c>
      <c r="C485" t="s">
        <v>514</v>
      </c>
      <c r="D485" t="s">
        <v>1482</v>
      </c>
      <c r="E485" t="s">
        <v>2288</v>
      </c>
      <c r="G485">
        <f>"0316371769"</f>
        <v>0</v>
      </c>
      <c r="H485">
        <f>"9780316371766"</f>
        <v>0</v>
      </c>
      <c r="I485">
        <v>3</v>
      </c>
      <c r="J485">
        <v>3.92</v>
      </c>
      <c r="K485" t="s">
        <v>3258</v>
      </c>
      <c r="L485" t="s">
        <v>3492</v>
      </c>
      <c r="M485">
        <v>560</v>
      </c>
      <c r="N485">
        <v>2015</v>
      </c>
      <c r="O485">
        <v>2015</v>
      </c>
      <c r="Q485" t="s">
        <v>3583</v>
      </c>
      <c r="T485" t="s">
        <v>4621</v>
      </c>
      <c r="X485">
        <v>1</v>
      </c>
      <c r="AA485">
        <v>0</v>
      </c>
    </row>
    <row r="486" spans="1:27">
      <c r="A486" s="1">
        <v>484</v>
      </c>
      <c r="B486">
        <v>1103400</v>
      </c>
      <c r="C486" t="s">
        <v>515</v>
      </c>
      <c r="D486" t="s">
        <v>1483</v>
      </c>
      <c r="E486" t="s">
        <v>2289</v>
      </c>
      <c r="G486">
        <f>"0446611824"</f>
        <v>0</v>
      </c>
      <c r="H486">
        <f>"9780446611824"</f>
        <v>0</v>
      </c>
      <c r="I486">
        <v>2</v>
      </c>
      <c r="J486">
        <v>3.92</v>
      </c>
      <c r="K486" t="s">
        <v>3223</v>
      </c>
      <c r="L486" t="s">
        <v>3491</v>
      </c>
      <c r="M486">
        <v>528</v>
      </c>
      <c r="N486">
        <v>2002</v>
      </c>
      <c r="O486">
        <v>2001</v>
      </c>
      <c r="Q486" t="s">
        <v>3583</v>
      </c>
      <c r="T486" t="s">
        <v>4621</v>
      </c>
      <c r="X486">
        <v>1</v>
      </c>
      <c r="AA486">
        <v>0</v>
      </c>
    </row>
    <row r="487" spans="1:27">
      <c r="A487" s="1">
        <v>485</v>
      </c>
      <c r="B487">
        <v>5720</v>
      </c>
      <c r="C487" t="s">
        <v>516</v>
      </c>
      <c r="D487" t="s">
        <v>1484</v>
      </c>
      <c r="E487" t="s">
        <v>2290</v>
      </c>
      <c r="F487" t="s">
        <v>2814</v>
      </c>
      <c r="G487">
        <f>"0425170349"</f>
        <v>0</v>
      </c>
      <c r="H487">
        <f>"9780425170342"</f>
        <v>0</v>
      </c>
      <c r="I487">
        <v>4</v>
      </c>
      <c r="J487">
        <v>4.11</v>
      </c>
      <c r="K487" t="s">
        <v>3273</v>
      </c>
      <c r="L487" t="s">
        <v>3495</v>
      </c>
      <c r="M487">
        <v>912</v>
      </c>
      <c r="N487">
        <v>1999</v>
      </c>
      <c r="O487">
        <v>1998</v>
      </c>
      <c r="Q487" t="s">
        <v>3583</v>
      </c>
      <c r="T487" t="s">
        <v>4621</v>
      </c>
      <c r="X487">
        <v>1</v>
      </c>
      <c r="AA487">
        <v>0</v>
      </c>
    </row>
    <row r="488" spans="1:27">
      <c r="A488" s="1">
        <v>486</v>
      </c>
      <c r="B488">
        <v>19668</v>
      </c>
      <c r="C488" t="s">
        <v>517</v>
      </c>
      <c r="D488" t="s">
        <v>1484</v>
      </c>
      <c r="E488" t="s">
        <v>2290</v>
      </c>
      <c r="G488">
        <f>"0425143325"</f>
        <v>0</v>
      </c>
      <c r="H488">
        <f>"9780425143322"</f>
        <v>0</v>
      </c>
      <c r="I488">
        <v>4</v>
      </c>
      <c r="J488">
        <v>4.19</v>
      </c>
      <c r="K488" t="s">
        <v>3273</v>
      </c>
      <c r="L488" t="s">
        <v>3495</v>
      </c>
      <c r="M488">
        <v>750</v>
      </c>
      <c r="N488">
        <v>1994</v>
      </c>
      <c r="O488">
        <v>1993</v>
      </c>
      <c r="Q488" t="s">
        <v>3583</v>
      </c>
      <c r="T488" t="s">
        <v>4621</v>
      </c>
      <c r="X488">
        <v>1</v>
      </c>
      <c r="AA488">
        <v>0</v>
      </c>
    </row>
    <row r="489" spans="1:27">
      <c r="A489" s="1">
        <v>487</v>
      </c>
      <c r="B489">
        <v>450248</v>
      </c>
      <c r="C489" t="s">
        <v>518</v>
      </c>
      <c r="D489" t="s">
        <v>1485</v>
      </c>
      <c r="E489" t="s">
        <v>2291</v>
      </c>
      <c r="G489">
        <f>"0486241041"</f>
        <v>0</v>
      </c>
      <c r="H489">
        <f>"9780486241043"</f>
        <v>0</v>
      </c>
      <c r="I489">
        <v>2</v>
      </c>
      <c r="J489">
        <v>4.11</v>
      </c>
      <c r="K489" t="s">
        <v>3045</v>
      </c>
      <c r="L489" t="s">
        <v>3491</v>
      </c>
      <c r="M489">
        <v>482</v>
      </c>
      <c r="N489">
        <v>1981</v>
      </c>
      <c r="O489">
        <v>1959</v>
      </c>
      <c r="Q489" t="s">
        <v>3583</v>
      </c>
      <c r="T489" t="s">
        <v>4621</v>
      </c>
      <c r="X489">
        <v>1</v>
      </c>
      <c r="AA489">
        <v>0</v>
      </c>
    </row>
    <row r="490" spans="1:27">
      <c r="A490" s="1">
        <v>488</v>
      </c>
      <c r="B490">
        <v>83882</v>
      </c>
      <c r="C490" t="s">
        <v>519</v>
      </c>
      <c r="D490" t="s">
        <v>1486</v>
      </c>
      <c r="E490" t="s">
        <v>2292</v>
      </c>
      <c r="G490">
        <f>"048624864X"</f>
        <v>0</v>
      </c>
      <c r="H490">
        <f>"9780486248646"</f>
        <v>0</v>
      </c>
      <c r="I490">
        <v>3</v>
      </c>
      <c r="J490">
        <v>3.7</v>
      </c>
      <c r="K490" t="s">
        <v>3045</v>
      </c>
      <c r="L490" t="s">
        <v>3491</v>
      </c>
      <c r="M490">
        <v>454</v>
      </c>
      <c r="N490">
        <v>1985</v>
      </c>
      <c r="O490">
        <v>1974</v>
      </c>
      <c r="Q490" t="s">
        <v>3583</v>
      </c>
      <c r="T490" t="s">
        <v>4621</v>
      </c>
      <c r="X490">
        <v>1</v>
      </c>
      <c r="AA490">
        <v>0</v>
      </c>
    </row>
    <row r="491" spans="1:27">
      <c r="A491" s="1">
        <v>489</v>
      </c>
      <c r="B491">
        <v>13590828</v>
      </c>
      <c r="C491" t="s">
        <v>520</v>
      </c>
      <c r="D491" t="s">
        <v>1487</v>
      </c>
      <c r="E491" t="s">
        <v>2293</v>
      </c>
      <c r="F491" t="s">
        <v>2815</v>
      </c>
      <c r="G491">
        <f>"1611760712"</f>
        <v>0</v>
      </c>
      <c r="H491">
        <f>"9781611760712"</f>
        <v>0</v>
      </c>
      <c r="I491">
        <v>4</v>
      </c>
      <c r="J491">
        <v>3.83</v>
      </c>
      <c r="K491" t="s">
        <v>3274</v>
      </c>
      <c r="L491" t="s">
        <v>3499</v>
      </c>
      <c r="M491">
        <v>11</v>
      </c>
      <c r="N491">
        <v>2012</v>
      </c>
      <c r="O491">
        <v>2012</v>
      </c>
      <c r="Q491" t="s">
        <v>3583</v>
      </c>
      <c r="T491" t="s">
        <v>4621</v>
      </c>
      <c r="X491">
        <v>1</v>
      </c>
      <c r="AA491">
        <v>0</v>
      </c>
    </row>
    <row r="492" spans="1:27">
      <c r="A492" s="1">
        <v>490</v>
      </c>
      <c r="B492">
        <v>31823677</v>
      </c>
      <c r="C492" t="s">
        <v>521</v>
      </c>
      <c r="D492" t="s">
        <v>1488</v>
      </c>
      <c r="E492" t="s">
        <v>2294</v>
      </c>
      <c r="F492" t="s">
        <v>2816</v>
      </c>
      <c r="G492">
        <f>""</f>
        <v>0</v>
      </c>
      <c r="H492">
        <f>""</f>
        <v>0</v>
      </c>
      <c r="I492">
        <v>3</v>
      </c>
      <c r="J492">
        <v>4.09</v>
      </c>
      <c r="K492" t="s">
        <v>3033</v>
      </c>
      <c r="L492" t="s">
        <v>3493</v>
      </c>
      <c r="M492">
        <v>707</v>
      </c>
      <c r="N492">
        <v>2016</v>
      </c>
      <c r="O492">
        <v>2016</v>
      </c>
      <c r="Q492" t="s">
        <v>3583</v>
      </c>
      <c r="T492" t="s">
        <v>4621</v>
      </c>
      <c r="X492">
        <v>1</v>
      </c>
      <c r="AA492">
        <v>0</v>
      </c>
    </row>
    <row r="493" spans="1:27">
      <c r="A493" s="1">
        <v>491</v>
      </c>
      <c r="B493">
        <v>19063</v>
      </c>
      <c r="C493" t="s">
        <v>522</v>
      </c>
      <c r="D493" t="s">
        <v>1489</v>
      </c>
      <c r="E493" t="s">
        <v>2295</v>
      </c>
      <c r="G493">
        <f>""</f>
        <v>0</v>
      </c>
      <c r="H493">
        <f>""</f>
        <v>0</v>
      </c>
      <c r="I493">
        <v>4</v>
      </c>
      <c r="J493">
        <v>4.39</v>
      </c>
      <c r="K493" t="s">
        <v>3141</v>
      </c>
      <c r="L493" t="s">
        <v>3492</v>
      </c>
      <c r="M493">
        <v>552</v>
      </c>
      <c r="N493">
        <v>2006</v>
      </c>
      <c r="O493">
        <v>2007</v>
      </c>
      <c r="Q493" t="s">
        <v>3583</v>
      </c>
      <c r="T493" t="s">
        <v>4621</v>
      </c>
      <c r="X493">
        <v>1</v>
      </c>
      <c r="AA493">
        <v>0</v>
      </c>
    </row>
    <row r="494" spans="1:27">
      <c r="A494" s="1">
        <v>492</v>
      </c>
      <c r="B494">
        <v>44882</v>
      </c>
      <c r="C494" t="s">
        <v>523</v>
      </c>
      <c r="D494" t="s">
        <v>1490</v>
      </c>
      <c r="E494" t="s">
        <v>2296</v>
      </c>
      <c r="G494">
        <f>"0735611319"</f>
        <v>0</v>
      </c>
      <c r="H494">
        <f>"9780735611313"</f>
        <v>0</v>
      </c>
      <c r="I494">
        <v>4</v>
      </c>
      <c r="J494">
        <v>4.39</v>
      </c>
      <c r="K494" t="s">
        <v>3275</v>
      </c>
      <c r="L494" t="s">
        <v>3491</v>
      </c>
      <c r="M494">
        <v>400</v>
      </c>
      <c r="N494">
        <v>2000</v>
      </c>
      <c r="O494">
        <v>1999</v>
      </c>
      <c r="Q494" t="s">
        <v>3583</v>
      </c>
      <c r="T494" t="s">
        <v>4621</v>
      </c>
      <c r="X494">
        <v>1</v>
      </c>
      <c r="AA494">
        <v>0</v>
      </c>
    </row>
    <row r="495" spans="1:27">
      <c r="A495" s="1">
        <v>493</v>
      </c>
      <c r="B495">
        <v>25733505</v>
      </c>
      <c r="C495" t="s">
        <v>524</v>
      </c>
      <c r="D495" t="s">
        <v>1491</v>
      </c>
      <c r="E495" t="s">
        <v>2297</v>
      </c>
      <c r="G495">
        <f>"1400067960"</f>
        <v>0</v>
      </c>
      <c r="H495">
        <f>"9781400067961"</f>
        <v>0</v>
      </c>
      <c r="I495">
        <v>4</v>
      </c>
      <c r="J495">
        <v>4.23</v>
      </c>
      <c r="K495" t="s">
        <v>3039</v>
      </c>
      <c r="L495" t="s">
        <v>3492</v>
      </c>
      <c r="M495">
        <v>416</v>
      </c>
      <c r="N495">
        <v>2016</v>
      </c>
      <c r="O495">
        <v>2016</v>
      </c>
      <c r="Q495" t="s">
        <v>3583</v>
      </c>
      <c r="T495" t="s">
        <v>4621</v>
      </c>
      <c r="X495">
        <v>1</v>
      </c>
      <c r="AA495">
        <v>0</v>
      </c>
    </row>
    <row r="496" spans="1:27">
      <c r="A496" s="1">
        <v>494</v>
      </c>
      <c r="B496">
        <v>17286725</v>
      </c>
      <c r="C496" t="s">
        <v>525</v>
      </c>
      <c r="D496" t="s">
        <v>1492</v>
      </c>
      <c r="E496" t="s">
        <v>2298</v>
      </c>
      <c r="G496">
        <f>"0805094970"</f>
        <v>0</v>
      </c>
      <c r="H496">
        <f>"9780805094978"</f>
        <v>0</v>
      </c>
      <c r="I496">
        <v>3</v>
      </c>
      <c r="J496">
        <v>4.1</v>
      </c>
      <c r="K496" t="s">
        <v>3276</v>
      </c>
      <c r="L496" t="s">
        <v>3492</v>
      </c>
      <c r="M496">
        <v>416</v>
      </c>
      <c r="N496">
        <v>2013</v>
      </c>
      <c r="O496">
        <v>2013</v>
      </c>
      <c r="Q496" t="s">
        <v>3583</v>
      </c>
      <c r="T496" t="s">
        <v>4621</v>
      </c>
      <c r="X496">
        <v>1</v>
      </c>
      <c r="AA496">
        <v>0</v>
      </c>
    </row>
    <row r="497" spans="1:27">
      <c r="A497" s="1">
        <v>495</v>
      </c>
      <c r="B497">
        <v>113576</v>
      </c>
      <c r="C497" t="s">
        <v>526</v>
      </c>
      <c r="D497" t="s">
        <v>1493</v>
      </c>
      <c r="E497" t="s">
        <v>2299</v>
      </c>
      <c r="F497" t="s">
        <v>2817</v>
      </c>
      <c r="G497">
        <f>"1591840538"</f>
        <v>0</v>
      </c>
      <c r="H497">
        <f>"9781591840534"</f>
        <v>0</v>
      </c>
      <c r="I497">
        <v>4</v>
      </c>
      <c r="J497">
        <v>4.2</v>
      </c>
      <c r="K497" t="s">
        <v>3277</v>
      </c>
      <c r="L497" t="s">
        <v>3491</v>
      </c>
      <c r="M497">
        <v>480</v>
      </c>
      <c r="N497">
        <v>2004</v>
      </c>
      <c r="O497">
        <v>2003</v>
      </c>
      <c r="Q497" t="s">
        <v>3583</v>
      </c>
      <c r="T497" t="s">
        <v>4621</v>
      </c>
      <c r="X497">
        <v>1</v>
      </c>
      <c r="AA497">
        <v>0</v>
      </c>
    </row>
    <row r="498" spans="1:27">
      <c r="A498" s="1">
        <v>496</v>
      </c>
      <c r="B498">
        <v>25663872</v>
      </c>
      <c r="C498" t="s">
        <v>527</v>
      </c>
      <c r="D498" t="s">
        <v>1494</v>
      </c>
      <c r="E498" t="s">
        <v>2300</v>
      </c>
      <c r="F498" t="s">
        <v>2818</v>
      </c>
      <c r="G498">
        <f>"125008136X"</f>
        <v>0</v>
      </c>
      <c r="H498">
        <f>"9781250081360"</f>
        <v>0</v>
      </c>
      <c r="I498">
        <v>3</v>
      </c>
      <c r="J498">
        <v>3.85</v>
      </c>
      <c r="K498" t="s">
        <v>3162</v>
      </c>
      <c r="L498" t="s">
        <v>3492</v>
      </c>
      <c r="M498">
        <v>320</v>
      </c>
      <c r="N498">
        <v>2016</v>
      </c>
      <c r="O498">
        <v>2016</v>
      </c>
      <c r="Q498" t="s">
        <v>3583</v>
      </c>
      <c r="T498" t="s">
        <v>4621</v>
      </c>
      <c r="X498">
        <v>1</v>
      </c>
      <c r="AA498">
        <v>0</v>
      </c>
    </row>
    <row r="499" spans="1:27">
      <c r="A499" s="1">
        <v>497</v>
      </c>
      <c r="B499">
        <v>20696006</v>
      </c>
      <c r="C499" t="s">
        <v>528</v>
      </c>
      <c r="D499" t="s">
        <v>1495</v>
      </c>
      <c r="E499" t="s">
        <v>2301</v>
      </c>
      <c r="G499">
        <f>"0805095152"</f>
        <v>0</v>
      </c>
      <c r="H499">
        <f>"9780805095159"</f>
        <v>0</v>
      </c>
      <c r="I499">
        <v>4</v>
      </c>
      <c r="J499">
        <v>4.46</v>
      </c>
      <c r="K499" t="s">
        <v>3278</v>
      </c>
      <c r="L499" t="s">
        <v>3492</v>
      </c>
      <c r="M499">
        <v>282</v>
      </c>
      <c r="N499">
        <v>2014</v>
      </c>
      <c r="O499">
        <v>2014</v>
      </c>
      <c r="Q499" t="s">
        <v>3583</v>
      </c>
      <c r="T499" t="s">
        <v>4621</v>
      </c>
      <c r="X499">
        <v>1</v>
      </c>
      <c r="AA499">
        <v>0</v>
      </c>
    </row>
    <row r="500" spans="1:27">
      <c r="A500" s="1">
        <v>498</v>
      </c>
      <c r="B500">
        <v>16158491</v>
      </c>
      <c r="C500" t="s">
        <v>529</v>
      </c>
      <c r="D500" t="s">
        <v>1496</v>
      </c>
      <c r="E500" t="s">
        <v>2302</v>
      </c>
      <c r="G500">
        <f>"1594204802"</f>
        <v>0</v>
      </c>
      <c r="H500">
        <f>"9781594204807"</f>
        <v>0</v>
      </c>
      <c r="I500">
        <v>2</v>
      </c>
      <c r="J500">
        <v>3.84</v>
      </c>
      <c r="K500" t="s">
        <v>3279</v>
      </c>
      <c r="L500" t="s">
        <v>3492</v>
      </c>
      <c r="M500">
        <v>381</v>
      </c>
      <c r="N500">
        <v>2013</v>
      </c>
      <c r="O500">
        <v>2013</v>
      </c>
      <c r="Q500" t="s">
        <v>3583</v>
      </c>
      <c r="T500" t="s">
        <v>4621</v>
      </c>
      <c r="X500">
        <v>1</v>
      </c>
      <c r="AA500">
        <v>0</v>
      </c>
    </row>
    <row r="501" spans="1:27">
      <c r="A501" s="1">
        <v>499</v>
      </c>
      <c r="B501">
        <v>30145126</v>
      </c>
      <c r="C501" t="s">
        <v>530</v>
      </c>
      <c r="D501" t="s">
        <v>1497</v>
      </c>
      <c r="E501" t="s">
        <v>2303</v>
      </c>
      <c r="G501">
        <f>"1455540005"</f>
        <v>0</v>
      </c>
      <c r="H501">
        <f>"9781455540006"</f>
        <v>0</v>
      </c>
      <c r="I501">
        <v>2</v>
      </c>
      <c r="J501">
        <v>3.92</v>
      </c>
      <c r="K501" t="s">
        <v>3223</v>
      </c>
      <c r="L501" t="s">
        <v>3492</v>
      </c>
      <c r="M501">
        <v>328</v>
      </c>
      <c r="N501">
        <v>2017</v>
      </c>
      <c r="O501">
        <v>2017</v>
      </c>
      <c r="Q501" t="s">
        <v>3583</v>
      </c>
      <c r="T501" t="s">
        <v>4621</v>
      </c>
      <c r="X501">
        <v>1</v>
      </c>
      <c r="AA501">
        <v>0</v>
      </c>
    </row>
    <row r="502" spans="1:27">
      <c r="A502" s="1">
        <v>500</v>
      </c>
      <c r="B502">
        <v>5148</v>
      </c>
      <c r="C502" t="s">
        <v>531</v>
      </c>
      <c r="D502" t="s">
        <v>1498</v>
      </c>
      <c r="E502" t="s">
        <v>2304</v>
      </c>
      <c r="F502" t="s">
        <v>2819</v>
      </c>
      <c r="G502">
        <f>""</f>
        <v>0</v>
      </c>
      <c r="H502">
        <f>""</f>
        <v>0</v>
      </c>
      <c r="I502">
        <v>3</v>
      </c>
      <c r="J502">
        <v>3.59</v>
      </c>
      <c r="K502" t="s">
        <v>3064</v>
      </c>
      <c r="L502" t="s">
        <v>3491</v>
      </c>
      <c r="M502">
        <v>208</v>
      </c>
      <c r="N502">
        <v>2003</v>
      </c>
      <c r="O502">
        <v>1959</v>
      </c>
      <c r="Q502" t="s">
        <v>3583</v>
      </c>
      <c r="T502" t="s">
        <v>4621</v>
      </c>
      <c r="X502">
        <v>1</v>
      </c>
      <c r="AA502">
        <v>0</v>
      </c>
    </row>
    <row r="503" spans="1:27">
      <c r="A503" s="1">
        <v>501</v>
      </c>
      <c r="B503">
        <v>11138</v>
      </c>
      <c r="C503" t="s">
        <v>532</v>
      </c>
      <c r="D503" t="s">
        <v>1499</v>
      </c>
      <c r="E503" t="s">
        <v>2305</v>
      </c>
      <c r="G503">
        <f>"0684823780"</f>
        <v>0</v>
      </c>
      <c r="H503">
        <f>"9780684823782"</f>
        <v>0</v>
      </c>
      <c r="I503">
        <v>1</v>
      </c>
      <c r="J503">
        <v>4.34</v>
      </c>
      <c r="K503" t="s">
        <v>3280</v>
      </c>
      <c r="L503" t="s">
        <v>3491</v>
      </c>
      <c r="M503">
        <v>191</v>
      </c>
      <c r="N503">
        <v>1996</v>
      </c>
      <c r="O503">
        <v>1942</v>
      </c>
      <c r="Q503" t="s">
        <v>3583</v>
      </c>
      <c r="T503" t="s">
        <v>4621</v>
      </c>
      <c r="X503">
        <v>1</v>
      </c>
      <c r="AA503">
        <v>0</v>
      </c>
    </row>
    <row r="504" spans="1:27">
      <c r="A504" s="1">
        <v>502</v>
      </c>
      <c r="B504">
        <v>15823480</v>
      </c>
      <c r="C504" t="s">
        <v>533</v>
      </c>
      <c r="D504" t="s">
        <v>1079</v>
      </c>
      <c r="E504" t="s">
        <v>1886</v>
      </c>
      <c r="F504" t="s">
        <v>2820</v>
      </c>
      <c r="G504">
        <f>""</f>
        <v>0</v>
      </c>
      <c r="H504">
        <f>""</f>
        <v>0</v>
      </c>
      <c r="I504">
        <v>4</v>
      </c>
      <c r="J504">
        <v>4.07</v>
      </c>
      <c r="K504" t="s">
        <v>3029</v>
      </c>
      <c r="L504" t="s">
        <v>3491</v>
      </c>
      <c r="M504">
        <v>964</v>
      </c>
      <c r="N504">
        <v>2012</v>
      </c>
      <c r="O504">
        <v>1878</v>
      </c>
      <c r="Q504" t="s">
        <v>3583</v>
      </c>
      <c r="T504" t="s">
        <v>4621</v>
      </c>
      <c r="X504">
        <v>1</v>
      </c>
      <c r="AA504">
        <v>0</v>
      </c>
    </row>
    <row r="505" spans="1:27">
      <c r="A505" s="1">
        <v>503</v>
      </c>
      <c r="B505">
        <v>4900</v>
      </c>
      <c r="C505" t="s">
        <v>534</v>
      </c>
      <c r="D505" t="s">
        <v>1159</v>
      </c>
      <c r="E505" t="s">
        <v>1965</v>
      </c>
      <c r="F505" t="s">
        <v>2821</v>
      </c>
      <c r="G505">
        <f>"1892295490"</f>
        <v>0</v>
      </c>
      <c r="H505">
        <f>"9781892295491"</f>
        <v>0</v>
      </c>
      <c r="I505">
        <v>2</v>
      </c>
      <c r="J505">
        <v>3.43</v>
      </c>
      <c r="K505" t="s">
        <v>3281</v>
      </c>
      <c r="L505" t="s">
        <v>3491</v>
      </c>
      <c r="M505">
        <v>188</v>
      </c>
      <c r="N505">
        <v>2003</v>
      </c>
      <c r="O505">
        <v>1899</v>
      </c>
      <c r="Q505" t="s">
        <v>3583</v>
      </c>
      <c r="T505" t="s">
        <v>4621</v>
      </c>
      <c r="X505">
        <v>1</v>
      </c>
      <c r="AA505">
        <v>0</v>
      </c>
    </row>
    <row r="506" spans="1:27">
      <c r="A506" s="1">
        <v>504</v>
      </c>
      <c r="B506">
        <v>25241317</v>
      </c>
      <c r="C506" t="s">
        <v>535</v>
      </c>
      <c r="D506" t="s">
        <v>1500</v>
      </c>
      <c r="E506" t="s">
        <v>2306</v>
      </c>
      <c r="G506">
        <f>"0385538227"</f>
        <v>0</v>
      </c>
      <c r="H506">
        <f>"9780385538220"</f>
        <v>0</v>
      </c>
      <c r="I506">
        <v>4</v>
      </c>
      <c r="J506">
        <v>4.32</v>
      </c>
      <c r="K506" t="s">
        <v>3282</v>
      </c>
      <c r="L506" t="s">
        <v>3494</v>
      </c>
      <c r="M506">
        <v>368</v>
      </c>
      <c r="N506">
        <v>2015</v>
      </c>
      <c r="O506">
        <v>2016</v>
      </c>
      <c r="Q506" t="s">
        <v>3583</v>
      </c>
      <c r="T506" t="s">
        <v>4621</v>
      </c>
      <c r="X506">
        <v>1</v>
      </c>
      <c r="AA506">
        <v>0</v>
      </c>
    </row>
    <row r="507" spans="1:27">
      <c r="A507" s="1">
        <v>505</v>
      </c>
      <c r="B507">
        <v>6288</v>
      </c>
      <c r="C507" t="s">
        <v>536</v>
      </c>
      <c r="D507" t="s">
        <v>1183</v>
      </c>
      <c r="E507" t="s">
        <v>1989</v>
      </c>
      <c r="G507">
        <f>"0307265439"</f>
        <v>0</v>
      </c>
      <c r="H507">
        <f>"9780307265432"</f>
        <v>0</v>
      </c>
      <c r="I507">
        <v>4</v>
      </c>
      <c r="J507">
        <v>3.98</v>
      </c>
      <c r="K507" t="s">
        <v>3141</v>
      </c>
      <c r="L507" t="s">
        <v>3492</v>
      </c>
      <c r="M507">
        <v>241</v>
      </c>
      <c r="N507">
        <v>2006</v>
      </c>
      <c r="O507">
        <v>2006</v>
      </c>
      <c r="Q507" t="s">
        <v>3583</v>
      </c>
      <c r="T507" t="s">
        <v>4621</v>
      </c>
      <c r="X507">
        <v>1</v>
      </c>
      <c r="AA507">
        <v>0</v>
      </c>
    </row>
    <row r="508" spans="1:27">
      <c r="A508" s="1">
        <v>506</v>
      </c>
      <c r="B508">
        <v>37781</v>
      </c>
      <c r="C508" t="s">
        <v>537</v>
      </c>
      <c r="D508" t="s">
        <v>1501</v>
      </c>
      <c r="E508" t="s">
        <v>2307</v>
      </c>
      <c r="G508">
        <f>""</f>
        <v>0</v>
      </c>
      <c r="H508">
        <f>""</f>
        <v>0</v>
      </c>
      <c r="I508">
        <v>2</v>
      </c>
      <c r="J508">
        <v>3.72</v>
      </c>
      <c r="K508" t="s">
        <v>3283</v>
      </c>
      <c r="L508" t="s">
        <v>3491</v>
      </c>
      <c r="M508">
        <v>209</v>
      </c>
      <c r="N508">
        <v>1994</v>
      </c>
      <c r="O508">
        <v>1958</v>
      </c>
      <c r="Q508" t="s">
        <v>3583</v>
      </c>
      <c r="T508" t="s">
        <v>4621</v>
      </c>
      <c r="X508">
        <v>1</v>
      </c>
      <c r="AA508">
        <v>0</v>
      </c>
    </row>
    <row r="509" spans="1:27">
      <c r="A509" s="1">
        <v>507</v>
      </c>
      <c r="B509">
        <v>77203</v>
      </c>
      <c r="C509" t="s">
        <v>538</v>
      </c>
      <c r="D509" t="s">
        <v>1502</v>
      </c>
      <c r="E509" t="s">
        <v>2308</v>
      </c>
      <c r="G509">
        <f>""</f>
        <v>0</v>
      </c>
      <c r="H509">
        <f>""</f>
        <v>0</v>
      </c>
      <c r="I509">
        <v>4</v>
      </c>
      <c r="J509">
        <v>4.33</v>
      </c>
      <c r="K509" t="s">
        <v>3090</v>
      </c>
      <c r="L509" t="s">
        <v>3491</v>
      </c>
      <c r="M509">
        <v>371</v>
      </c>
      <c r="N509">
        <v>2004</v>
      </c>
      <c r="O509">
        <v>2003</v>
      </c>
      <c r="Q509" t="s">
        <v>3583</v>
      </c>
      <c r="T509" t="s">
        <v>4621</v>
      </c>
      <c r="X509">
        <v>1</v>
      </c>
      <c r="AA509">
        <v>0</v>
      </c>
    </row>
    <row r="510" spans="1:27">
      <c r="A510" s="1">
        <v>508</v>
      </c>
      <c r="B510">
        <v>31920777</v>
      </c>
      <c r="C510" t="s">
        <v>539</v>
      </c>
      <c r="D510" t="s">
        <v>1503</v>
      </c>
      <c r="E510" t="s">
        <v>2309</v>
      </c>
      <c r="G510">
        <f>"1591848148"</f>
        <v>0</v>
      </c>
      <c r="H510">
        <f>"9781591848141"</f>
        <v>0</v>
      </c>
      <c r="I510">
        <v>4</v>
      </c>
      <c r="J510">
        <v>4.39</v>
      </c>
      <c r="K510" t="s">
        <v>3012</v>
      </c>
      <c r="L510" t="s">
        <v>3492</v>
      </c>
      <c r="M510">
        <v>328</v>
      </c>
      <c r="N510">
        <v>2017</v>
      </c>
      <c r="O510">
        <v>2017</v>
      </c>
      <c r="Q510" t="s">
        <v>3583</v>
      </c>
      <c r="T510" t="s">
        <v>4621</v>
      </c>
      <c r="X510">
        <v>1</v>
      </c>
      <c r="AA510">
        <v>0</v>
      </c>
    </row>
    <row r="511" spans="1:27">
      <c r="A511" s="1">
        <v>509</v>
      </c>
      <c r="B511">
        <v>176691</v>
      </c>
      <c r="C511" t="s">
        <v>540</v>
      </c>
      <c r="D511" t="s">
        <v>1504</v>
      </c>
      <c r="E511" t="s">
        <v>2310</v>
      </c>
      <c r="G511">
        <f>"1574889494"</f>
        <v>0</v>
      </c>
      <c r="H511">
        <f>"9781574889499"</f>
        <v>0</v>
      </c>
      <c r="I511">
        <v>2</v>
      </c>
      <c r="J511">
        <v>4.04</v>
      </c>
      <c r="K511" t="s">
        <v>3284</v>
      </c>
      <c r="L511" t="s">
        <v>3492</v>
      </c>
      <c r="M511">
        <v>306</v>
      </c>
      <c r="N511">
        <v>2006</v>
      </c>
      <c r="O511">
        <v>2006</v>
      </c>
      <c r="Q511" t="s">
        <v>3583</v>
      </c>
      <c r="T511" t="s">
        <v>4621</v>
      </c>
      <c r="X511">
        <v>1</v>
      </c>
      <c r="AA511">
        <v>0</v>
      </c>
    </row>
    <row r="512" spans="1:27">
      <c r="A512" s="1">
        <v>510</v>
      </c>
      <c r="B512">
        <v>4934</v>
      </c>
      <c r="C512" t="s">
        <v>541</v>
      </c>
      <c r="D512" t="s">
        <v>1319</v>
      </c>
      <c r="E512" t="s">
        <v>2125</v>
      </c>
      <c r="F512" t="s">
        <v>2822</v>
      </c>
      <c r="G512">
        <f>""</f>
        <v>0</v>
      </c>
      <c r="H512">
        <f>""</f>
        <v>0</v>
      </c>
      <c r="I512">
        <v>5</v>
      </c>
      <c r="J512">
        <v>4.34</v>
      </c>
      <c r="K512" t="s">
        <v>3098</v>
      </c>
      <c r="L512" t="s">
        <v>3491</v>
      </c>
      <c r="M512">
        <v>796</v>
      </c>
      <c r="N512">
        <v>2002</v>
      </c>
      <c r="O512">
        <v>1879</v>
      </c>
      <c r="Q512" t="s">
        <v>3583</v>
      </c>
      <c r="T512" t="s">
        <v>4621</v>
      </c>
      <c r="X512">
        <v>1</v>
      </c>
      <c r="AA512">
        <v>0</v>
      </c>
    </row>
    <row r="513" spans="1:27">
      <c r="A513" s="1">
        <v>511</v>
      </c>
      <c r="B513">
        <v>2165</v>
      </c>
      <c r="C513" t="s">
        <v>542</v>
      </c>
      <c r="D513" t="s">
        <v>1269</v>
      </c>
      <c r="E513" t="s">
        <v>2075</v>
      </c>
      <c r="G513">
        <f>"0684830493"</f>
        <v>0</v>
      </c>
      <c r="H513">
        <f>"9780684830490"</f>
        <v>0</v>
      </c>
      <c r="I513">
        <v>3</v>
      </c>
      <c r="J513">
        <v>3.79</v>
      </c>
      <c r="K513" t="s">
        <v>3064</v>
      </c>
      <c r="L513" t="s">
        <v>3492</v>
      </c>
      <c r="M513">
        <v>96</v>
      </c>
      <c r="N513">
        <v>1996</v>
      </c>
      <c r="O513">
        <v>1952</v>
      </c>
      <c r="Q513" t="s">
        <v>3749</v>
      </c>
      <c r="T513" t="s">
        <v>4621</v>
      </c>
      <c r="X513">
        <v>1</v>
      </c>
      <c r="AA513">
        <v>0</v>
      </c>
    </row>
    <row r="514" spans="1:27">
      <c r="A514" s="1">
        <v>512</v>
      </c>
      <c r="B514">
        <v>40538681</v>
      </c>
      <c r="C514" t="s">
        <v>543</v>
      </c>
      <c r="D514" t="s">
        <v>1505</v>
      </c>
      <c r="E514" t="s">
        <v>2311</v>
      </c>
      <c r="G514">
        <f>"1501134612"</f>
        <v>0</v>
      </c>
      <c r="H514">
        <f>"9781501134616"</f>
        <v>0</v>
      </c>
      <c r="I514">
        <v>4</v>
      </c>
      <c r="J514">
        <v>4.37</v>
      </c>
      <c r="K514" t="s">
        <v>3097</v>
      </c>
      <c r="L514" t="s">
        <v>3492</v>
      </c>
      <c r="M514">
        <v>538</v>
      </c>
      <c r="N514">
        <v>2019</v>
      </c>
      <c r="O514">
        <v>2019</v>
      </c>
      <c r="Q514" t="s">
        <v>3750</v>
      </c>
      <c r="T514" t="s">
        <v>4621</v>
      </c>
      <c r="X514">
        <v>1</v>
      </c>
      <c r="AA514">
        <v>0</v>
      </c>
    </row>
    <row r="515" spans="1:27">
      <c r="A515" s="1">
        <v>513</v>
      </c>
      <c r="B515">
        <v>113440</v>
      </c>
      <c r="C515" t="s">
        <v>544</v>
      </c>
      <c r="D515" t="s">
        <v>1506</v>
      </c>
      <c r="E515" t="s">
        <v>2312</v>
      </c>
      <c r="F515" t="s">
        <v>2823</v>
      </c>
      <c r="G515">
        <f>"0226674339"</f>
        <v>0</v>
      </c>
      <c r="H515">
        <f>"9780226674339"</f>
        <v>0</v>
      </c>
      <c r="I515">
        <v>3</v>
      </c>
      <c r="J515">
        <v>4.3</v>
      </c>
      <c r="K515" t="s">
        <v>3052</v>
      </c>
      <c r="L515" t="s">
        <v>3491</v>
      </c>
      <c r="M515">
        <v>232</v>
      </c>
      <c r="N515">
        <v>2007</v>
      </c>
      <c r="O515">
        <v>2002</v>
      </c>
      <c r="Q515" t="s">
        <v>3750</v>
      </c>
      <c r="T515" t="s">
        <v>4621</v>
      </c>
      <c r="X515">
        <v>1</v>
      </c>
      <c r="AA515">
        <v>0</v>
      </c>
    </row>
    <row r="516" spans="1:27">
      <c r="A516" s="1">
        <v>514</v>
      </c>
      <c r="B516">
        <v>48855</v>
      </c>
      <c r="C516" t="s">
        <v>545</v>
      </c>
      <c r="D516" t="s">
        <v>1507</v>
      </c>
      <c r="E516" t="s">
        <v>2313</v>
      </c>
      <c r="F516" t="s">
        <v>2824</v>
      </c>
      <c r="G516">
        <f>""</f>
        <v>0</v>
      </c>
      <c r="H516">
        <f>""</f>
        <v>0</v>
      </c>
      <c r="I516">
        <v>2</v>
      </c>
      <c r="J516">
        <v>4.18</v>
      </c>
      <c r="K516" t="s">
        <v>3256</v>
      </c>
      <c r="L516" t="s">
        <v>3495</v>
      </c>
      <c r="M516">
        <v>283</v>
      </c>
      <c r="N516">
        <v>1993</v>
      </c>
      <c r="O516">
        <v>1947</v>
      </c>
      <c r="Q516" t="s">
        <v>3750</v>
      </c>
      <c r="T516" t="s">
        <v>4621</v>
      </c>
      <c r="X516">
        <v>1</v>
      </c>
      <c r="AA516">
        <v>0</v>
      </c>
    </row>
    <row r="517" spans="1:27">
      <c r="A517" s="1">
        <v>515</v>
      </c>
      <c r="B517">
        <v>41716921</v>
      </c>
      <c r="C517" t="s">
        <v>546</v>
      </c>
      <c r="D517" t="s">
        <v>1482</v>
      </c>
      <c r="E517" t="s">
        <v>2288</v>
      </c>
      <c r="G517">
        <f>"0316441430"</f>
        <v>0</v>
      </c>
      <c r="H517">
        <f>"9780316441438"</f>
        <v>0</v>
      </c>
      <c r="I517">
        <v>4</v>
      </c>
      <c r="J517">
        <v>4.25</v>
      </c>
      <c r="K517" t="s">
        <v>3285</v>
      </c>
      <c r="L517" t="s">
        <v>3492</v>
      </c>
      <c r="M517">
        <v>560</v>
      </c>
      <c r="N517">
        <v>2019</v>
      </c>
      <c r="O517">
        <v>2019</v>
      </c>
      <c r="Q517" t="s">
        <v>3750</v>
      </c>
      <c r="T517" t="s">
        <v>4621</v>
      </c>
      <c r="X517">
        <v>1</v>
      </c>
      <c r="AA517">
        <v>0</v>
      </c>
    </row>
    <row r="518" spans="1:27">
      <c r="A518" s="1">
        <v>516</v>
      </c>
      <c r="B518">
        <v>4465</v>
      </c>
      <c r="C518" t="s">
        <v>547</v>
      </c>
      <c r="D518" t="s">
        <v>1277</v>
      </c>
      <c r="E518" t="s">
        <v>2083</v>
      </c>
      <c r="G518">
        <f>"1842055062"</f>
        <v>0</v>
      </c>
      <c r="H518">
        <f>"9781842055069"</f>
        <v>0</v>
      </c>
      <c r="I518">
        <v>4</v>
      </c>
      <c r="J518">
        <v>4.42</v>
      </c>
      <c r="K518" t="s">
        <v>3286</v>
      </c>
      <c r="M518">
        <v>189</v>
      </c>
      <c r="N518">
        <v>2004</v>
      </c>
      <c r="O518">
        <v>1891</v>
      </c>
      <c r="Q518" t="s">
        <v>3750</v>
      </c>
      <c r="T518" t="s">
        <v>4621</v>
      </c>
      <c r="X518">
        <v>1</v>
      </c>
      <c r="AA518">
        <v>0</v>
      </c>
    </row>
    <row r="519" spans="1:27">
      <c r="A519" s="1">
        <v>517</v>
      </c>
      <c r="B519">
        <v>2122</v>
      </c>
      <c r="C519" t="s">
        <v>548</v>
      </c>
      <c r="D519" t="s">
        <v>1508</v>
      </c>
      <c r="E519" t="s">
        <v>2314</v>
      </c>
      <c r="F519" t="s">
        <v>2825</v>
      </c>
      <c r="G519">
        <f>""</f>
        <v>0</v>
      </c>
      <c r="H519">
        <f>""</f>
        <v>0</v>
      </c>
      <c r="I519">
        <v>4</v>
      </c>
      <c r="J519">
        <v>3.88</v>
      </c>
      <c r="K519" t="s">
        <v>3287</v>
      </c>
      <c r="L519" t="s">
        <v>3495</v>
      </c>
      <c r="M519">
        <v>704</v>
      </c>
      <c r="N519">
        <v>1996</v>
      </c>
      <c r="O519">
        <v>1943</v>
      </c>
      <c r="Q519" t="s">
        <v>3750</v>
      </c>
      <c r="T519" t="s">
        <v>4621</v>
      </c>
      <c r="X519">
        <v>1</v>
      </c>
      <c r="AA519">
        <v>0</v>
      </c>
    </row>
    <row r="520" spans="1:27">
      <c r="A520" s="1">
        <v>518</v>
      </c>
      <c r="B520">
        <v>662</v>
      </c>
      <c r="C520" t="s">
        <v>549</v>
      </c>
      <c r="D520" t="s">
        <v>1508</v>
      </c>
      <c r="E520" t="s">
        <v>2314</v>
      </c>
      <c r="F520" t="s">
        <v>2826</v>
      </c>
      <c r="G520">
        <f>"0452011876"</f>
        <v>0</v>
      </c>
      <c r="H520">
        <f>"9780452011878"</f>
        <v>0</v>
      </c>
      <c r="I520">
        <v>4</v>
      </c>
      <c r="J520">
        <v>3.69</v>
      </c>
      <c r="K520" t="s">
        <v>3288</v>
      </c>
      <c r="L520" t="s">
        <v>3491</v>
      </c>
      <c r="M520">
        <v>1168</v>
      </c>
      <c r="N520">
        <v>1999</v>
      </c>
      <c r="O520">
        <v>1957</v>
      </c>
      <c r="Q520" t="s">
        <v>3750</v>
      </c>
      <c r="T520" t="s">
        <v>4621</v>
      </c>
      <c r="X520">
        <v>1</v>
      </c>
      <c r="AA520">
        <v>0</v>
      </c>
    </row>
    <row r="521" spans="1:27">
      <c r="A521" s="1">
        <v>519</v>
      </c>
      <c r="B521">
        <v>667</v>
      </c>
      <c r="C521" t="s">
        <v>550</v>
      </c>
      <c r="D521" t="s">
        <v>1508</v>
      </c>
      <c r="E521" t="s">
        <v>2314</v>
      </c>
      <c r="F521" t="s">
        <v>2827</v>
      </c>
      <c r="G521">
        <f>"0452281253"</f>
        <v>0</v>
      </c>
      <c r="H521">
        <f>"9780452281257"</f>
        <v>0</v>
      </c>
      <c r="I521">
        <v>3</v>
      </c>
      <c r="J521">
        <v>3.62</v>
      </c>
      <c r="K521" t="s">
        <v>3289</v>
      </c>
      <c r="L521" t="s">
        <v>3491</v>
      </c>
      <c r="M521">
        <v>105</v>
      </c>
      <c r="N521">
        <v>1999</v>
      </c>
      <c r="O521">
        <v>1938</v>
      </c>
      <c r="Q521" t="s">
        <v>3750</v>
      </c>
      <c r="T521" t="s">
        <v>4621</v>
      </c>
      <c r="X521">
        <v>1</v>
      </c>
      <c r="AA521">
        <v>0</v>
      </c>
    </row>
    <row r="522" spans="1:27">
      <c r="A522" s="1">
        <v>520</v>
      </c>
      <c r="B522">
        <v>17245</v>
      </c>
      <c r="C522" t="s">
        <v>551</v>
      </c>
      <c r="D522" t="s">
        <v>1509</v>
      </c>
      <c r="E522" t="s">
        <v>2315</v>
      </c>
      <c r="F522" t="s">
        <v>2828</v>
      </c>
      <c r="G522">
        <f>"0393970124"</f>
        <v>0</v>
      </c>
      <c r="H522">
        <f>"9780393970128"</f>
        <v>0</v>
      </c>
      <c r="I522">
        <v>2</v>
      </c>
      <c r="J522">
        <v>4.01</v>
      </c>
      <c r="K522" t="s">
        <v>3290</v>
      </c>
      <c r="L522" t="s">
        <v>3491</v>
      </c>
      <c r="M522">
        <v>488</v>
      </c>
      <c r="N522">
        <v>1986</v>
      </c>
      <c r="O522">
        <v>1897</v>
      </c>
      <c r="Q522" t="s">
        <v>3750</v>
      </c>
      <c r="T522" t="s">
        <v>4621</v>
      </c>
      <c r="X522">
        <v>1</v>
      </c>
      <c r="AA522">
        <v>0</v>
      </c>
    </row>
    <row r="523" spans="1:27">
      <c r="A523" s="1">
        <v>521</v>
      </c>
      <c r="B523">
        <v>253203</v>
      </c>
      <c r="C523" t="s">
        <v>552</v>
      </c>
      <c r="D523" t="s">
        <v>1176</v>
      </c>
      <c r="E523" t="s">
        <v>1982</v>
      </c>
      <c r="G523">
        <f>"0767922719"</f>
        <v>0</v>
      </c>
      <c r="H523">
        <f>"9780767922715"</f>
        <v>0</v>
      </c>
      <c r="I523">
        <v>2</v>
      </c>
      <c r="J523">
        <v>4.04</v>
      </c>
      <c r="K523" t="s">
        <v>3255</v>
      </c>
      <c r="L523" t="s">
        <v>3491</v>
      </c>
      <c r="M523">
        <v>217</v>
      </c>
      <c r="N523">
        <v>2006</v>
      </c>
      <c r="O523">
        <v>2006</v>
      </c>
      <c r="Q523" t="s">
        <v>3750</v>
      </c>
      <c r="T523" t="s">
        <v>4621</v>
      </c>
      <c r="X523">
        <v>1</v>
      </c>
      <c r="AA523">
        <v>0</v>
      </c>
    </row>
    <row r="524" spans="1:27">
      <c r="A524" s="1">
        <v>522</v>
      </c>
      <c r="B524">
        <v>31158752</v>
      </c>
      <c r="C524" t="s">
        <v>553</v>
      </c>
      <c r="D524" t="s">
        <v>1510</v>
      </c>
      <c r="E524" t="s">
        <v>2316</v>
      </c>
      <c r="G524">
        <f>"1524722960"</f>
        <v>0</v>
      </c>
      <c r="H524">
        <f>"9781524722968"</f>
        <v>0</v>
      </c>
      <c r="I524">
        <v>3</v>
      </c>
      <c r="J524">
        <v>4.28</v>
      </c>
      <c r="K524" t="s">
        <v>3291</v>
      </c>
      <c r="L524" t="s">
        <v>3499</v>
      </c>
      <c r="N524">
        <v>2017</v>
      </c>
      <c r="O524">
        <v>2017</v>
      </c>
      <c r="Q524" t="s">
        <v>3750</v>
      </c>
      <c r="T524" t="s">
        <v>4621</v>
      </c>
      <c r="X524">
        <v>1</v>
      </c>
      <c r="AA524">
        <v>0</v>
      </c>
    </row>
    <row r="525" spans="1:27">
      <c r="A525" s="1">
        <v>523</v>
      </c>
      <c r="B525">
        <v>394535</v>
      </c>
      <c r="C525" t="s">
        <v>554</v>
      </c>
      <c r="D525" t="s">
        <v>1183</v>
      </c>
      <c r="E525" t="s">
        <v>1989</v>
      </c>
      <c r="G525">
        <f>""</f>
        <v>0</v>
      </c>
      <c r="H525">
        <f>""</f>
        <v>0</v>
      </c>
      <c r="I525">
        <v>4</v>
      </c>
      <c r="J525">
        <v>4.16</v>
      </c>
      <c r="K525" t="s">
        <v>3292</v>
      </c>
      <c r="L525" t="s">
        <v>3491</v>
      </c>
      <c r="M525">
        <v>351</v>
      </c>
      <c r="N525">
        <v>1992</v>
      </c>
      <c r="O525">
        <v>1985</v>
      </c>
      <c r="Q525" t="s">
        <v>3750</v>
      </c>
      <c r="T525" t="s">
        <v>4621</v>
      </c>
      <c r="X525">
        <v>1</v>
      </c>
      <c r="AA525">
        <v>0</v>
      </c>
    </row>
    <row r="526" spans="1:27">
      <c r="A526" s="1">
        <v>524</v>
      </c>
      <c r="B526">
        <v>1971304</v>
      </c>
      <c r="C526" t="s">
        <v>555</v>
      </c>
      <c r="D526" t="s">
        <v>1511</v>
      </c>
      <c r="E526" t="s">
        <v>2317</v>
      </c>
      <c r="G526">
        <f>"0670018708"</f>
        <v>0</v>
      </c>
      <c r="H526">
        <f>"9780670018703"</f>
        <v>0</v>
      </c>
      <c r="I526">
        <v>2</v>
      </c>
      <c r="J526">
        <v>4.27</v>
      </c>
      <c r="K526" t="s">
        <v>3293</v>
      </c>
      <c r="L526" t="s">
        <v>3492</v>
      </c>
      <c r="M526">
        <v>258</v>
      </c>
      <c r="N526">
        <v>2008</v>
      </c>
      <c r="O526">
        <v>2008</v>
      </c>
      <c r="Q526" t="s">
        <v>3750</v>
      </c>
      <c r="T526" t="s">
        <v>4621</v>
      </c>
      <c r="X526">
        <v>1</v>
      </c>
      <c r="AA526">
        <v>0</v>
      </c>
    </row>
    <row r="527" spans="1:27">
      <c r="A527" s="1">
        <v>525</v>
      </c>
      <c r="B527">
        <v>31253737</v>
      </c>
      <c r="C527" t="s">
        <v>556</v>
      </c>
      <c r="D527" t="s">
        <v>1512</v>
      </c>
      <c r="E527" t="s">
        <v>2318</v>
      </c>
      <c r="G527">
        <f>"1524756202"</f>
        <v>0</v>
      </c>
      <c r="H527">
        <f>"9781524756208"</f>
        <v>0</v>
      </c>
      <c r="I527">
        <v>3</v>
      </c>
      <c r="J527">
        <v>4.33</v>
      </c>
      <c r="K527" t="s">
        <v>3108</v>
      </c>
      <c r="L527" t="s">
        <v>3491</v>
      </c>
      <c r="M527">
        <v>656</v>
      </c>
      <c r="N527">
        <v>2017</v>
      </c>
      <c r="O527">
        <v>2017</v>
      </c>
      <c r="Q527" t="s">
        <v>3750</v>
      </c>
      <c r="T527" t="s">
        <v>4621</v>
      </c>
      <c r="X527">
        <v>1</v>
      </c>
      <c r="AA527">
        <v>0</v>
      </c>
    </row>
    <row r="528" spans="1:27">
      <c r="A528" s="1">
        <v>526</v>
      </c>
      <c r="B528">
        <v>15849465</v>
      </c>
      <c r="C528" t="s">
        <v>557</v>
      </c>
      <c r="D528" t="s">
        <v>1513</v>
      </c>
      <c r="E528" t="s">
        <v>2319</v>
      </c>
      <c r="G528">
        <f>"0307730700"</f>
        <v>0</v>
      </c>
      <c r="H528">
        <f>"9780307730701"</f>
        <v>0</v>
      </c>
      <c r="I528">
        <v>2</v>
      </c>
      <c r="J528">
        <v>4.56</v>
      </c>
      <c r="K528" t="s">
        <v>3294</v>
      </c>
      <c r="L528" t="s">
        <v>3491</v>
      </c>
      <c r="M528">
        <v>368</v>
      </c>
      <c r="N528">
        <v>2013</v>
      </c>
      <c r="O528">
        <v>2012</v>
      </c>
      <c r="Q528" t="s">
        <v>3750</v>
      </c>
      <c r="T528" t="s">
        <v>4621</v>
      </c>
      <c r="X528">
        <v>1</v>
      </c>
      <c r="AA528">
        <v>0</v>
      </c>
    </row>
    <row r="529" spans="1:27">
      <c r="A529" s="1">
        <v>527</v>
      </c>
      <c r="B529">
        <v>23158207</v>
      </c>
      <c r="C529" t="s">
        <v>558</v>
      </c>
      <c r="D529" t="s">
        <v>1514</v>
      </c>
      <c r="E529" t="s">
        <v>2320</v>
      </c>
      <c r="F529" t="s">
        <v>2829</v>
      </c>
      <c r="G529">
        <f>""</f>
        <v>0</v>
      </c>
      <c r="H529">
        <f>""</f>
        <v>0</v>
      </c>
      <c r="I529">
        <v>3</v>
      </c>
      <c r="J529">
        <v>4.05</v>
      </c>
      <c r="K529" t="s">
        <v>3223</v>
      </c>
      <c r="L529" t="s">
        <v>3493</v>
      </c>
      <c r="M529">
        <v>286</v>
      </c>
      <c r="N529">
        <v>2014</v>
      </c>
      <c r="O529">
        <v>2014</v>
      </c>
      <c r="Q529" t="s">
        <v>3750</v>
      </c>
      <c r="T529" t="s">
        <v>4621</v>
      </c>
      <c r="X529">
        <v>1</v>
      </c>
      <c r="AA529">
        <v>0</v>
      </c>
    </row>
    <row r="530" spans="1:27">
      <c r="A530" s="1">
        <v>528</v>
      </c>
      <c r="B530">
        <v>17690</v>
      </c>
      <c r="C530" t="s">
        <v>559</v>
      </c>
      <c r="D530" t="s">
        <v>1268</v>
      </c>
      <c r="E530" t="s">
        <v>2074</v>
      </c>
      <c r="F530" t="s">
        <v>2830</v>
      </c>
      <c r="G530">
        <f>""</f>
        <v>0</v>
      </c>
      <c r="H530">
        <f>""</f>
        <v>0</v>
      </c>
      <c r="I530">
        <v>1</v>
      </c>
      <c r="J530">
        <v>3.96</v>
      </c>
      <c r="K530" t="s">
        <v>3029</v>
      </c>
      <c r="L530" t="s">
        <v>3491</v>
      </c>
      <c r="M530">
        <v>255</v>
      </c>
      <c r="N530">
        <v>2001</v>
      </c>
      <c r="O530">
        <v>1925</v>
      </c>
      <c r="Q530" t="s">
        <v>3750</v>
      </c>
      <c r="T530" t="s">
        <v>4621</v>
      </c>
      <c r="X530">
        <v>1</v>
      </c>
      <c r="AA530">
        <v>0</v>
      </c>
    </row>
    <row r="531" spans="1:27">
      <c r="A531" s="1">
        <v>529</v>
      </c>
      <c r="B531">
        <v>17877</v>
      </c>
      <c r="C531" t="s">
        <v>560</v>
      </c>
      <c r="D531" t="s">
        <v>1319</v>
      </c>
      <c r="E531" t="s">
        <v>2125</v>
      </c>
      <c r="F531" t="s">
        <v>2831</v>
      </c>
      <c r="G531">
        <f>"0486434095"</f>
        <v>0</v>
      </c>
      <c r="H531">
        <f>"9780486434094"</f>
        <v>0</v>
      </c>
      <c r="I531">
        <v>2</v>
      </c>
      <c r="J531">
        <v>4.06</v>
      </c>
      <c r="K531" t="s">
        <v>3045</v>
      </c>
      <c r="L531" t="s">
        <v>3491</v>
      </c>
      <c r="M531">
        <v>247</v>
      </c>
      <c r="N531">
        <v>2004</v>
      </c>
      <c r="O531">
        <v>1861</v>
      </c>
      <c r="Q531" t="s">
        <v>3751</v>
      </c>
      <c r="T531" t="s">
        <v>4621</v>
      </c>
      <c r="X531">
        <v>1</v>
      </c>
      <c r="AA531">
        <v>0</v>
      </c>
    </row>
    <row r="532" spans="1:27">
      <c r="A532" s="1">
        <v>530</v>
      </c>
      <c r="B532">
        <v>49455</v>
      </c>
      <c r="C532" t="s">
        <v>561</v>
      </c>
      <c r="D532" t="s">
        <v>1319</v>
      </c>
      <c r="E532" t="s">
        <v>2125</v>
      </c>
      <c r="F532" t="s">
        <v>2832</v>
      </c>
      <c r="G532">
        <f>"067973452X"</f>
        <v>0</v>
      </c>
      <c r="H532">
        <f>"9780679734529"</f>
        <v>0</v>
      </c>
      <c r="I532">
        <v>2</v>
      </c>
      <c r="J532">
        <v>4.17</v>
      </c>
      <c r="K532" t="s">
        <v>3002</v>
      </c>
      <c r="L532" t="s">
        <v>3491</v>
      </c>
      <c r="M532">
        <v>136</v>
      </c>
      <c r="N532">
        <v>1994</v>
      </c>
      <c r="O532">
        <v>1864</v>
      </c>
      <c r="Q532" t="s">
        <v>3751</v>
      </c>
      <c r="T532" t="s">
        <v>4621</v>
      </c>
      <c r="X532">
        <v>1</v>
      </c>
      <c r="AA532">
        <v>0</v>
      </c>
    </row>
    <row r="533" spans="1:27">
      <c r="A533" s="1">
        <v>531</v>
      </c>
      <c r="B533">
        <v>1052</v>
      </c>
      <c r="C533" t="s">
        <v>562</v>
      </c>
      <c r="D533" t="s">
        <v>1515</v>
      </c>
      <c r="E533" t="s">
        <v>2321</v>
      </c>
      <c r="G533">
        <f>"0451205367"</f>
        <v>0</v>
      </c>
      <c r="H533">
        <f>"9780451205360"</f>
        <v>0</v>
      </c>
      <c r="I533">
        <v>2</v>
      </c>
      <c r="J533">
        <v>4.26</v>
      </c>
      <c r="K533" t="s">
        <v>3273</v>
      </c>
      <c r="L533" t="s">
        <v>3491</v>
      </c>
      <c r="M533">
        <v>194</v>
      </c>
      <c r="N533">
        <v>2008</v>
      </c>
      <c r="O533">
        <v>1926</v>
      </c>
      <c r="Q533" t="s">
        <v>3751</v>
      </c>
      <c r="T533" t="s">
        <v>4621</v>
      </c>
      <c r="X533">
        <v>1</v>
      </c>
      <c r="AA533">
        <v>0</v>
      </c>
    </row>
    <row r="534" spans="1:27">
      <c r="A534" s="1">
        <v>532</v>
      </c>
      <c r="B534">
        <v>170448</v>
      </c>
      <c r="C534" t="s">
        <v>563</v>
      </c>
      <c r="D534" t="s">
        <v>1106</v>
      </c>
      <c r="E534" t="s">
        <v>1913</v>
      </c>
      <c r="F534" t="s">
        <v>2833</v>
      </c>
      <c r="G534">
        <f>"0451526341"</f>
        <v>0</v>
      </c>
      <c r="H534">
        <f>"9780451526342"</f>
        <v>0</v>
      </c>
      <c r="I534">
        <v>3</v>
      </c>
      <c r="J534">
        <v>3.97</v>
      </c>
      <c r="K534" t="s">
        <v>3295</v>
      </c>
      <c r="L534" t="s">
        <v>3495</v>
      </c>
      <c r="M534">
        <v>141</v>
      </c>
      <c r="N534">
        <v>1996</v>
      </c>
      <c r="O534">
        <v>1945</v>
      </c>
      <c r="Q534" t="s">
        <v>3751</v>
      </c>
      <c r="T534" t="s">
        <v>4621</v>
      </c>
      <c r="X534">
        <v>1</v>
      </c>
      <c r="AA534">
        <v>0</v>
      </c>
    </row>
    <row r="535" spans="1:27">
      <c r="A535" s="1">
        <v>533</v>
      </c>
      <c r="B535">
        <v>3698</v>
      </c>
      <c r="C535" t="s">
        <v>564</v>
      </c>
      <c r="D535" t="s">
        <v>1076</v>
      </c>
      <c r="E535" t="s">
        <v>1883</v>
      </c>
      <c r="F535" t="s">
        <v>2834</v>
      </c>
      <c r="G535">
        <f>"0143039024"</f>
        <v>0</v>
      </c>
      <c r="H535">
        <f>"9780143039020"</f>
        <v>0</v>
      </c>
      <c r="I535">
        <v>2</v>
      </c>
      <c r="J535">
        <v>3.96</v>
      </c>
      <c r="K535" t="s">
        <v>3296</v>
      </c>
      <c r="L535" t="s">
        <v>3491</v>
      </c>
      <c r="M535">
        <v>180</v>
      </c>
      <c r="N535">
        <v>2004</v>
      </c>
      <c r="O535">
        <v>1955</v>
      </c>
      <c r="Q535" t="s">
        <v>3751</v>
      </c>
      <c r="T535" t="s">
        <v>4621</v>
      </c>
      <c r="X535">
        <v>1</v>
      </c>
      <c r="AA535">
        <v>0</v>
      </c>
    </row>
    <row r="536" spans="1:27">
      <c r="A536" s="1">
        <v>534</v>
      </c>
      <c r="B536">
        <v>34890015</v>
      </c>
      <c r="C536" t="s">
        <v>565</v>
      </c>
      <c r="D536" t="s">
        <v>1516</v>
      </c>
      <c r="E536" t="s">
        <v>2322</v>
      </c>
      <c r="F536" t="s">
        <v>2835</v>
      </c>
      <c r="G536">
        <f>"1473637465"</f>
        <v>0</v>
      </c>
      <c r="H536">
        <f>"9781473637467"</f>
        <v>0</v>
      </c>
      <c r="I536">
        <v>3</v>
      </c>
      <c r="J536">
        <v>4.36</v>
      </c>
      <c r="K536" t="s">
        <v>3297</v>
      </c>
      <c r="L536" t="s">
        <v>3492</v>
      </c>
      <c r="M536">
        <v>342</v>
      </c>
      <c r="N536">
        <v>2018</v>
      </c>
      <c r="O536">
        <v>2018</v>
      </c>
      <c r="Q536" t="s">
        <v>3751</v>
      </c>
      <c r="T536" t="s">
        <v>4621</v>
      </c>
      <c r="X536">
        <v>1</v>
      </c>
      <c r="AA536">
        <v>0</v>
      </c>
    </row>
    <row r="537" spans="1:27">
      <c r="A537" s="1">
        <v>535</v>
      </c>
      <c r="B537">
        <v>2657</v>
      </c>
      <c r="C537" t="s">
        <v>566</v>
      </c>
      <c r="D537" t="s">
        <v>1517</v>
      </c>
      <c r="E537" t="s">
        <v>2323</v>
      </c>
      <c r="G537">
        <f>""</f>
        <v>0</v>
      </c>
      <c r="H537">
        <f>""</f>
        <v>0</v>
      </c>
      <c r="I537">
        <v>3</v>
      </c>
      <c r="J537">
        <v>4.27</v>
      </c>
      <c r="K537" t="s">
        <v>3298</v>
      </c>
      <c r="L537" t="s">
        <v>3491</v>
      </c>
      <c r="M537">
        <v>336</v>
      </c>
      <c r="N537">
        <v>2006</v>
      </c>
      <c r="O537">
        <v>1960</v>
      </c>
      <c r="Q537" t="s">
        <v>3751</v>
      </c>
      <c r="T537" t="s">
        <v>4621</v>
      </c>
      <c r="X537">
        <v>1</v>
      </c>
      <c r="AA537">
        <v>0</v>
      </c>
    </row>
    <row r="538" spans="1:27">
      <c r="A538" s="1">
        <v>536</v>
      </c>
      <c r="B538">
        <v>29981</v>
      </c>
      <c r="C538" t="s">
        <v>567</v>
      </c>
      <c r="D538" t="s">
        <v>1339</v>
      </c>
      <c r="E538" t="s">
        <v>2145</v>
      </c>
      <c r="F538" t="s">
        <v>2836</v>
      </c>
      <c r="G538">
        <f>"0553214322"</f>
        <v>0</v>
      </c>
      <c r="H538">
        <f>"9780553214321"</f>
        <v>0</v>
      </c>
      <c r="I538">
        <v>2</v>
      </c>
      <c r="J538">
        <v>3.73</v>
      </c>
      <c r="K538" t="s">
        <v>3175</v>
      </c>
      <c r="L538" t="s">
        <v>3491</v>
      </c>
      <c r="M538">
        <v>153</v>
      </c>
      <c r="N538">
        <v>1999</v>
      </c>
      <c r="O538">
        <v>1896</v>
      </c>
      <c r="Q538" t="s">
        <v>3751</v>
      </c>
      <c r="T538" t="s">
        <v>4621</v>
      </c>
      <c r="X538">
        <v>1</v>
      </c>
      <c r="AA538">
        <v>0</v>
      </c>
    </row>
    <row r="539" spans="1:27">
      <c r="A539" s="1">
        <v>537</v>
      </c>
      <c r="B539">
        <v>3758</v>
      </c>
      <c r="C539" t="s">
        <v>568</v>
      </c>
      <c r="D539" t="s">
        <v>1518</v>
      </c>
      <c r="E539" t="s">
        <v>2324</v>
      </c>
      <c r="G539">
        <f>"014200202X"</f>
        <v>0</v>
      </c>
      <c r="H539">
        <f>"9780142002025"</f>
        <v>0</v>
      </c>
      <c r="I539">
        <v>2</v>
      </c>
      <c r="J539">
        <v>3.74</v>
      </c>
      <c r="K539" t="s">
        <v>3072</v>
      </c>
      <c r="L539" t="s">
        <v>3491</v>
      </c>
      <c r="M539">
        <v>192</v>
      </c>
      <c r="N539">
        <v>2002</v>
      </c>
      <c r="O539">
        <v>1953</v>
      </c>
      <c r="Q539" t="s">
        <v>3751</v>
      </c>
      <c r="T539" t="s">
        <v>4621</v>
      </c>
      <c r="X539">
        <v>1</v>
      </c>
      <c r="AA539">
        <v>0</v>
      </c>
    </row>
    <row r="540" spans="1:27">
      <c r="A540" s="1">
        <v>538</v>
      </c>
      <c r="B540">
        <v>43015</v>
      </c>
      <c r="C540" t="s">
        <v>569</v>
      </c>
      <c r="D540" t="s">
        <v>1519</v>
      </c>
      <c r="E540" t="s">
        <v>2325</v>
      </c>
      <c r="G540">
        <f>"0374105235"</f>
        <v>0</v>
      </c>
      <c r="H540">
        <f>"9780374105235"</f>
        <v>0</v>
      </c>
      <c r="I540">
        <v>2</v>
      </c>
      <c r="J540">
        <v>4.14</v>
      </c>
      <c r="K540" t="s">
        <v>3299</v>
      </c>
      <c r="L540" t="s">
        <v>3492</v>
      </c>
      <c r="M540">
        <v>229</v>
      </c>
      <c r="N540">
        <v>2007</v>
      </c>
      <c r="O540">
        <v>2007</v>
      </c>
      <c r="Q540" t="s">
        <v>3751</v>
      </c>
      <c r="T540" t="s">
        <v>4621</v>
      </c>
      <c r="X540">
        <v>1</v>
      </c>
      <c r="AA540">
        <v>0</v>
      </c>
    </row>
    <row r="541" spans="1:27">
      <c r="A541" s="1">
        <v>539</v>
      </c>
      <c r="B541">
        <v>5907</v>
      </c>
      <c r="C541" t="s">
        <v>570</v>
      </c>
      <c r="D541" t="s">
        <v>1520</v>
      </c>
      <c r="E541" t="s">
        <v>2326</v>
      </c>
      <c r="F541" t="s">
        <v>2837</v>
      </c>
      <c r="G541">
        <f>""</f>
        <v>0</v>
      </c>
      <c r="H541">
        <f>""</f>
        <v>0</v>
      </c>
      <c r="I541">
        <v>3</v>
      </c>
      <c r="J541">
        <v>4.28</v>
      </c>
      <c r="K541" t="s">
        <v>3300</v>
      </c>
      <c r="L541" t="s">
        <v>3491</v>
      </c>
      <c r="M541">
        <v>366</v>
      </c>
      <c r="N541">
        <v>2002</v>
      </c>
      <c r="O541">
        <v>1937</v>
      </c>
      <c r="Q541" t="s">
        <v>3751</v>
      </c>
      <c r="T541" t="s">
        <v>4621</v>
      </c>
      <c r="X541">
        <v>1</v>
      </c>
      <c r="AA541">
        <v>0</v>
      </c>
    </row>
    <row r="542" spans="1:27">
      <c r="A542" s="1">
        <v>540</v>
      </c>
      <c r="B542">
        <v>39092290</v>
      </c>
      <c r="C542" t="s">
        <v>571</v>
      </c>
      <c r="D542" t="s">
        <v>1521</v>
      </c>
      <c r="E542" t="s">
        <v>2327</v>
      </c>
      <c r="G542">
        <f>""</f>
        <v>0</v>
      </c>
      <c r="H542">
        <f>""</f>
        <v>0</v>
      </c>
      <c r="I542">
        <v>4</v>
      </c>
      <c r="J542">
        <v>3.94</v>
      </c>
      <c r="K542" t="s">
        <v>3301</v>
      </c>
      <c r="L542" t="s">
        <v>3493</v>
      </c>
      <c r="M542">
        <v>166</v>
      </c>
      <c r="N542">
        <v>2012</v>
      </c>
      <c r="O542">
        <v>1933</v>
      </c>
      <c r="Q542" t="s">
        <v>3751</v>
      </c>
      <c r="T542" t="s">
        <v>4621</v>
      </c>
      <c r="X542">
        <v>1</v>
      </c>
      <c r="AA542">
        <v>0</v>
      </c>
    </row>
    <row r="543" spans="1:27">
      <c r="A543" s="1">
        <v>541</v>
      </c>
      <c r="B543">
        <v>5308</v>
      </c>
      <c r="C543" t="s">
        <v>572</v>
      </c>
      <c r="D543" t="s">
        <v>1092</v>
      </c>
      <c r="E543" t="s">
        <v>1899</v>
      </c>
      <c r="G543">
        <f>"0142000698"</f>
        <v>0</v>
      </c>
      <c r="H543">
        <f>"9780142000694"</f>
        <v>0</v>
      </c>
      <c r="I543">
        <v>2</v>
      </c>
      <c r="J543">
        <v>3.51</v>
      </c>
      <c r="K543" t="s">
        <v>3010</v>
      </c>
      <c r="L543" t="s">
        <v>3491</v>
      </c>
      <c r="M543">
        <v>96</v>
      </c>
      <c r="N543">
        <v>2002</v>
      </c>
      <c r="O543">
        <v>1945</v>
      </c>
      <c r="Q543" t="s">
        <v>3751</v>
      </c>
      <c r="T543" t="s">
        <v>4621</v>
      </c>
      <c r="X543">
        <v>1</v>
      </c>
      <c r="AA543">
        <v>0</v>
      </c>
    </row>
    <row r="544" spans="1:27">
      <c r="A544" s="1">
        <v>542</v>
      </c>
      <c r="B544">
        <v>32831</v>
      </c>
      <c r="C544" t="s">
        <v>573</v>
      </c>
      <c r="D544" t="s">
        <v>1522</v>
      </c>
      <c r="E544" t="s">
        <v>2328</v>
      </c>
      <c r="F544" t="s">
        <v>2838</v>
      </c>
      <c r="G544">
        <f>"0812972120"</f>
        <v>0</v>
      </c>
      <c r="H544">
        <f>"9780812972122"</f>
        <v>0</v>
      </c>
      <c r="I544">
        <v>3</v>
      </c>
      <c r="J544">
        <v>4.12</v>
      </c>
      <c r="K544" t="s">
        <v>3157</v>
      </c>
      <c r="L544" t="s">
        <v>3495</v>
      </c>
      <c r="M544">
        <v>723</v>
      </c>
      <c r="N544">
        <v>2004</v>
      </c>
      <c r="O544">
        <v>1875</v>
      </c>
      <c r="Q544" t="s">
        <v>3751</v>
      </c>
      <c r="T544" t="s">
        <v>4621</v>
      </c>
      <c r="X544">
        <v>1</v>
      </c>
      <c r="AA544">
        <v>0</v>
      </c>
    </row>
    <row r="545" spans="1:27">
      <c r="A545" s="1">
        <v>543</v>
      </c>
      <c r="B545">
        <v>33507</v>
      </c>
      <c r="C545" t="s">
        <v>574</v>
      </c>
      <c r="D545" t="s">
        <v>1522</v>
      </c>
      <c r="E545" t="s">
        <v>2328</v>
      </c>
      <c r="F545" t="s">
        <v>2839</v>
      </c>
      <c r="G545">
        <f>"076072850X"</f>
        <v>0</v>
      </c>
      <c r="H545">
        <f>"9780760728505"</f>
        <v>0</v>
      </c>
      <c r="I545">
        <v>4</v>
      </c>
      <c r="J545">
        <v>3.89</v>
      </c>
      <c r="K545" t="s">
        <v>3302</v>
      </c>
      <c r="L545" t="s">
        <v>3492</v>
      </c>
      <c r="M545">
        <v>394</v>
      </c>
      <c r="N545">
        <v>2002</v>
      </c>
      <c r="O545">
        <v>1870</v>
      </c>
      <c r="Q545" t="s">
        <v>3751</v>
      </c>
      <c r="T545" t="s">
        <v>4621</v>
      </c>
      <c r="X545">
        <v>1</v>
      </c>
      <c r="AA545">
        <v>0</v>
      </c>
    </row>
    <row r="546" spans="1:27">
      <c r="A546" s="1">
        <v>544</v>
      </c>
      <c r="B546">
        <v>27127656</v>
      </c>
      <c r="C546" t="s">
        <v>575</v>
      </c>
      <c r="D546" t="s">
        <v>913</v>
      </c>
      <c r="E546" t="s">
        <v>1880</v>
      </c>
      <c r="G546">
        <f>"1517514614"</f>
        <v>0</v>
      </c>
      <c r="H546">
        <f>"9781517514617"</f>
        <v>0</v>
      </c>
      <c r="I546">
        <v>3</v>
      </c>
      <c r="J546">
        <v>3.38</v>
      </c>
      <c r="K546" t="s">
        <v>3303</v>
      </c>
      <c r="L546" t="s">
        <v>3491</v>
      </c>
      <c r="M546">
        <v>738</v>
      </c>
      <c r="N546">
        <v>2015</v>
      </c>
      <c r="O546">
        <v>2015</v>
      </c>
      <c r="Q546" t="s">
        <v>3751</v>
      </c>
      <c r="T546" t="s">
        <v>4621</v>
      </c>
      <c r="X546">
        <v>1</v>
      </c>
      <c r="AA546">
        <v>0</v>
      </c>
    </row>
    <row r="547" spans="1:27">
      <c r="A547" s="1">
        <v>545</v>
      </c>
      <c r="B547">
        <v>78127</v>
      </c>
      <c r="C547" t="s">
        <v>576</v>
      </c>
      <c r="D547" t="s">
        <v>1523</v>
      </c>
      <c r="E547" t="s">
        <v>2329</v>
      </c>
      <c r="G547">
        <f>"0316191442"</f>
        <v>0</v>
      </c>
      <c r="H547">
        <f>"9780316191449"</f>
        <v>0</v>
      </c>
      <c r="I547">
        <v>4</v>
      </c>
      <c r="J547">
        <v>4.12</v>
      </c>
      <c r="K547" t="s">
        <v>3243</v>
      </c>
      <c r="L547" t="s">
        <v>3491</v>
      </c>
      <c r="M547">
        <v>367</v>
      </c>
      <c r="N547">
        <v>2003</v>
      </c>
      <c r="O547">
        <v>1995</v>
      </c>
      <c r="Q547" t="s">
        <v>3751</v>
      </c>
      <c r="T547" t="s">
        <v>4621</v>
      </c>
      <c r="X547">
        <v>1</v>
      </c>
      <c r="AA547">
        <v>0</v>
      </c>
    </row>
    <row r="548" spans="1:27">
      <c r="A548" s="1">
        <v>546</v>
      </c>
      <c r="B548">
        <v>6289283</v>
      </c>
      <c r="C548" t="s">
        <v>577</v>
      </c>
      <c r="D548" t="s">
        <v>1524</v>
      </c>
      <c r="E548" t="s">
        <v>2330</v>
      </c>
      <c r="G548">
        <f>""</f>
        <v>0</v>
      </c>
      <c r="H548">
        <f>""</f>
        <v>0</v>
      </c>
      <c r="I548">
        <v>2</v>
      </c>
      <c r="J548">
        <v>4.3</v>
      </c>
      <c r="K548" t="s">
        <v>3013</v>
      </c>
      <c r="L548" t="s">
        <v>3492</v>
      </c>
      <c r="M548">
        <v>287</v>
      </c>
      <c r="N548">
        <v>2009</v>
      </c>
      <c r="O548">
        <v>2009</v>
      </c>
      <c r="Q548" t="s">
        <v>3752</v>
      </c>
      <c r="T548" t="s">
        <v>4621</v>
      </c>
      <c r="X548">
        <v>1</v>
      </c>
      <c r="AA548">
        <v>0</v>
      </c>
    </row>
    <row r="549" spans="1:27">
      <c r="A549" s="1">
        <v>547</v>
      </c>
      <c r="B549">
        <v>39999</v>
      </c>
      <c r="C549" t="s">
        <v>578</v>
      </c>
      <c r="D549" t="s">
        <v>1525</v>
      </c>
      <c r="E549" t="s">
        <v>2331</v>
      </c>
      <c r="G549">
        <f>""</f>
        <v>0</v>
      </c>
      <c r="H549">
        <f>""</f>
        <v>0</v>
      </c>
      <c r="I549">
        <v>4</v>
      </c>
      <c r="J549">
        <v>4.15</v>
      </c>
      <c r="K549" t="s">
        <v>3304</v>
      </c>
      <c r="L549" t="s">
        <v>3492</v>
      </c>
      <c r="M549">
        <v>240</v>
      </c>
      <c r="N549">
        <v>2006</v>
      </c>
      <c r="O549">
        <v>2006</v>
      </c>
      <c r="Q549" t="s">
        <v>3567</v>
      </c>
      <c r="T549" t="s">
        <v>4621</v>
      </c>
      <c r="X549">
        <v>1</v>
      </c>
      <c r="AA549">
        <v>0</v>
      </c>
    </row>
    <row r="550" spans="1:27">
      <c r="A550" s="1">
        <v>548</v>
      </c>
      <c r="B550">
        <v>13079982</v>
      </c>
      <c r="C550" t="s">
        <v>579</v>
      </c>
      <c r="D550" t="s">
        <v>1074</v>
      </c>
      <c r="E550" t="s">
        <v>1881</v>
      </c>
      <c r="G550">
        <f>""</f>
        <v>0</v>
      </c>
      <c r="H550">
        <f>""</f>
        <v>0</v>
      </c>
      <c r="I550">
        <v>4</v>
      </c>
      <c r="J550">
        <v>3.98</v>
      </c>
      <c r="K550" t="s">
        <v>3097</v>
      </c>
      <c r="L550" t="s">
        <v>3493</v>
      </c>
      <c r="M550">
        <v>194</v>
      </c>
      <c r="N550">
        <v>2011</v>
      </c>
      <c r="O550">
        <v>1953</v>
      </c>
      <c r="Q550" t="s">
        <v>3753</v>
      </c>
      <c r="T550" t="s">
        <v>4621</v>
      </c>
      <c r="X550">
        <v>1</v>
      </c>
      <c r="AA550">
        <v>0</v>
      </c>
    </row>
    <row r="551" spans="1:27">
      <c r="A551" s="1">
        <v>549</v>
      </c>
      <c r="B551">
        <v>26125009</v>
      </c>
      <c r="C551" t="s">
        <v>580</v>
      </c>
      <c r="D551" t="s">
        <v>1526</v>
      </c>
      <c r="E551" t="s">
        <v>2332</v>
      </c>
      <c r="G551">
        <f>""</f>
        <v>0</v>
      </c>
      <c r="H551">
        <f>""</f>
        <v>0</v>
      </c>
      <c r="I551">
        <v>5</v>
      </c>
      <c r="J551">
        <v>4.57</v>
      </c>
      <c r="K551" t="s">
        <v>3305</v>
      </c>
      <c r="L551" t="s">
        <v>3493</v>
      </c>
      <c r="M551">
        <v>239</v>
      </c>
      <c r="N551">
        <v>2015</v>
      </c>
      <c r="O551">
        <v>2015</v>
      </c>
      <c r="Q551" t="s">
        <v>3754</v>
      </c>
      <c r="T551" t="s">
        <v>4621</v>
      </c>
      <c r="X551">
        <v>1</v>
      </c>
      <c r="AA551">
        <v>0</v>
      </c>
    </row>
    <row r="552" spans="1:27">
      <c r="A552" s="1">
        <v>550</v>
      </c>
      <c r="B552">
        <v>32074951</v>
      </c>
      <c r="C552" t="s">
        <v>581</v>
      </c>
      <c r="D552" t="s">
        <v>1527</v>
      </c>
      <c r="E552" t="s">
        <v>2333</v>
      </c>
      <c r="G552">
        <f>"1537666932"</f>
        <v>0</v>
      </c>
      <c r="H552">
        <f>"9781537666938"</f>
        <v>0</v>
      </c>
      <c r="I552">
        <v>5</v>
      </c>
      <c r="J552">
        <v>4.53</v>
      </c>
      <c r="K552" t="s">
        <v>3116</v>
      </c>
      <c r="L552" t="s">
        <v>3491</v>
      </c>
      <c r="M552">
        <v>140</v>
      </c>
      <c r="N552">
        <v>2016</v>
      </c>
      <c r="Q552" t="s">
        <v>3600</v>
      </c>
      <c r="T552" t="s">
        <v>4621</v>
      </c>
      <c r="X552">
        <v>1</v>
      </c>
      <c r="AA552">
        <v>0</v>
      </c>
    </row>
    <row r="553" spans="1:27">
      <c r="A553" s="1">
        <v>551</v>
      </c>
      <c r="B553">
        <v>1953</v>
      </c>
      <c r="C553" t="s">
        <v>582</v>
      </c>
      <c r="D553" t="s">
        <v>1528</v>
      </c>
      <c r="E553" t="s">
        <v>2334</v>
      </c>
      <c r="F553" t="s">
        <v>2840</v>
      </c>
      <c r="G553">
        <f>"0141439602"</f>
        <v>0</v>
      </c>
      <c r="H553">
        <f>"9780141439600"</f>
        <v>0</v>
      </c>
      <c r="I553">
        <v>4</v>
      </c>
      <c r="J553">
        <v>3.86</v>
      </c>
      <c r="K553" t="s">
        <v>3010</v>
      </c>
      <c r="L553" t="s">
        <v>3491</v>
      </c>
      <c r="M553">
        <v>489</v>
      </c>
      <c r="N553">
        <v>2003</v>
      </c>
      <c r="O553">
        <v>1859</v>
      </c>
      <c r="Q553" t="s">
        <v>3600</v>
      </c>
      <c r="T553" t="s">
        <v>4621</v>
      </c>
      <c r="X553">
        <v>1</v>
      </c>
      <c r="AA553">
        <v>0</v>
      </c>
    </row>
    <row r="554" spans="1:27">
      <c r="A554" s="1">
        <v>552</v>
      </c>
      <c r="B554">
        <v>426504</v>
      </c>
      <c r="C554" t="s">
        <v>583</v>
      </c>
      <c r="D554" t="s">
        <v>1529</v>
      </c>
      <c r="E554" t="s">
        <v>2335</v>
      </c>
      <c r="F554" t="s">
        <v>2841</v>
      </c>
      <c r="G554">
        <f>"0802130305"</f>
        <v>0</v>
      </c>
      <c r="H554">
        <f>"9780802130303"</f>
        <v>0</v>
      </c>
      <c r="I554">
        <v>1</v>
      </c>
      <c r="J554">
        <v>4.43</v>
      </c>
      <c r="K554" t="s">
        <v>3128</v>
      </c>
      <c r="L554" t="s">
        <v>3491</v>
      </c>
      <c r="M554">
        <v>174</v>
      </c>
      <c r="N554">
        <v>1994</v>
      </c>
      <c r="O554">
        <v>1944</v>
      </c>
      <c r="P554" t="s">
        <v>3528</v>
      </c>
      <c r="Q554" t="s">
        <v>3755</v>
      </c>
      <c r="T554" t="s">
        <v>4621</v>
      </c>
      <c r="X554">
        <v>1</v>
      </c>
      <c r="AA554">
        <v>0</v>
      </c>
    </row>
    <row r="555" spans="1:27">
      <c r="A555" s="1">
        <v>553</v>
      </c>
      <c r="B555">
        <v>83017</v>
      </c>
      <c r="C555" t="s">
        <v>584</v>
      </c>
      <c r="D555" t="s">
        <v>1530</v>
      </c>
      <c r="E555" t="s">
        <v>2336</v>
      </c>
      <c r="F555" t="s">
        <v>2842</v>
      </c>
      <c r="G555">
        <f>"1567923046"</f>
        <v>0</v>
      </c>
      <c r="H555">
        <f>"9781567923049"</f>
        <v>0</v>
      </c>
      <c r="I555">
        <v>5</v>
      </c>
      <c r="J555">
        <v>4.19</v>
      </c>
      <c r="K555" t="s">
        <v>3248</v>
      </c>
      <c r="L555" t="s">
        <v>3491</v>
      </c>
      <c r="M555">
        <v>198</v>
      </c>
      <c r="N555">
        <v>2005</v>
      </c>
      <c r="O555">
        <v>1940</v>
      </c>
      <c r="Q555" t="s">
        <v>3756</v>
      </c>
      <c r="R555" t="s">
        <v>3862</v>
      </c>
      <c r="S555" t="s">
        <v>4265</v>
      </c>
      <c r="T555" t="s">
        <v>4621</v>
      </c>
      <c r="X555">
        <v>0</v>
      </c>
      <c r="AA555">
        <v>0</v>
      </c>
    </row>
    <row r="556" spans="1:27">
      <c r="A556" s="1">
        <v>554</v>
      </c>
      <c r="B556">
        <v>102868</v>
      </c>
      <c r="C556" t="s">
        <v>585</v>
      </c>
      <c r="D556" t="s">
        <v>1277</v>
      </c>
      <c r="E556" t="s">
        <v>2083</v>
      </c>
      <c r="G556">
        <f>"1420925539"</f>
        <v>0</v>
      </c>
      <c r="H556">
        <f>"9781420925531"</f>
        <v>0</v>
      </c>
      <c r="I556">
        <v>4</v>
      </c>
      <c r="J556">
        <v>4.14</v>
      </c>
      <c r="K556" t="s">
        <v>3068</v>
      </c>
      <c r="L556" t="s">
        <v>3491</v>
      </c>
      <c r="M556">
        <v>123</v>
      </c>
      <c r="N556">
        <v>2005</v>
      </c>
      <c r="O556">
        <v>1887</v>
      </c>
      <c r="Q556" t="s">
        <v>3757</v>
      </c>
      <c r="T556" t="s">
        <v>4621</v>
      </c>
      <c r="X556">
        <v>1</v>
      </c>
      <c r="AA556">
        <v>0</v>
      </c>
    </row>
    <row r="557" spans="1:27">
      <c r="A557" s="1">
        <v>555</v>
      </c>
      <c r="B557">
        <v>8921</v>
      </c>
      <c r="C557" t="s">
        <v>586</v>
      </c>
      <c r="D557" t="s">
        <v>1277</v>
      </c>
      <c r="E557" t="s">
        <v>2083</v>
      </c>
      <c r="F557" t="s">
        <v>2843</v>
      </c>
      <c r="G557">
        <f>""</f>
        <v>0</v>
      </c>
      <c r="H557">
        <f>""</f>
        <v>0</v>
      </c>
      <c r="I557">
        <v>3</v>
      </c>
      <c r="J557">
        <v>4.13</v>
      </c>
      <c r="K557" t="s">
        <v>3049</v>
      </c>
      <c r="L557" t="s">
        <v>3495</v>
      </c>
      <c r="M557">
        <v>256</v>
      </c>
      <c r="N557">
        <v>2001</v>
      </c>
      <c r="O557">
        <v>1902</v>
      </c>
      <c r="Q557" t="s">
        <v>3757</v>
      </c>
      <c r="T557" t="s">
        <v>4621</v>
      </c>
      <c r="X557">
        <v>1</v>
      </c>
      <c r="AA557">
        <v>0</v>
      </c>
    </row>
    <row r="558" spans="1:27">
      <c r="A558" s="1">
        <v>556</v>
      </c>
      <c r="B558">
        <v>43070</v>
      </c>
      <c r="C558" t="s">
        <v>587</v>
      </c>
      <c r="D558" t="s">
        <v>1531</v>
      </c>
      <c r="E558" t="s">
        <v>2337</v>
      </c>
      <c r="G558">
        <f>"0836218051"</f>
        <v>0</v>
      </c>
      <c r="H558">
        <f>"9780836218053"</f>
        <v>0</v>
      </c>
      <c r="I558">
        <v>5</v>
      </c>
      <c r="J558">
        <v>4.64</v>
      </c>
      <c r="K558" t="s">
        <v>3306</v>
      </c>
      <c r="L558" t="s">
        <v>3491</v>
      </c>
      <c r="M558">
        <v>256</v>
      </c>
      <c r="N558">
        <v>1988</v>
      </c>
      <c r="O558">
        <v>1988</v>
      </c>
      <c r="Q558" t="s">
        <v>3758</v>
      </c>
      <c r="T558" t="s">
        <v>4621</v>
      </c>
      <c r="X558">
        <v>1</v>
      </c>
      <c r="AA558">
        <v>0</v>
      </c>
    </row>
    <row r="559" spans="1:27">
      <c r="A559" s="1">
        <v>557</v>
      </c>
      <c r="B559">
        <v>391206</v>
      </c>
      <c r="C559" t="s">
        <v>588</v>
      </c>
      <c r="D559" t="s">
        <v>1532</v>
      </c>
      <c r="E559" t="s">
        <v>2338</v>
      </c>
      <c r="F559" t="s">
        <v>2721</v>
      </c>
      <c r="G559">
        <f>"1860462944"</f>
        <v>0</v>
      </c>
      <c r="H559">
        <f>"9781860462948"</f>
        <v>0</v>
      </c>
      <c r="I559">
        <v>3</v>
      </c>
      <c r="J559">
        <v>4.03</v>
      </c>
      <c r="K559" t="s">
        <v>3307</v>
      </c>
      <c r="L559" t="s">
        <v>3491</v>
      </c>
      <c r="M559">
        <v>213</v>
      </c>
      <c r="N559">
        <v>1997</v>
      </c>
      <c r="O559">
        <v>1958</v>
      </c>
      <c r="Q559" t="s">
        <v>3759</v>
      </c>
      <c r="T559" t="s">
        <v>4621</v>
      </c>
      <c r="X559">
        <v>1</v>
      </c>
      <c r="AA559">
        <v>0</v>
      </c>
    </row>
    <row r="560" spans="1:27">
      <c r="A560" s="1">
        <v>558</v>
      </c>
      <c r="B560">
        <v>228665</v>
      </c>
      <c r="C560" t="s">
        <v>589</v>
      </c>
      <c r="D560" t="s">
        <v>1533</v>
      </c>
      <c r="E560" t="s">
        <v>2339</v>
      </c>
      <c r="F560" t="s">
        <v>2844</v>
      </c>
      <c r="G560">
        <f>"0812511816"</f>
        <v>0</v>
      </c>
      <c r="H560">
        <f>"9780812511819"</f>
        <v>0</v>
      </c>
      <c r="I560">
        <v>0</v>
      </c>
      <c r="J560">
        <v>4.18</v>
      </c>
      <c r="K560" t="s">
        <v>3144</v>
      </c>
      <c r="L560" t="s">
        <v>3495</v>
      </c>
      <c r="M560">
        <v>800</v>
      </c>
      <c r="N560">
        <v>1990</v>
      </c>
      <c r="O560">
        <v>1990</v>
      </c>
      <c r="Q560" t="s">
        <v>3760</v>
      </c>
      <c r="R560" t="s">
        <v>3863</v>
      </c>
      <c r="S560" t="s">
        <v>4266</v>
      </c>
      <c r="T560" t="s">
        <v>3863</v>
      </c>
      <c r="X560">
        <v>0</v>
      </c>
      <c r="AA560">
        <v>0</v>
      </c>
    </row>
    <row r="561" spans="1:27">
      <c r="A561" s="1">
        <v>559</v>
      </c>
      <c r="B561">
        <v>463361</v>
      </c>
      <c r="C561" t="s">
        <v>590</v>
      </c>
      <c r="D561" t="s">
        <v>1534</v>
      </c>
      <c r="E561" t="s">
        <v>2340</v>
      </c>
      <c r="G561">
        <f>"031289032X"</f>
        <v>0</v>
      </c>
      <c r="H561">
        <f>"9780312890322"</f>
        <v>0</v>
      </c>
      <c r="I561">
        <v>0</v>
      </c>
      <c r="J561">
        <v>3.67</v>
      </c>
      <c r="K561" t="s">
        <v>3308</v>
      </c>
      <c r="L561" t="s">
        <v>3491</v>
      </c>
      <c r="M561">
        <v>253</v>
      </c>
      <c r="N561">
        <v>1996</v>
      </c>
      <c r="O561">
        <v>1976</v>
      </c>
      <c r="Q561" t="s">
        <v>3760</v>
      </c>
      <c r="R561" t="s">
        <v>3863</v>
      </c>
      <c r="S561" t="s">
        <v>4267</v>
      </c>
      <c r="T561" t="s">
        <v>3863</v>
      </c>
      <c r="X561">
        <v>0</v>
      </c>
      <c r="AA561">
        <v>0</v>
      </c>
    </row>
    <row r="562" spans="1:27">
      <c r="A562" s="1">
        <v>560</v>
      </c>
      <c r="B562">
        <v>463367</v>
      </c>
      <c r="C562" t="s">
        <v>591</v>
      </c>
      <c r="D562" t="s">
        <v>1534</v>
      </c>
      <c r="E562" t="s">
        <v>2340</v>
      </c>
      <c r="G562">
        <f>"0312863047"</f>
        <v>0</v>
      </c>
      <c r="H562">
        <f>"9780312863043"</f>
        <v>0</v>
      </c>
      <c r="I562">
        <v>0</v>
      </c>
      <c r="J562">
        <v>3.33</v>
      </c>
      <c r="K562" t="s">
        <v>3308</v>
      </c>
      <c r="L562" t="s">
        <v>3491</v>
      </c>
      <c r="M562">
        <v>278</v>
      </c>
      <c r="N562">
        <v>1997</v>
      </c>
      <c r="O562">
        <v>1990</v>
      </c>
      <c r="Q562" t="s">
        <v>3760</v>
      </c>
      <c r="R562" t="s">
        <v>3863</v>
      </c>
      <c r="S562" t="s">
        <v>4268</v>
      </c>
      <c r="T562" t="s">
        <v>3863</v>
      </c>
      <c r="X562">
        <v>0</v>
      </c>
      <c r="AA562">
        <v>0</v>
      </c>
    </row>
    <row r="563" spans="1:27">
      <c r="A563" s="1">
        <v>561</v>
      </c>
      <c r="B563">
        <v>190372</v>
      </c>
      <c r="C563" t="s">
        <v>592</v>
      </c>
      <c r="D563" t="s">
        <v>1535</v>
      </c>
      <c r="E563" t="s">
        <v>2341</v>
      </c>
      <c r="G563">
        <f>"0786887001"</f>
        <v>0</v>
      </c>
      <c r="H563">
        <f>"9780786887002"</f>
        <v>0</v>
      </c>
      <c r="I563">
        <v>0</v>
      </c>
      <c r="J563">
        <v>4.15</v>
      </c>
      <c r="K563" t="s">
        <v>3309</v>
      </c>
      <c r="L563" t="s">
        <v>3491</v>
      </c>
      <c r="M563">
        <v>530</v>
      </c>
      <c r="N563">
        <v>2002</v>
      </c>
      <c r="O563">
        <v>2000</v>
      </c>
      <c r="Q563" t="s">
        <v>3760</v>
      </c>
      <c r="R563" t="s">
        <v>3863</v>
      </c>
      <c r="S563" t="s">
        <v>4269</v>
      </c>
      <c r="T563" t="s">
        <v>3863</v>
      </c>
      <c r="X563">
        <v>0</v>
      </c>
      <c r="AA563">
        <v>0</v>
      </c>
    </row>
    <row r="564" spans="1:27">
      <c r="A564" s="1">
        <v>562</v>
      </c>
      <c r="B564">
        <v>42036377</v>
      </c>
      <c r="C564" t="s">
        <v>593</v>
      </c>
      <c r="D564" t="s">
        <v>1536</v>
      </c>
      <c r="E564" t="s">
        <v>2342</v>
      </c>
      <c r="G564">
        <f>""</f>
        <v>0</v>
      </c>
      <c r="H564">
        <f>""</f>
        <v>0</v>
      </c>
      <c r="I564">
        <v>0</v>
      </c>
      <c r="J564">
        <v>4.16</v>
      </c>
      <c r="L564" t="s">
        <v>3493</v>
      </c>
      <c r="M564">
        <v>609</v>
      </c>
      <c r="N564">
        <v>2018</v>
      </c>
      <c r="Q564" t="s">
        <v>3760</v>
      </c>
      <c r="R564" t="s">
        <v>3863</v>
      </c>
      <c r="S564" t="s">
        <v>4270</v>
      </c>
      <c r="T564" t="s">
        <v>3863</v>
      </c>
      <c r="X564">
        <v>0</v>
      </c>
      <c r="AA564">
        <v>0</v>
      </c>
    </row>
    <row r="565" spans="1:27">
      <c r="A565" s="1">
        <v>563</v>
      </c>
      <c r="B565">
        <v>43889</v>
      </c>
      <c r="C565" t="s">
        <v>594</v>
      </c>
      <c r="D565" t="s">
        <v>1537</v>
      </c>
      <c r="E565" t="s">
        <v>2343</v>
      </c>
      <c r="G565">
        <f>"0765346524"</f>
        <v>0</v>
      </c>
      <c r="H565">
        <f>"9780765346520"</f>
        <v>0</v>
      </c>
      <c r="I565">
        <v>0</v>
      </c>
      <c r="J565">
        <v>4.12</v>
      </c>
      <c r="K565" t="s">
        <v>3144</v>
      </c>
      <c r="L565" t="s">
        <v>3491</v>
      </c>
      <c r="M565">
        <v>836</v>
      </c>
      <c r="N565">
        <v>2003</v>
      </c>
      <c r="O565">
        <v>1994</v>
      </c>
      <c r="Q565" t="s">
        <v>3760</v>
      </c>
      <c r="R565" t="s">
        <v>3863</v>
      </c>
      <c r="S565" t="s">
        <v>4271</v>
      </c>
      <c r="T565" t="s">
        <v>3863</v>
      </c>
      <c r="X565">
        <v>0</v>
      </c>
      <c r="AA565">
        <v>0</v>
      </c>
    </row>
    <row r="566" spans="1:27">
      <c r="A566" s="1">
        <v>564</v>
      </c>
      <c r="B566">
        <v>45974</v>
      </c>
      <c r="C566" t="s">
        <v>595</v>
      </c>
      <c r="D566" t="s">
        <v>1538</v>
      </c>
      <c r="E566" t="s">
        <v>2344</v>
      </c>
      <c r="F566" t="s">
        <v>2845</v>
      </c>
      <c r="G566">
        <f>"0141183047"</f>
        <v>0</v>
      </c>
      <c r="H566">
        <f>"9780141183046"</f>
        <v>0</v>
      </c>
      <c r="I566">
        <v>0</v>
      </c>
      <c r="J566">
        <v>4.42</v>
      </c>
      <c r="K566" t="s">
        <v>3146</v>
      </c>
      <c r="L566" t="s">
        <v>3491</v>
      </c>
      <c r="M566">
        <v>544</v>
      </c>
      <c r="N566">
        <v>2002</v>
      </c>
      <c r="O566">
        <v>1982</v>
      </c>
      <c r="Q566" t="s">
        <v>3761</v>
      </c>
      <c r="R566" t="s">
        <v>3863</v>
      </c>
      <c r="S566" t="s">
        <v>4272</v>
      </c>
      <c r="T566" t="s">
        <v>3863</v>
      </c>
      <c r="X566">
        <v>0</v>
      </c>
      <c r="AA566">
        <v>0</v>
      </c>
    </row>
    <row r="567" spans="1:27">
      <c r="A567" s="1">
        <v>565</v>
      </c>
      <c r="B567">
        <v>10310142</v>
      </c>
      <c r="C567" t="s">
        <v>596</v>
      </c>
      <c r="D567" t="s">
        <v>1539</v>
      </c>
      <c r="E567" t="s">
        <v>2345</v>
      </c>
      <c r="G567">
        <f>"0786734256"</f>
        <v>0</v>
      </c>
      <c r="H567">
        <f>"9780786734252"</f>
        <v>0</v>
      </c>
      <c r="I567">
        <v>0</v>
      </c>
      <c r="J567">
        <v>4</v>
      </c>
      <c r="K567" t="s">
        <v>3047</v>
      </c>
      <c r="L567" t="s">
        <v>3494</v>
      </c>
      <c r="M567">
        <v>355</v>
      </c>
      <c r="N567">
        <v>2014</v>
      </c>
      <c r="O567">
        <v>2007</v>
      </c>
      <c r="Q567" t="s">
        <v>3761</v>
      </c>
      <c r="R567" t="s">
        <v>3863</v>
      </c>
      <c r="S567" t="s">
        <v>4273</v>
      </c>
      <c r="T567" t="s">
        <v>3863</v>
      </c>
      <c r="X567">
        <v>0</v>
      </c>
      <c r="AA567">
        <v>0</v>
      </c>
    </row>
    <row r="568" spans="1:27">
      <c r="A568" s="1">
        <v>566</v>
      </c>
      <c r="B568">
        <v>76548</v>
      </c>
      <c r="C568" t="s">
        <v>597</v>
      </c>
      <c r="D568" t="s">
        <v>1540</v>
      </c>
      <c r="E568" t="s">
        <v>2346</v>
      </c>
      <c r="G568">
        <f>"0374530742"</f>
        <v>0</v>
      </c>
      <c r="H568">
        <f>"9780374530747"</f>
        <v>0</v>
      </c>
      <c r="I568">
        <v>0</v>
      </c>
      <c r="J568">
        <v>4.18</v>
      </c>
      <c r="K568" t="s">
        <v>3310</v>
      </c>
      <c r="L568" t="s">
        <v>3491</v>
      </c>
      <c r="M568">
        <v>96</v>
      </c>
      <c r="N568">
        <v>2007</v>
      </c>
      <c r="O568">
        <v>2006</v>
      </c>
      <c r="Q568" t="s">
        <v>3762</v>
      </c>
      <c r="R568" t="s">
        <v>3863</v>
      </c>
      <c r="S568" t="s">
        <v>4274</v>
      </c>
      <c r="T568" t="s">
        <v>3863</v>
      </c>
      <c r="X568">
        <v>0</v>
      </c>
      <c r="AA568">
        <v>0</v>
      </c>
    </row>
    <row r="569" spans="1:27">
      <c r="A569" s="1">
        <v>567</v>
      </c>
      <c r="B569">
        <v>76546</v>
      </c>
      <c r="C569" t="s">
        <v>598</v>
      </c>
      <c r="D569" t="s">
        <v>1540</v>
      </c>
      <c r="E569" t="s">
        <v>2346</v>
      </c>
      <c r="G569">
        <f>"0880013346"</f>
        <v>0</v>
      </c>
      <c r="H569">
        <f>"9780880013345"</f>
        <v>0</v>
      </c>
      <c r="I569">
        <v>0</v>
      </c>
      <c r="J569">
        <v>4.17</v>
      </c>
      <c r="K569" t="s">
        <v>3311</v>
      </c>
      <c r="L569" t="s">
        <v>3491</v>
      </c>
      <c r="M569">
        <v>65</v>
      </c>
      <c r="N569">
        <v>1993</v>
      </c>
      <c r="O569">
        <v>1992</v>
      </c>
      <c r="Q569" t="s">
        <v>3762</v>
      </c>
      <c r="R569" t="s">
        <v>3863</v>
      </c>
      <c r="S569" t="s">
        <v>4275</v>
      </c>
      <c r="T569" t="s">
        <v>3863</v>
      </c>
      <c r="X569">
        <v>0</v>
      </c>
      <c r="AA569">
        <v>0</v>
      </c>
    </row>
    <row r="570" spans="1:27">
      <c r="A570" s="1">
        <v>568</v>
      </c>
      <c r="B570">
        <v>12031563</v>
      </c>
      <c r="C570" t="s">
        <v>599</v>
      </c>
      <c r="D570" t="s">
        <v>1541</v>
      </c>
      <c r="E570" t="s">
        <v>2347</v>
      </c>
      <c r="F570" t="s">
        <v>2846</v>
      </c>
      <c r="G570">
        <f>"0307453421"</f>
        <v>0</v>
      </c>
      <c r="H570">
        <f>"9780307453426"</f>
        <v>0</v>
      </c>
      <c r="I570">
        <v>0</v>
      </c>
      <c r="J570">
        <v>3.79</v>
      </c>
      <c r="K570" t="s">
        <v>3312</v>
      </c>
      <c r="L570" t="s">
        <v>3492</v>
      </c>
      <c r="M570">
        <v>416</v>
      </c>
      <c r="N570">
        <v>2012</v>
      </c>
      <c r="O570">
        <v>2012</v>
      </c>
      <c r="Q570" t="s">
        <v>3763</v>
      </c>
      <c r="R570" t="s">
        <v>3863</v>
      </c>
      <c r="S570" t="s">
        <v>4276</v>
      </c>
      <c r="T570" t="s">
        <v>3863</v>
      </c>
      <c r="X570">
        <v>0</v>
      </c>
      <c r="AA570">
        <v>0</v>
      </c>
    </row>
    <row r="571" spans="1:27">
      <c r="A571" s="1">
        <v>569</v>
      </c>
      <c r="B571">
        <v>478</v>
      </c>
      <c r="C571" t="s">
        <v>600</v>
      </c>
      <c r="D571" t="s">
        <v>1542</v>
      </c>
      <c r="E571" t="s">
        <v>2348</v>
      </c>
      <c r="G571">
        <f>"0743203046"</f>
        <v>0</v>
      </c>
      <c r="H571">
        <f>"9780743203043"</f>
        <v>0</v>
      </c>
      <c r="I571">
        <v>0</v>
      </c>
      <c r="J571">
        <v>3.83</v>
      </c>
      <c r="K571" t="s">
        <v>3121</v>
      </c>
      <c r="L571" t="s">
        <v>3491</v>
      </c>
      <c r="M571">
        <v>544</v>
      </c>
      <c r="N571">
        <v>2001</v>
      </c>
      <c r="O571">
        <v>2000</v>
      </c>
      <c r="Q571" t="s">
        <v>3763</v>
      </c>
      <c r="R571" t="s">
        <v>3863</v>
      </c>
      <c r="S571" t="s">
        <v>4277</v>
      </c>
      <c r="T571" t="s">
        <v>3863</v>
      </c>
      <c r="X571">
        <v>0</v>
      </c>
      <c r="AA571">
        <v>0</v>
      </c>
    </row>
    <row r="572" spans="1:27">
      <c r="A572" s="1">
        <v>570</v>
      </c>
      <c r="B572">
        <v>52357</v>
      </c>
      <c r="C572" t="s">
        <v>601</v>
      </c>
      <c r="D572" t="s">
        <v>1543</v>
      </c>
      <c r="E572" t="s">
        <v>2349</v>
      </c>
      <c r="F572" t="s">
        <v>2847</v>
      </c>
      <c r="G572">
        <f>"0393320979"</f>
        <v>0</v>
      </c>
      <c r="H572">
        <f>"9780393320978"</f>
        <v>0</v>
      </c>
      <c r="I572">
        <v>0</v>
      </c>
      <c r="J572">
        <v>3.47</v>
      </c>
      <c r="K572" t="s">
        <v>3313</v>
      </c>
      <c r="L572" t="s">
        <v>3491</v>
      </c>
      <c r="M572">
        <v>245</v>
      </c>
      <c r="N572">
        <v>2001</v>
      </c>
      <c r="O572">
        <v>900</v>
      </c>
      <c r="Q572" t="s">
        <v>3764</v>
      </c>
      <c r="T572" t="s">
        <v>4621</v>
      </c>
      <c r="X572">
        <v>1</v>
      </c>
      <c r="AA572">
        <v>0</v>
      </c>
    </row>
    <row r="573" spans="1:27">
      <c r="A573" s="1">
        <v>571</v>
      </c>
      <c r="B573">
        <v>18619684</v>
      </c>
      <c r="C573" t="s">
        <v>602</v>
      </c>
      <c r="D573" t="s">
        <v>1544</v>
      </c>
      <c r="E573" t="s">
        <v>2350</v>
      </c>
      <c r="G573">
        <f>""</f>
        <v>0</v>
      </c>
      <c r="H573">
        <f>"9781939126016"</f>
        <v>0</v>
      </c>
      <c r="I573">
        <v>0</v>
      </c>
      <c r="J573">
        <v>3.99</v>
      </c>
      <c r="K573" t="s">
        <v>3314</v>
      </c>
      <c r="L573" t="s">
        <v>3494</v>
      </c>
      <c r="M573">
        <v>537</v>
      </c>
      <c r="N573">
        <v>2013</v>
      </c>
      <c r="O573">
        <v>2003</v>
      </c>
      <c r="Q573" t="s">
        <v>3764</v>
      </c>
      <c r="R573" t="s">
        <v>3863</v>
      </c>
      <c r="S573" t="s">
        <v>4278</v>
      </c>
      <c r="T573" t="s">
        <v>3863</v>
      </c>
      <c r="X573">
        <v>0</v>
      </c>
      <c r="AA573">
        <v>0</v>
      </c>
    </row>
    <row r="574" spans="1:27">
      <c r="A574" s="1">
        <v>572</v>
      </c>
      <c r="B574">
        <v>5326</v>
      </c>
      <c r="C574" t="s">
        <v>603</v>
      </c>
      <c r="D574" t="s">
        <v>1528</v>
      </c>
      <c r="E574" t="s">
        <v>2334</v>
      </c>
      <c r="F574" t="s">
        <v>2848</v>
      </c>
      <c r="G574">
        <f>"1561797464"</f>
        <v>0</v>
      </c>
      <c r="H574">
        <f>"9781561797462"</f>
        <v>0</v>
      </c>
      <c r="I574">
        <v>0</v>
      </c>
      <c r="J574">
        <v>4.07</v>
      </c>
      <c r="K574" t="s">
        <v>3315</v>
      </c>
      <c r="L574" t="s">
        <v>3491</v>
      </c>
      <c r="M574">
        <v>104</v>
      </c>
      <c r="N574">
        <v>1999</v>
      </c>
      <c r="O574">
        <v>1843</v>
      </c>
      <c r="Q574" t="s">
        <v>3764</v>
      </c>
      <c r="R574" t="s">
        <v>3863</v>
      </c>
      <c r="S574" t="s">
        <v>4279</v>
      </c>
      <c r="T574" t="s">
        <v>3863</v>
      </c>
      <c r="X574">
        <v>0</v>
      </c>
      <c r="AA574">
        <v>0</v>
      </c>
    </row>
    <row r="575" spans="1:27">
      <c r="A575" s="1">
        <v>573</v>
      </c>
      <c r="B575">
        <v>5107</v>
      </c>
      <c r="C575" t="s">
        <v>604</v>
      </c>
      <c r="D575" t="s">
        <v>1545</v>
      </c>
      <c r="E575" t="s">
        <v>2351</v>
      </c>
      <c r="G575">
        <f>"0316769177"</f>
        <v>0</v>
      </c>
      <c r="H575">
        <f>"9780316769174"</f>
        <v>0</v>
      </c>
      <c r="I575">
        <v>0</v>
      </c>
      <c r="J575">
        <v>3.81</v>
      </c>
      <c r="K575" t="s">
        <v>3243</v>
      </c>
      <c r="L575" t="s">
        <v>3491</v>
      </c>
      <c r="M575">
        <v>277</v>
      </c>
      <c r="N575">
        <v>2001</v>
      </c>
      <c r="O575">
        <v>1951</v>
      </c>
      <c r="Q575" t="s">
        <v>3764</v>
      </c>
      <c r="R575" t="s">
        <v>3863</v>
      </c>
      <c r="S575" t="s">
        <v>4280</v>
      </c>
      <c r="T575" t="s">
        <v>3863</v>
      </c>
      <c r="X575">
        <v>0</v>
      </c>
      <c r="AA575">
        <v>0</v>
      </c>
    </row>
    <row r="576" spans="1:27">
      <c r="A576" s="1">
        <v>574</v>
      </c>
      <c r="B576">
        <v>22628</v>
      </c>
      <c r="C576" t="s">
        <v>605</v>
      </c>
      <c r="D576" t="s">
        <v>1546</v>
      </c>
      <c r="E576" t="s">
        <v>2352</v>
      </c>
      <c r="F576" t="s">
        <v>2849</v>
      </c>
      <c r="G576">
        <f>""</f>
        <v>0</v>
      </c>
      <c r="H576">
        <f>""</f>
        <v>0</v>
      </c>
      <c r="I576">
        <v>0</v>
      </c>
      <c r="J576">
        <v>4.22</v>
      </c>
      <c r="K576" t="s">
        <v>3316</v>
      </c>
      <c r="L576" t="s">
        <v>3491</v>
      </c>
      <c r="M576">
        <v>213</v>
      </c>
      <c r="N576">
        <v>1999</v>
      </c>
      <c r="O576">
        <v>1999</v>
      </c>
      <c r="Q576" t="s">
        <v>3764</v>
      </c>
      <c r="R576" t="s">
        <v>3863</v>
      </c>
      <c r="S576" t="s">
        <v>4281</v>
      </c>
      <c r="T576" t="s">
        <v>3863</v>
      </c>
      <c r="X576">
        <v>0</v>
      </c>
      <c r="AA576">
        <v>0</v>
      </c>
    </row>
    <row r="577" spans="1:27">
      <c r="A577" s="1">
        <v>575</v>
      </c>
      <c r="B577">
        <v>6185</v>
      </c>
      <c r="C577" t="s">
        <v>606</v>
      </c>
      <c r="D577" t="s">
        <v>1547</v>
      </c>
      <c r="E577" t="s">
        <v>2353</v>
      </c>
      <c r="F577" t="s">
        <v>2850</v>
      </c>
      <c r="G577">
        <f>""</f>
        <v>0</v>
      </c>
      <c r="H577">
        <f>""</f>
        <v>0</v>
      </c>
      <c r="I577">
        <v>0</v>
      </c>
      <c r="J577">
        <v>3.88</v>
      </c>
      <c r="K577" t="s">
        <v>3290</v>
      </c>
      <c r="L577" t="s">
        <v>3491</v>
      </c>
      <c r="M577">
        <v>464</v>
      </c>
      <c r="N577">
        <v>2002</v>
      </c>
      <c r="O577">
        <v>1847</v>
      </c>
      <c r="Q577" t="s">
        <v>3764</v>
      </c>
      <c r="R577" t="s">
        <v>3863</v>
      </c>
      <c r="S577" t="s">
        <v>4282</v>
      </c>
      <c r="T577" t="s">
        <v>3863</v>
      </c>
      <c r="X577">
        <v>0</v>
      </c>
      <c r="AA577">
        <v>0</v>
      </c>
    </row>
    <row r="578" spans="1:27">
      <c r="A578" s="1">
        <v>576</v>
      </c>
      <c r="B578">
        <v>5297</v>
      </c>
      <c r="C578" t="s">
        <v>607</v>
      </c>
      <c r="D578" t="s">
        <v>1548</v>
      </c>
      <c r="E578" t="s">
        <v>2354</v>
      </c>
      <c r="F578" t="s">
        <v>2851</v>
      </c>
      <c r="G578">
        <f>""</f>
        <v>0</v>
      </c>
      <c r="H578">
        <f>""</f>
        <v>0</v>
      </c>
      <c r="I578">
        <v>0</v>
      </c>
      <c r="J578">
        <v>4.11</v>
      </c>
      <c r="K578" t="s">
        <v>3317</v>
      </c>
      <c r="L578" t="s">
        <v>3491</v>
      </c>
      <c r="M578">
        <v>272</v>
      </c>
      <c r="N578">
        <v>2004</v>
      </c>
      <c r="O578">
        <v>1890</v>
      </c>
      <c r="Q578" t="s">
        <v>3764</v>
      </c>
      <c r="R578" t="s">
        <v>3863</v>
      </c>
      <c r="S578" t="s">
        <v>4283</v>
      </c>
      <c r="T578" t="s">
        <v>3863</v>
      </c>
      <c r="X578">
        <v>0</v>
      </c>
      <c r="AA578">
        <v>0</v>
      </c>
    </row>
    <row r="579" spans="1:27">
      <c r="A579" s="1">
        <v>577</v>
      </c>
      <c r="B579">
        <v>10210</v>
      </c>
      <c r="C579" t="s">
        <v>608</v>
      </c>
      <c r="D579" t="s">
        <v>1549</v>
      </c>
      <c r="E579" t="s">
        <v>2355</v>
      </c>
      <c r="F579" t="s">
        <v>2852</v>
      </c>
      <c r="G579">
        <f>"0142437204"</f>
        <v>0</v>
      </c>
      <c r="H579">
        <f>"9780142437209"</f>
        <v>0</v>
      </c>
      <c r="I579">
        <v>0</v>
      </c>
      <c r="J579">
        <v>4.14</v>
      </c>
      <c r="K579" t="s">
        <v>3072</v>
      </c>
      <c r="L579" t="s">
        <v>3491</v>
      </c>
      <c r="M579">
        <v>532</v>
      </c>
      <c r="N579">
        <v>2003</v>
      </c>
      <c r="O579">
        <v>1847</v>
      </c>
      <c r="Q579" t="s">
        <v>3764</v>
      </c>
      <c r="R579" t="s">
        <v>3863</v>
      </c>
      <c r="S579" t="s">
        <v>4284</v>
      </c>
      <c r="T579" t="s">
        <v>3863</v>
      </c>
      <c r="X579">
        <v>0</v>
      </c>
      <c r="AA579">
        <v>0</v>
      </c>
    </row>
    <row r="580" spans="1:27">
      <c r="A580" s="1">
        <v>578</v>
      </c>
      <c r="B580">
        <v>6514</v>
      </c>
      <c r="C580" t="s">
        <v>609</v>
      </c>
      <c r="D580" t="s">
        <v>1550</v>
      </c>
      <c r="E580" t="s">
        <v>2356</v>
      </c>
      <c r="G580">
        <f>""</f>
        <v>0</v>
      </c>
      <c r="H580">
        <f>""</f>
        <v>0</v>
      </c>
      <c r="I580">
        <v>0</v>
      </c>
      <c r="J580">
        <v>4.04</v>
      </c>
      <c r="K580" t="s">
        <v>3027</v>
      </c>
      <c r="L580" t="s">
        <v>3491</v>
      </c>
      <c r="M580">
        <v>294</v>
      </c>
      <c r="N580">
        <v>2006</v>
      </c>
      <c r="O580">
        <v>1963</v>
      </c>
      <c r="Q580" t="s">
        <v>3764</v>
      </c>
      <c r="R580" t="s">
        <v>3863</v>
      </c>
      <c r="S580" t="s">
        <v>4285</v>
      </c>
      <c r="T580" t="s">
        <v>3863</v>
      </c>
      <c r="X580">
        <v>0</v>
      </c>
      <c r="AA580">
        <v>0</v>
      </c>
    </row>
    <row r="581" spans="1:27">
      <c r="A581" s="1">
        <v>579</v>
      </c>
      <c r="B581">
        <v>4671</v>
      </c>
      <c r="C581" t="s">
        <v>610</v>
      </c>
      <c r="D581" t="s">
        <v>1551</v>
      </c>
      <c r="E581" t="s">
        <v>2357</v>
      </c>
      <c r="G581">
        <f>""</f>
        <v>0</v>
      </c>
      <c r="H581">
        <f>""</f>
        <v>0</v>
      </c>
      <c r="I581">
        <v>0</v>
      </c>
      <c r="J581">
        <v>3.93</v>
      </c>
      <c r="K581" t="s">
        <v>3064</v>
      </c>
      <c r="L581" t="s">
        <v>3491</v>
      </c>
      <c r="M581">
        <v>180</v>
      </c>
      <c r="N581">
        <v>2004</v>
      </c>
      <c r="O581">
        <v>1925</v>
      </c>
      <c r="Q581" t="s">
        <v>3764</v>
      </c>
      <c r="R581" t="s">
        <v>3863</v>
      </c>
      <c r="S581" t="s">
        <v>4286</v>
      </c>
      <c r="T581" t="s">
        <v>3863</v>
      </c>
      <c r="X581">
        <v>0</v>
      </c>
      <c r="AA581">
        <v>0</v>
      </c>
    </row>
    <row r="582" spans="1:27">
      <c r="A582" s="1">
        <v>580</v>
      </c>
      <c r="B582">
        <v>1885</v>
      </c>
      <c r="C582" t="s">
        <v>611</v>
      </c>
      <c r="D582" t="s">
        <v>1552</v>
      </c>
      <c r="E582" t="s">
        <v>2358</v>
      </c>
      <c r="F582" t="s">
        <v>2853</v>
      </c>
      <c r="G582">
        <f>""</f>
        <v>0</v>
      </c>
      <c r="H582">
        <f>""</f>
        <v>0</v>
      </c>
      <c r="I582">
        <v>0</v>
      </c>
      <c r="J582">
        <v>4.28</v>
      </c>
      <c r="K582" t="s">
        <v>3157</v>
      </c>
      <c r="L582" t="s">
        <v>3491</v>
      </c>
      <c r="M582">
        <v>279</v>
      </c>
      <c r="N582">
        <v>2000</v>
      </c>
      <c r="O582">
        <v>1813</v>
      </c>
      <c r="Q582" t="s">
        <v>3764</v>
      </c>
      <c r="R582" t="s">
        <v>3863</v>
      </c>
      <c r="S582" t="s">
        <v>4287</v>
      </c>
      <c r="T582" t="s">
        <v>3863</v>
      </c>
      <c r="X582">
        <v>0</v>
      </c>
      <c r="AA582">
        <v>0</v>
      </c>
    </row>
    <row r="583" spans="1:27">
      <c r="A583" s="1">
        <v>581</v>
      </c>
      <c r="B583">
        <v>4005310</v>
      </c>
      <c r="C583" t="s">
        <v>612</v>
      </c>
      <c r="D583" t="s">
        <v>1553</v>
      </c>
      <c r="E583" t="s">
        <v>2359</v>
      </c>
      <c r="G583">
        <f>"0670020532"</f>
        <v>0</v>
      </c>
      <c r="H583">
        <f>"9780670020539"</f>
        <v>0</v>
      </c>
      <c r="I583">
        <v>0</v>
      </c>
      <c r="J583">
        <v>4.18</v>
      </c>
      <c r="K583" t="s">
        <v>3036</v>
      </c>
      <c r="L583" t="s">
        <v>3492</v>
      </c>
      <c r="M583">
        <v>282</v>
      </c>
      <c r="N583">
        <v>2009</v>
      </c>
      <c r="O583">
        <v>2008</v>
      </c>
      <c r="Q583" t="s">
        <v>3765</v>
      </c>
      <c r="R583" t="s">
        <v>3863</v>
      </c>
      <c r="S583" t="s">
        <v>4288</v>
      </c>
      <c r="T583" t="s">
        <v>3863</v>
      </c>
      <c r="X583">
        <v>0</v>
      </c>
      <c r="AA583">
        <v>0</v>
      </c>
    </row>
    <row r="584" spans="1:27">
      <c r="A584" s="1">
        <v>582</v>
      </c>
      <c r="B584">
        <v>17575112</v>
      </c>
      <c r="C584" t="s">
        <v>613</v>
      </c>
      <c r="D584" t="s">
        <v>1079</v>
      </c>
      <c r="E584" t="s">
        <v>1886</v>
      </c>
      <c r="F584" t="s">
        <v>2854</v>
      </c>
      <c r="G584">
        <f>"0871404265"</f>
        <v>0</v>
      </c>
      <c r="H584">
        <f>"9780871404268"</f>
        <v>0</v>
      </c>
      <c r="I584">
        <v>0</v>
      </c>
      <c r="J584">
        <v>4.05</v>
      </c>
      <c r="K584" t="s">
        <v>3203</v>
      </c>
      <c r="L584" t="s">
        <v>3492</v>
      </c>
      <c r="M584">
        <v>224</v>
      </c>
      <c r="N584">
        <v>2013</v>
      </c>
      <c r="O584">
        <v>1886</v>
      </c>
      <c r="Q584" t="s">
        <v>3583</v>
      </c>
      <c r="T584" t="s">
        <v>4621</v>
      </c>
      <c r="X584">
        <v>1</v>
      </c>
      <c r="AA584">
        <v>0</v>
      </c>
    </row>
    <row r="585" spans="1:27">
      <c r="A585" s="1">
        <v>583</v>
      </c>
      <c r="B585">
        <v>1111</v>
      </c>
      <c r="C585" t="s">
        <v>614</v>
      </c>
      <c r="D585" t="s">
        <v>1554</v>
      </c>
      <c r="E585" t="s">
        <v>2360</v>
      </c>
      <c r="G585">
        <f>"0394720245"</f>
        <v>0</v>
      </c>
      <c r="H585">
        <f>"9780394720241"</f>
        <v>0</v>
      </c>
      <c r="I585">
        <v>0</v>
      </c>
      <c r="J585">
        <v>4.41</v>
      </c>
      <c r="K585" t="s">
        <v>3292</v>
      </c>
      <c r="L585" t="s">
        <v>3491</v>
      </c>
      <c r="M585">
        <v>1246</v>
      </c>
      <c r="N585">
        <v>1975</v>
      </c>
      <c r="O585">
        <v>1974</v>
      </c>
      <c r="Q585" t="s">
        <v>3766</v>
      </c>
      <c r="R585" t="s">
        <v>3863</v>
      </c>
      <c r="S585" t="s">
        <v>4289</v>
      </c>
      <c r="T585" t="s">
        <v>3863</v>
      </c>
      <c r="X585">
        <v>0</v>
      </c>
      <c r="AA585">
        <v>0</v>
      </c>
    </row>
    <row r="586" spans="1:27">
      <c r="A586" s="1">
        <v>584</v>
      </c>
      <c r="B586">
        <v>27213329</v>
      </c>
      <c r="C586" t="s">
        <v>615</v>
      </c>
      <c r="D586" t="s">
        <v>1555</v>
      </c>
      <c r="E586" t="s">
        <v>2361</v>
      </c>
      <c r="F586" t="s">
        <v>2855</v>
      </c>
      <c r="G586">
        <f>"1443442313"</f>
        <v>0</v>
      </c>
      <c r="H586">
        <f>"9781443442312"</f>
        <v>0</v>
      </c>
      <c r="I586">
        <v>0</v>
      </c>
      <c r="J586">
        <v>4.07</v>
      </c>
      <c r="K586" t="s">
        <v>3058</v>
      </c>
      <c r="L586" t="s">
        <v>3492</v>
      </c>
      <c r="M586">
        <v>277</v>
      </c>
      <c r="N586">
        <v>2016</v>
      </c>
      <c r="O586">
        <v>2016</v>
      </c>
      <c r="Q586" t="s">
        <v>3767</v>
      </c>
      <c r="R586" t="s">
        <v>3863</v>
      </c>
      <c r="S586" t="s">
        <v>4290</v>
      </c>
      <c r="T586" t="s">
        <v>3863</v>
      </c>
      <c r="X586">
        <v>0</v>
      </c>
      <c r="AA586">
        <v>0</v>
      </c>
    </row>
    <row r="587" spans="1:27">
      <c r="A587" s="1">
        <v>585</v>
      </c>
      <c r="B587">
        <v>56465</v>
      </c>
      <c r="C587" t="s">
        <v>616</v>
      </c>
      <c r="D587" t="s">
        <v>1556</v>
      </c>
      <c r="E587" t="s">
        <v>2362</v>
      </c>
      <c r="G587">
        <f>"0747538352"</f>
        <v>0</v>
      </c>
      <c r="H587">
        <f>"9780747538356"</f>
        <v>0</v>
      </c>
      <c r="I587">
        <v>3</v>
      </c>
      <c r="J587">
        <v>4.16</v>
      </c>
      <c r="K587" t="s">
        <v>3028</v>
      </c>
      <c r="L587" t="s">
        <v>3491</v>
      </c>
      <c r="M587">
        <v>352</v>
      </c>
      <c r="N587">
        <v>2000</v>
      </c>
      <c r="O587">
        <v>1996</v>
      </c>
      <c r="P587" t="s">
        <v>3529</v>
      </c>
      <c r="Q587" t="s">
        <v>3768</v>
      </c>
      <c r="T587" t="s">
        <v>4621</v>
      </c>
      <c r="U587" t="s">
        <v>4648</v>
      </c>
      <c r="X587">
        <v>1</v>
      </c>
      <c r="AA587">
        <v>0</v>
      </c>
    </row>
    <row r="588" spans="1:27">
      <c r="A588" s="1">
        <v>586</v>
      </c>
      <c r="B588">
        <v>20421960</v>
      </c>
      <c r="C588" t="s">
        <v>617</v>
      </c>
      <c r="D588" t="s">
        <v>1557</v>
      </c>
      <c r="E588" t="s">
        <v>2363</v>
      </c>
      <c r="G588">
        <f>"1598038621"</f>
        <v>0</v>
      </c>
      <c r="H588">
        <f>"9781598038620"</f>
        <v>0</v>
      </c>
      <c r="I588">
        <v>0</v>
      </c>
      <c r="J588">
        <v>4.28</v>
      </c>
      <c r="K588" t="s">
        <v>3318</v>
      </c>
      <c r="L588" t="s">
        <v>3499</v>
      </c>
      <c r="M588">
        <v>384</v>
      </c>
      <c r="N588">
        <v>2010</v>
      </c>
      <c r="O588">
        <v>2010</v>
      </c>
      <c r="Q588" t="s">
        <v>3529</v>
      </c>
      <c r="R588" t="s">
        <v>3863</v>
      </c>
      <c r="S588" t="s">
        <v>4291</v>
      </c>
      <c r="T588" t="s">
        <v>3863</v>
      </c>
      <c r="X588">
        <v>0</v>
      </c>
      <c r="AA588">
        <v>0</v>
      </c>
    </row>
    <row r="589" spans="1:27">
      <c r="A589" s="1">
        <v>587</v>
      </c>
      <c r="B589">
        <v>41449033</v>
      </c>
      <c r="C589" t="s">
        <v>618</v>
      </c>
      <c r="D589" t="s">
        <v>1558</v>
      </c>
      <c r="E589" t="s">
        <v>2364</v>
      </c>
      <c r="F589" t="s">
        <v>2856</v>
      </c>
      <c r="G589">
        <f>"1788547780"</f>
        <v>0</v>
      </c>
      <c r="H589">
        <f>"9781788547789"</f>
        <v>0</v>
      </c>
      <c r="I589">
        <v>0</v>
      </c>
      <c r="J589">
        <v>4.63</v>
      </c>
      <c r="K589" t="s">
        <v>3004</v>
      </c>
      <c r="L589" t="s">
        <v>3492</v>
      </c>
      <c r="M589">
        <v>448</v>
      </c>
      <c r="N589">
        <v>2019</v>
      </c>
      <c r="O589">
        <v>2019</v>
      </c>
      <c r="Q589" t="s">
        <v>3529</v>
      </c>
      <c r="R589" t="s">
        <v>3863</v>
      </c>
      <c r="S589" t="s">
        <v>4292</v>
      </c>
      <c r="T589" t="s">
        <v>3863</v>
      </c>
      <c r="X589">
        <v>0</v>
      </c>
      <c r="AA589">
        <v>0</v>
      </c>
    </row>
    <row r="590" spans="1:27">
      <c r="A590" s="1">
        <v>588</v>
      </c>
      <c r="B590">
        <v>458215</v>
      </c>
      <c r="C590" t="s">
        <v>619</v>
      </c>
      <c r="D590" t="s">
        <v>1559</v>
      </c>
      <c r="E590" t="s">
        <v>2365</v>
      </c>
      <c r="G590">
        <f>"0960356665"</f>
        <v>0</v>
      </c>
      <c r="H590">
        <f>"9780960356669"</f>
        <v>0</v>
      </c>
      <c r="I590">
        <v>0</v>
      </c>
      <c r="J590">
        <v>4.19</v>
      </c>
      <c r="K590" t="s">
        <v>3319</v>
      </c>
      <c r="L590" t="s">
        <v>3491</v>
      </c>
      <c r="M590">
        <v>160</v>
      </c>
      <c r="N590">
        <v>1983</v>
      </c>
      <c r="O590">
        <v>1983</v>
      </c>
      <c r="Q590" t="s">
        <v>3769</v>
      </c>
      <c r="R590" t="s">
        <v>3863</v>
      </c>
      <c r="S590" t="s">
        <v>4293</v>
      </c>
      <c r="T590" t="s">
        <v>3863</v>
      </c>
      <c r="X590">
        <v>0</v>
      </c>
      <c r="AA590">
        <v>0</v>
      </c>
    </row>
    <row r="591" spans="1:27">
      <c r="A591" s="1">
        <v>589</v>
      </c>
      <c r="B591">
        <v>17695191</v>
      </c>
      <c r="C591" t="s">
        <v>620</v>
      </c>
      <c r="D591" t="s">
        <v>1560</v>
      </c>
      <c r="E591" t="s">
        <v>2366</v>
      </c>
      <c r="G591">
        <f>""</f>
        <v>0</v>
      </c>
      <c r="H591">
        <f>""</f>
        <v>0</v>
      </c>
      <c r="I591">
        <v>0</v>
      </c>
      <c r="J591">
        <v>3.75</v>
      </c>
      <c r="K591" t="s">
        <v>3320</v>
      </c>
      <c r="L591" t="s">
        <v>3491</v>
      </c>
      <c r="M591">
        <v>160</v>
      </c>
      <c r="N591">
        <v>1969</v>
      </c>
      <c r="O591">
        <v>1969</v>
      </c>
      <c r="Q591" t="s">
        <v>3769</v>
      </c>
      <c r="R591" t="s">
        <v>3863</v>
      </c>
      <c r="S591" t="s">
        <v>4294</v>
      </c>
      <c r="T591" t="s">
        <v>3863</v>
      </c>
      <c r="X591">
        <v>0</v>
      </c>
      <c r="AA591">
        <v>0</v>
      </c>
    </row>
    <row r="592" spans="1:27">
      <c r="A592" s="1">
        <v>590</v>
      </c>
      <c r="B592">
        <v>50489392</v>
      </c>
      <c r="C592" t="s">
        <v>621</v>
      </c>
      <c r="D592" t="s">
        <v>1561</v>
      </c>
      <c r="E592" t="s">
        <v>2367</v>
      </c>
      <c r="G592">
        <f>"1682686094"</f>
        <v>0</v>
      </c>
      <c r="H592">
        <f>"9781682686096"</f>
        <v>0</v>
      </c>
      <c r="I592">
        <v>0</v>
      </c>
      <c r="J592">
        <v>3.61</v>
      </c>
      <c r="K592" t="s">
        <v>3321</v>
      </c>
      <c r="L592" t="s">
        <v>3492</v>
      </c>
      <c r="M592">
        <v>224</v>
      </c>
      <c r="N592">
        <v>2020</v>
      </c>
      <c r="Q592" t="s">
        <v>3769</v>
      </c>
      <c r="R592" t="s">
        <v>3863</v>
      </c>
      <c r="S592" t="s">
        <v>4295</v>
      </c>
      <c r="T592" t="s">
        <v>3863</v>
      </c>
      <c r="X592">
        <v>0</v>
      </c>
      <c r="AA592">
        <v>0</v>
      </c>
    </row>
    <row r="593" spans="1:27">
      <c r="A593" s="1">
        <v>591</v>
      </c>
      <c r="B593">
        <v>629</v>
      </c>
      <c r="C593" t="s">
        <v>622</v>
      </c>
      <c r="D593" t="s">
        <v>1562</v>
      </c>
      <c r="E593" t="s">
        <v>2368</v>
      </c>
      <c r="G593">
        <f>"0060589469"</f>
        <v>0</v>
      </c>
      <c r="H593">
        <f>"9780060589462"</f>
        <v>0</v>
      </c>
      <c r="I593">
        <v>0</v>
      </c>
      <c r="J593">
        <v>3.77</v>
      </c>
      <c r="K593" t="s">
        <v>3322</v>
      </c>
      <c r="L593" t="s">
        <v>3495</v>
      </c>
      <c r="M593">
        <v>540</v>
      </c>
      <c r="N593">
        <v>2006</v>
      </c>
      <c r="O593">
        <v>1974</v>
      </c>
      <c r="Q593" t="s">
        <v>3770</v>
      </c>
      <c r="R593" t="s">
        <v>3863</v>
      </c>
      <c r="S593" t="s">
        <v>4296</v>
      </c>
      <c r="T593" t="s">
        <v>3863</v>
      </c>
      <c r="X593">
        <v>0</v>
      </c>
      <c r="AA593">
        <v>0</v>
      </c>
    </row>
    <row r="594" spans="1:27">
      <c r="A594" s="1">
        <v>592</v>
      </c>
      <c r="B594">
        <v>15803037</v>
      </c>
      <c r="C594" t="s">
        <v>623</v>
      </c>
      <c r="D594" t="s">
        <v>1563</v>
      </c>
      <c r="E594" t="s">
        <v>2369</v>
      </c>
      <c r="G594">
        <f>"1476706123"</f>
        <v>0</v>
      </c>
      <c r="H594">
        <f>"9781476706122"</f>
        <v>0</v>
      </c>
      <c r="I594">
        <v>0</v>
      </c>
      <c r="J594">
        <v>3.95</v>
      </c>
      <c r="K594" t="s">
        <v>3064</v>
      </c>
      <c r="L594" t="s">
        <v>3492</v>
      </c>
      <c r="M594">
        <v>434</v>
      </c>
      <c r="N594">
        <v>2013</v>
      </c>
      <c r="O594">
        <v>2013</v>
      </c>
      <c r="Q594" t="s">
        <v>3771</v>
      </c>
      <c r="R594" t="s">
        <v>3863</v>
      </c>
      <c r="S594" t="s">
        <v>4297</v>
      </c>
      <c r="T594" t="s">
        <v>3863</v>
      </c>
      <c r="X594">
        <v>0</v>
      </c>
      <c r="AA594">
        <v>0</v>
      </c>
    </row>
    <row r="595" spans="1:27">
      <c r="A595" s="1">
        <v>593</v>
      </c>
      <c r="B595">
        <v>22609478</v>
      </c>
      <c r="C595" t="s">
        <v>624</v>
      </c>
      <c r="D595" t="s">
        <v>1564</v>
      </c>
      <c r="E595" t="s">
        <v>2370</v>
      </c>
      <c r="G595">
        <f>"1476712077"</f>
        <v>0</v>
      </c>
      <c r="H595">
        <f>"9781476712079"</f>
        <v>0</v>
      </c>
      <c r="I595">
        <v>0</v>
      </c>
      <c r="J595">
        <v>3.63</v>
      </c>
      <c r="K595" t="s">
        <v>3121</v>
      </c>
      <c r="L595" t="s">
        <v>3492</v>
      </c>
      <c r="M595">
        <v>464</v>
      </c>
      <c r="N595">
        <v>2015</v>
      </c>
      <c r="O595">
        <v>2015</v>
      </c>
      <c r="Q595" t="s">
        <v>3666</v>
      </c>
      <c r="R595" t="s">
        <v>3863</v>
      </c>
      <c r="S595" t="s">
        <v>4298</v>
      </c>
      <c r="T595" t="s">
        <v>3863</v>
      </c>
      <c r="X595">
        <v>0</v>
      </c>
      <c r="AA595">
        <v>0</v>
      </c>
    </row>
    <row r="596" spans="1:27">
      <c r="A596" s="1">
        <v>594</v>
      </c>
      <c r="B596">
        <v>12321</v>
      </c>
      <c r="C596" t="s">
        <v>625</v>
      </c>
      <c r="D596" t="s">
        <v>1565</v>
      </c>
      <c r="E596" t="s">
        <v>2371</v>
      </c>
      <c r="F596" t="s">
        <v>2857</v>
      </c>
      <c r="G596">
        <f>"014044923X"</f>
        <v>0</v>
      </c>
      <c r="H596">
        <f>"9780140449235"</f>
        <v>0</v>
      </c>
      <c r="I596">
        <v>0</v>
      </c>
      <c r="J596">
        <v>4.01</v>
      </c>
      <c r="K596" t="s">
        <v>3146</v>
      </c>
      <c r="L596" t="s">
        <v>3491</v>
      </c>
      <c r="M596">
        <v>240</v>
      </c>
      <c r="N596">
        <v>2003</v>
      </c>
      <c r="O596">
        <v>1886</v>
      </c>
      <c r="Q596" t="s">
        <v>3772</v>
      </c>
      <c r="R596" t="s">
        <v>3863</v>
      </c>
      <c r="S596" t="s">
        <v>4299</v>
      </c>
      <c r="T596" t="s">
        <v>3863</v>
      </c>
      <c r="X596">
        <v>0</v>
      </c>
      <c r="AA596">
        <v>0</v>
      </c>
    </row>
    <row r="597" spans="1:27">
      <c r="A597" s="1">
        <v>595</v>
      </c>
      <c r="B597">
        <v>8920565</v>
      </c>
      <c r="C597" t="s">
        <v>626</v>
      </c>
      <c r="D597" t="s">
        <v>1566</v>
      </c>
      <c r="E597" t="s">
        <v>2372</v>
      </c>
      <c r="G597">
        <f>"1416567445"</f>
        <v>0</v>
      </c>
      <c r="H597">
        <f>"9781416567448"</f>
        <v>0</v>
      </c>
      <c r="I597">
        <v>0</v>
      </c>
      <c r="J597">
        <v>3.73</v>
      </c>
      <c r="K597" t="s">
        <v>3097</v>
      </c>
      <c r="L597" t="s">
        <v>3492</v>
      </c>
      <c r="M597">
        <v>480</v>
      </c>
      <c r="N597">
        <v>2011</v>
      </c>
      <c r="O597">
        <v>2011</v>
      </c>
      <c r="Q597" t="s">
        <v>3773</v>
      </c>
      <c r="R597" t="s">
        <v>3863</v>
      </c>
      <c r="S597" t="s">
        <v>4300</v>
      </c>
      <c r="T597" t="s">
        <v>3863</v>
      </c>
      <c r="X597">
        <v>0</v>
      </c>
      <c r="AA597">
        <v>0</v>
      </c>
    </row>
    <row r="598" spans="1:27">
      <c r="A598" s="1">
        <v>596</v>
      </c>
      <c r="B598">
        <v>16192</v>
      </c>
      <c r="C598" t="s">
        <v>627</v>
      </c>
      <c r="D598" t="s">
        <v>1567</v>
      </c>
      <c r="E598" t="s">
        <v>2373</v>
      </c>
      <c r="G598">
        <f>"0807071277"</f>
        <v>0</v>
      </c>
      <c r="H598">
        <f>"9780807071274"</f>
        <v>0</v>
      </c>
      <c r="I598">
        <v>0</v>
      </c>
      <c r="J598">
        <v>4.33</v>
      </c>
      <c r="K598" t="s">
        <v>3259</v>
      </c>
      <c r="L598" t="s">
        <v>3491</v>
      </c>
      <c r="M598">
        <v>214</v>
      </c>
      <c r="N598">
        <v>2002</v>
      </c>
      <c r="O598">
        <v>1994</v>
      </c>
      <c r="Q598" t="s">
        <v>3773</v>
      </c>
      <c r="R598" t="s">
        <v>3863</v>
      </c>
      <c r="S598" t="s">
        <v>4301</v>
      </c>
      <c r="T598" t="s">
        <v>3863</v>
      </c>
      <c r="X598">
        <v>0</v>
      </c>
      <c r="AA598">
        <v>0</v>
      </c>
    </row>
    <row r="599" spans="1:27">
      <c r="A599" s="1">
        <v>597</v>
      </c>
      <c r="B599">
        <v>790171</v>
      </c>
      <c r="C599" t="s">
        <v>628</v>
      </c>
      <c r="D599" t="s">
        <v>1568</v>
      </c>
      <c r="E599" t="s">
        <v>2374</v>
      </c>
      <c r="G599">
        <f>"0671726528"</f>
        <v>0</v>
      </c>
      <c r="H599">
        <f>"9780671726522"</f>
        <v>0</v>
      </c>
      <c r="I599">
        <v>0</v>
      </c>
      <c r="J599">
        <v>4.14</v>
      </c>
      <c r="K599" t="s">
        <v>3323</v>
      </c>
      <c r="L599" t="s">
        <v>3491</v>
      </c>
      <c r="M599">
        <v>240</v>
      </c>
      <c r="N599">
        <v>1990</v>
      </c>
      <c r="O599">
        <v>1948</v>
      </c>
      <c r="Q599" t="s">
        <v>3773</v>
      </c>
      <c r="R599" t="s">
        <v>3863</v>
      </c>
      <c r="S599" t="s">
        <v>4302</v>
      </c>
      <c r="T599" t="s">
        <v>3863</v>
      </c>
      <c r="X599">
        <v>0</v>
      </c>
      <c r="AA599">
        <v>0</v>
      </c>
    </row>
    <row r="600" spans="1:27">
      <c r="A600" s="1">
        <v>598</v>
      </c>
      <c r="B600">
        <v>21926865</v>
      </c>
      <c r="C600" t="s">
        <v>629</v>
      </c>
      <c r="D600" t="s">
        <v>1569</v>
      </c>
      <c r="E600" t="s">
        <v>2375</v>
      </c>
      <c r="G600">
        <f>"1455583669"</f>
        <v>0</v>
      </c>
      <c r="H600">
        <f>"9781455583669"</f>
        <v>0</v>
      </c>
      <c r="I600">
        <v>0</v>
      </c>
      <c r="J600">
        <v>4.34</v>
      </c>
      <c r="K600" t="s">
        <v>3324</v>
      </c>
      <c r="L600" t="s">
        <v>3492</v>
      </c>
      <c r="M600">
        <v>384</v>
      </c>
      <c r="N600">
        <v>2014</v>
      </c>
      <c r="O600">
        <v>2014</v>
      </c>
      <c r="Q600" t="s">
        <v>3773</v>
      </c>
      <c r="R600" t="s">
        <v>3863</v>
      </c>
      <c r="S600" t="s">
        <v>4303</v>
      </c>
      <c r="T600" t="s">
        <v>3863</v>
      </c>
      <c r="X600">
        <v>0</v>
      </c>
      <c r="AA600">
        <v>0</v>
      </c>
    </row>
    <row r="601" spans="1:27">
      <c r="A601" s="1">
        <v>599</v>
      </c>
      <c r="B601">
        <v>52199285</v>
      </c>
      <c r="C601" t="s">
        <v>630</v>
      </c>
      <c r="D601" t="s">
        <v>1570</v>
      </c>
      <c r="E601" t="s">
        <v>2376</v>
      </c>
      <c r="G601">
        <f>"1847925669"</f>
        <v>0</v>
      </c>
      <c r="H601">
        <f>"9781847925664"</f>
        <v>0</v>
      </c>
      <c r="I601">
        <v>0</v>
      </c>
      <c r="J601">
        <v>4.42</v>
      </c>
      <c r="K601" t="s">
        <v>3325</v>
      </c>
      <c r="L601" t="s">
        <v>3491</v>
      </c>
      <c r="M601">
        <v>368</v>
      </c>
      <c r="N601">
        <v>2020</v>
      </c>
      <c r="O601">
        <v>2020</v>
      </c>
      <c r="Q601" t="s">
        <v>3773</v>
      </c>
      <c r="R601" t="s">
        <v>3863</v>
      </c>
      <c r="S601" t="s">
        <v>4304</v>
      </c>
      <c r="T601" t="s">
        <v>3863</v>
      </c>
      <c r="X601">
        <v>0</v>
      </c>
      <c r="AA601">
        <v>0</v>
      </c>
    </row>
    <row r="602" spans="1:27">
      <c r="A602" s="1">
        <v>600</v>
      </c>
      <c r="B602">
        <v>358846</v>
      </c>
      <c r="C602" t="s">
        <v>631</v>
      </c>
      <c r="D602" t="s">
        <v>1571</v>
      </c>
      <c r="E602" t="s">
        <v>2377</v>
      </c>
      <c r="F602" t="s">
        <v>2858</v>
      </c>
      <c r="G602">
        <f>"0810112973"</f>
        <v>0</v>
      </c>
      <c r="H602">
        <f>"9780810112971"</f>
        <v>0</v>
      </c>
      <c r="I602">
        <v>0</v>
      </c>
      <c r="J602">
        <v>4.53</v>
      </c>
      <c r="K602" t="s">
        <v>3326</v>
      </c>
      <c r="L602" t="s">
        <v>3491</v>
      </c>
      <c r="M602">
        <v>473</v>
      </c>
      <c r="N602">
        <v>1996</v>
      </c>
      <c r="O602">
        <v>1966</v>
      </c>
      <c r="Q602" t="s">
        <v>3774</v>
      </c>
      <c r="R602" t="s">
        <v>3863</v>
      </c>
      <c r="S602" t="s">
        <v>4305</v>
      </c>
      <c r="T602" t="s">
        <v>3863</v>
      </c>
      <c r="X602">
        <v>0</v>
      </c>
      <c r="AA602">
        <v>0</v>
      </c>
    </row>
    <row r="603" spans="1:27">
      <c r="A603" s="1">
        <v>601</v>
      </c>
      <c r="B603">
        <v>38651604</v>
      </c>
      <c r="C603" t="s">
        <v>632</v>
      </c>
      <c r="D603" t="s">
        <v>1572</v>
      </c>
      <c r="E603" t="s">
        <v>2378</v>
      </c>
      <c r="G603">
        <f>"1108425046"</f>
        <v>0</v>
      </c>
      <c r="H603">
        <f>"9781108425049"</f>
        <v>0</v>
      </c>
      <c r="I603">
        <v>0</v>
      </c>
      <c r="J603">
        <v>4.25</v>
      </c>
      <c r="K603" t="s">
        <v>3021</v>
      </c>
      <c r="L603" t="s">
        <v>3492</v>
      </c>
      <c r="M603">
        <v>378</v>
      </c>
      <c r="N603">
        <v>2018</v>
      </c>
      <c r="O603">
        <v>2018</v>
      </c>
      <c r="Q603" t="s">
        <v>3775</v>
      </c>
      <c r="R603" t="s">
        <v>3863</v>
      </c>
      <c r="S603" t="s">
        <v>4306</v>
      </c>
      <c r="T603" t="s">
        <v>3863</v>
      </c>
      <c r="X603">
        <v>0</v>
      </c>
      <c r="AA603">
        <v>0</v>
      </c>
    </row>
    <row r="604" spans="1:27">
      <c r="A604" s="1">
        <v>602</v>
      </c>
      <c r="B604">
        <v>53453640</v>
      </c>
      <c r="C604" t="s">
        <v>633</v>
      </c>
      <c r="D604" t="s">
        <v>1573</v>
      </c>
      <c r="E604" t="s">
        <v>2379</v>
      </c>
      <c r="G604">
        <f>""</f>
        <v>0</v>
      </c>
      <c r="H604">
        <f>""</f>
        <v>0</v>
      </c>
      <c r="I604">
        <v>0</v>
      </c>
      <c r="J604">
        <v>4.24</v>
      </c>
      <c r="K604" t="s">
        <v>3327</v>
      </c>
      <c r="L604" t="s">
        <v>3493</v>
      </c>
      <c r="M604">
        <v>89</v>
      </c>
      <c r="N604">
        <v>2020</v>
      </c>
      <c r="Q604" t="s">
        <v>3578</v>
      </c>
      <c r="R604" t="s">
        <v>3863</v>
      </c>
      <c r="S604" t="s">
        <v>4307</v>
      </c>
      <c r="T604" t="s">
        <v>3863</v>
      </c>
      <c r="X604">
        <v>0</v>
      </c>
      <c r="AA604">
        <v>0</v>
      </c>
    </row>
    <row r="605" spans="1:27">
      <c r="A605" s="1">
        <v>603</v>
      </c>
      <c r="B605">
        <v>750962</v>
      </c>
      <c r="C605" t="s">
        <v>634</v>
      </c>
      <c r="D605" t="s">
        <v>1574</v>
      </c>
      <c r="E605" t="s">
        <v>2380</v>
      </c>
      <c r="F605" t="s">
        <v>2859</v>
      </c>
      <c r="G605">
        <f>"0898629195"</f>
        <v>0</v>
      </c>
      <c r="H605">
        <f>"9780898629194"</f>
        <v>0</v>
      </c>
      <c r="I605">
        <v>0</v>
      </c>
      <c r="J605">
        <v>4.16</v>
      </c>
      <c r="K605" t="s">
        <v>3328</v>
      </c>
      <c r="L605" t="s">
        <v>3491</v>
      </c>
      <c r="M605">
        <v>425</v>
      </c>
      <c r="N605">
        <v>1987</v>
      </c>
      <c r="O605">
        <v>1979</v>
      </c>
      <c r="Q605" t="s">
        <v>3776</v>
      </c>
      <c r="R605" t="s">
        <v>3863</v>
      </c>
      <c r="S605" t="s">
        <v>4308</v>
      </c>
      <c r="T605" t="s">
        <v>3863</v>
      </c>
      <c r="X605">
        <v>0</v>
      </c>
      <c r="AA605">
        <v>0</v>
      </c>
    </row>
    <row r="606" spans="1:27">
      <c r="A606" s="1">
        <v>604</v>
      </c>
      <c r="B606">
        <v>275204</v>
      </c>
      <c r="C606" t="s">
        <v>635</v>
      </c>
      <c r="D606" t="s">
        <v>1575</v>
      </c>
      <c r="E606" t="s">
        <v>2381</v>
      </c>
      <c r="G606">
        <f>"0898628474"</f>
        <v>0</v>
      </c>
      <c r="H606">
        <f>"9780898628470"</f>
        <v>0</v>
      </c>
      <c r="I606">
        <v>0</v>
      </c>
      <c r="J606">
        <v>4.2</v>
      </c>
      <c r="K606" t="s">
        <v>3328</v>
      </c>
      <c r="L606" t="s">
        <v>3492</v>
      </c>
      <c r="M606">
        <v>338</v>
      </c>
      <c r="N606">
        <v>1995</v>
      </c>
      <c r="O606">
        <v>1995</v>
      </c>
      <c r="Q606" t="s">
        <v>3776</v>
      </c>
      <c r="R606" t="s">
        <v>3863</v>
      </c>
      <c r="S606" t="s">
        <v>4309</v>
      </c>
      <c r="T606" t="s">
        <v>3863</v>
      </c>
      <c r="X606">
        <v>0</v>
      </c>
      <c r="AA606">
        <v>0</v>
      </c>
    </row>
    <row r="607" spans="1:27">
      <c r="A607" s="1">
        <v>605</v>
      </c>
      <c r="B607">
        <v>1240562</v>
      </c>
      <c r="C607" t="s">
        <v>636</v>
      </c>
      <c r="D607" t="s">
        <v>1576</v>
      </c>
      <c r="E607" t="s">
        <v>2382</v>
      </c>
      <c r="G607">
        <f>"0471575186"</f>
        <v>0</v>
      </c>
      <c r="H607">
        <f>"9780471575184"</f>
        <v>0</v>
      </c>
      <c r="I607">
        <v>0</v>
      </c>
      <c r="J607">
        <v>4.19</v>
      </c>
      <c r="K607" t="s">
        <v>3127</v>
      </c>
      <c r="L607" t="s">
        <v>3491</v>
      </c>
      <c r="M607">
        <v>576</v>
      </c>
      <c r="N607">
        <v>1992</v>
      </c>
      <c r="O607">
        <v>1992</v>
      </c>
      <c r="Q607" t="s">
        <v>3776</v>
      </c>
      <c r="R607" t="s">
        <v>3863</v>
      </c>
      <c r="S607" t="s">
        <v>4310</v>
      </c>
      <c r="T607" t="s">
        <v>3863</v>
      </c>
      <c r="X607">
        <v>0</v>
      </c>
      <c r="AA607">
        <v>0</v>
      </c>
    </row>
    <row r="608" spans="1:27">
      <c r="A608" s="1">
        <v>606</v>
      </c>
      <c r="B608">
        <v>279812</v>
      </c>
      <c r="C608" t="s">
        <v>637</v>
      </c>
      <c r="D608" t="s">
        <v>1577</v>
      </c>
      <c r="E608" t="s">
        <v>2383</v>
      </c>
      <c r="G608">
        <f>"0195060806"</f>
        <v>0</v>
      </c>
      <c r="H608">
        <f>"9780195060805"</f>
        <v>0</v>
      </c>
      <c r="I608">
        <v>0</v>
      </c>
      <c r="J608">
        <v>3.99</v>
      </c>
      <c r="K608" t="s">
        <v>3061</v>
      </c>
      <c r="L608" t="s">
        <v>3491</v>
      </c>
      <c r="M608">
        <v>249</v>
      </c>
      <c r="N608">
        <v>1989</v>
      </c>
      <c r="O608">
        <v>1988</v>
      </c>
      <c r="Q608" t="s">
        <v>3530</v>
      </c>
      <c r="R608" t="s">
        <v>3863</v>
      </c>
      <c r="S608" t="s">
        <v>4311</v>
      </c>
      <c r="T608" t="s">
        <v>3863</v>
      </c>
      <c r="X608">
        <v>0</v>
      </c>
      <c r="AA608">
        <v>0</v>
      </c>
    </row>
    <row r="609" spans="1:27">
      <c r="A609" s="1">
        <v>607</v>
      </c>
      <c r="B609">
        <v>100247</v>
      </c>
      <c r="C609" t="s">
        <v>638</v>
      </c>
      <c r="D609" t="s">
        <v>1578</v>
      </c>
      <c r="E609" t="s">
        <v>2384</v>
      </c>
      <c r="G609">
        <f>"0812992180"</f>
        <v>0</v>
      </c>
      <c r="H609">
        <f>"9780812992182"</f>
        <v>0</v>
      </c>
      <c r="I609">
        <v>3</v>
      </c>
      <c r="J609">
        <v>3.94</v>
      </c>
      <c r="K609" t="s">
        <v>3001</v>
      </c>
      <c r="L609" t="s">
        <v>3491</v>
      </c>
      <c r="M609">
        <v>205</v>
      </c>
      <c r="N609">
        <v>2002</v>
      </c>
      <c r="O609">
        <v>2002</v>
      </c>
      <c r="P609" t="s">
        <v>3530</v>
      </c>
      <c r="Q609" t="s">
        <v>3755</v>
      </c>
      <c r="T609" t="s">
        <v>4621</v>
      </c>
      <c r="U609" t="s">
        <v>4649</v>
      </c>
      <c r="X609">
        <v>1</v>
      </c>
      <c r="AA609">
        <v>0</v>
      </c>
    </row>
    <row r="610" spans="1:27">
      <c r="A610" s="1">
        <v>608</v>
      </c>
      <c r="B610">
        <v>33607457</v>
      </c>
      <c r="C610" t="s">
        <v>639</v>
      </c>
      <c r="D610" t="s">
        <v>1579</v>
      </c>
      <c r="E610" t="s">
        <v>2385</v>
      </c>
      <c r="F610" t="s">
        <v>2860</v>
      </c>
      <c r="G610">
        <f>"1941129420"</f>
        <v>0</v>
      </c>
      <c r="H610">
        <f>"9781941129425"</f>
        <v>0</v>
      </c>
      <c r="I610">
        <v>2</v>
      </c>
      <c r="J610">
        <v>4.18</v>
      </c>
      <c r="K610" t="s">
        <v>3329</v>
      </c>
      <c r="L610" t="s">
        <v>3491</v>
      </c>
      <c r="M610">
        <v>46</v>
      </c>
      <c r="N610">
        <v>2016</v>
      </c>
      <c r="O610">
        <v>49</v>
      </c>
      <c r="P610" t="s">
        <v>3531</v>
      </c>
      <c r="Q610" t="s">
        <v>3777</v>
      </c>
      <c r="T610" t="s">
        <v>4621</v>
      </c>
      <c r="U610" t="s">
        <v>4650</v>
      </c>
      <c r="X610">
        <v>1</v>
      </c>
      <c r="AA610">
        <v>0</v>
      </c>
    </row>
    <row r="611" spans="1:27">
      <c r="A611" s="1">
        <v>609</v>
      </c>
      <c r="B611">
        <v>348244</v>
      </c>
      <c r="C611" t="s">
        <v>640</v>
      </c>
      <c r="D611" t="s">
        <v>1580</v>
      </c>
      <c r="E611" t="s">
        <v>2386</v>
      </c>
      <c r="F611" t="s">
        <v>2861</v>
      </c>
      <c r="G611">
        <f>"1852421843"</f>
        <v>0</v>
      </c>
      <c r="H611">
        <f>"9781852421847"</f>
        <v>0</v>
      </c>
      <c r="I611">
        <v>0</v>
      </c>
      <c r="J611">
        <v>3.99</v>
      </c>
      <c r="K611" t="s">
        <v>3330</v>
      </c>
      <c r="L611" t="s">
        <v>3491</v>
      </c>
      <c r="M611">
        <v>167</v>
      </c>
      <c r="N611">
        <v>1990</v>
      </c>
      <c r="O611">
        <v>1983</v>
      </c>
      <c r="Q611" t="s">
        <v>3531</v>
      </c>
      <c r="R611" t="s">
        <v>3863</v>
      </c>
      <c r="S611" t="s">
        <v>4312</v>
      </c>
      <c r="T611" t="s">
        <v>3863</v>
      </c>
      <c r="X611">
        <v>0</v>
      </c>
      <c r="AA611">
        <v>0</v>
      </c>
    </row>
    <row r="612" spans="1:27">
      <c r="A612" s="1">
        <v>610</v>
      </c>
      <c r="B612">
        <v>477380</v>
      </c>
      <c r="C612" t="s">
        <v>641</v>
      </c>
      <c r="D612" t="s">
        <v>1581</v>
      </c>
      <c r="E612" t="s">
        <v>2387</v>
      </c>
      <c r="G612">
        <f>"0679601996"</f>
        <v>0</v>
      </c>
      <c r="H612">
        <f>"9780679601999"</f>
        <v>0</v>
      </c>
      <c r="I612">
        <v>4</v>
      </c>
      <c r="J612">
        <v>4.28</v>
      </c>
      <c r="K612" t="s">
        <v>3331</v>
      </c>
      <c r="L612" t="s">
        <v>3492</v>
      </c>
      <c r="M612">
        <v>1462</v>
      </c>
      <c r="N612">
        <v>1996</v>
      </c>
      <c r="O612">
        <v>1844</v>
      </c>
      <c r="P612" t="s">
        <v>3532</v>
      </c>
      <c r="Q612" t="s">
        <v>3778</v>
      </c>
      <c r="T612" t="s">
        <v>4621</v>
      </c>
      <c r="U612" t="s">
        <v>4651</v>
      </c>
      <c r="V612" t="b">
        <v>1</v>
      </c>
      <c r="X612">
        <v>1</v>
      </c>
      <c r="AA612">
        <v>0</v>
      </c>
    </row>
    <row r="613" spans="1:27">
      <c r="A613" s="1">
        <v>611</v>
      </c>
      <c r="B613">
        <v>10016013</v>
      </c>
      <c r="C613" t="s">
        <v>642</v>
      </c>
      <c r="D613" t="s">
        <v>1582</v>
      </c>
      <c r="E613" t="s">
        <v>2388</v>
      </c>
      <c r="G613">
        <f>""</f>
        <v>0</v>
      </c>
      <c r="H613">
        <f>""</f>
        <v>0</v>
      </c>
      <c r="I613">
        <v>0</v>
      </c>
      <c r="J613">
        <v>4.4</v>
      </c>
      <c r="K613" t="s">
        <v>3332</v>
      </c>
      <c r="L613" t="s">
        <v>3494</v>
      </c>
      <c r="M613">
        <v>2184</v>
      </c>
      <c r="N613">
        <v>2015</v>
      </c>
      <c r="O613">
        <v>2015</v>
      </c>
      <c r="Q613" t="s">
        <v>3778</v>
      </c>
      <c r="R613" t="s">
        <v>3863</v>
      </c>
      <c r="S613" t="s">
        <v>4313</v>
      </c>
      <c r="T613" t="s">
        <v>3863</v>
      </c>
      <c r="X613">
        <v>0</v>
      </c>
      <c r="AA613">
        <v>0</v>
      </c>
    </row>
    <row r="614" spans="1:27">
      <c r="A614" s="1">
        <v>612</v>
      </c>
      <c r="B614">
        <v>28589297</v>
      </c>
      <c r="C614" t="s">
        <v>643</v>
      </c>
      <c r="D614" t="s">
        <v>1583</v>
      </c>
      <c r="E614" t="s">
        <v>2389</v>
      </c>
      <c r="G614">
        <f>""</f>
        <v>0</v>
      </c>
      <c r="H614">
        <f>""</f>
        <v>0</v>
      </c>
      <c r="I614">
        <v>0</v>
      </c>
      <c r="J614">
        <v>4.39</v>
      </c>
      <c r="L614" t="s">
        <v>3494</v>
      </c>
      <c r="M614">
        <v>795</v>
      </c>
      <c r="N614">
        <v>2017</v>
      </c>
      <c r="O614">
        <v>2017</v>
      </c>
      <c r="Q614" t="s">
        <v>3778</v>
      </c>
      <c r="R614" t="s">
        <v>3863</v>
      </c>
      <c r="S614" t="s">
        <v>4314</v>
      </c>
      <c r="T614" t="s">
        <v>3863</v>
      </c>
      <c r="X614">
        <v>0</v>
      </c>
      <c r="AA614">
        <v>0</v>
      </c>
    </row>
    <row r="615" spans="1:27">
      <c r="A615" s="1">
        <v>613</v>
      </c>
      <c r="B615">
        <v>355941</v>
      </c>
      <c r="C615" t="s">
        <v>644</v>
      </c>
      <c r="D615" t="s">
        <v>1584</v>
      </c>
      <c r="E615" t="s">
        <v>2390</v>
      </c>
      <c r="F615" t="s">
        <v>2862</v>
      </c>
      <c r="G615">
        <f>"0060564105"</f>
        <v>0</v>
      </c>
      <c r="H615">
        <f>"9780060564100"</f>
        <v>0</v>
      </c>
      <c r="I615">
        <v>0</v>
      </c>
      <c r="J615">
        <v>4.07</v>
      </c>
      <c r="K615" t="s">
        <v>3333</v>
      </c>
      <c r="L615" t="s">
        <v>3491</v>
      </c>
      <c r="M615">
        <v>368</v>
      </c>
      <c r="N615">
        <v>2005</v>
      </c>
      <c r="O615">
        <v>2004</v>
      </c>
      <c r="Q615" t="s">
        <v>3779</v>
      </c>
      <c r="R615" t="s">
        <v>3863</v>
      </c>
      <c r="S615" t="s">
        <v>4315</v>
      </c>
      <c r="T615" t="s">
        <v>3863</v>
      </c>
      <c r="X615">
        <v>0</v>
      </c>
      <c r="AA615">
        <v>0</v>
      </c>
    </row>
    <row r="616" spans="1:27">
      <c r="A616" s="1">
        <v>614</v>
      </c>
      <c r="B616">
        <v>31548</v>
      </c>
      <c r="C616" t="s">
        <v>645</v>
      </c>
      <c r="D616" t="s">
        <v>1585</v>
      </c>
      <c r="E616" t="s">
        <v>2391</v>
      </c>
      <c r="F616" t="s">
        <v>2863</v>
      </c>
      <c r="G616">
        <f>"0451530179"</f>
        <v>0</v>
      </c>
      <c r="H616">
        <f>"9780451530172"</f>
        <v>0</v>
      </c>
      <c r="I616">
        <v>0</v>
      </c>
      <c r="J616">
        <v>4.12</v>
      </c>
      <c r="K616" t="s">
        <v>3049</v>
      </c>
      <c r="L616" t="s">
        <v>3491</v>
      </c>
      <c r="M616">
        <v>684</v>
      </c>
      <c r="N616">
        <v>2007</v>
      </c>
      <c r="O616">
        <v>1915</v>
      </c>
      <c r="Q616" t="s">
        <v>3780</v>
      </c>
      <c r="R616" t="s">
        <v>3863</v>
      </c>
      <c r="S616" t="s">
        <v>4316</v>
      </c>
      <c r="T616" t="s">
        <v>3863</v>
      </c>
      <c r="X616">
        <v>0</v>
      </c>
      <c r="AA616">
        <v>0</v>
      </c>
    </row>
    <row r="617" spans="1:27">
      <c r="A617" s="1">
        <v>615</v>
      </c>
      <c r="B617">
        <v>12505</v>
      </c>
      <c r="C617" t="s">
        <v>646</v>
      </c>
      <c r="D617" t="s">
        <v>1319</v>
      </c>
      <c r="E617" t="s">
        <v>2125</v>
      </c>
      <c r="F617" t="s">
        <v>2864</v>
      </c>
      <c r="G617">
        <f>"0679642420"</f>
        <v>0</v>
      </c>
      <c r="H617">
        <f>"9780679642428"</f>
        <v>0</v>
      </c>
      <c r="I617">
        <v>0</v>
      </c>
      <c r="J617">
        <v>4.2</v>
      </c>
      <c r="K617" t="s">
        <v>3157</v>
      </c>
      <c r="L617" t="s">
        <v>3491</v>
      </c>
      <c r="M617">
        <v>667</v>
      </c>
      <c r="N617">
        <v>2003</v>
      </c>
      <c r="O617">
        <v>1869</v>
      </c>
      <c r="Q617" t="s">
        <v>3780</v>
      </c>
      <c r="R617" t="s">
        <v>3863</v>
      </c>
      <c r="S617" t="s">
        <v>4317</v>
      </c>
      <c r="T617" t="s">
        <v>3863</v>
      </c>
      <c r="X617">
        <v>0</v>
      </c>
      <c r="AA617">
        <v>0</v>
      </c>
    </row>
    <row r="618" spans="1:27">
      <c r="A618" s="1">
        <v>616</v>
      </c>
      <c r="B618">
        <v>2932</v>
      </c>
      <c r="C618" t="s">
        <v>647</v>
      </c>
      <c r="D618" t="s">
        <v>1586</v>
      </c>
      <c r="E618" t="s">
        <v>2392</v>
      </c>
      <c r="F618" t="s">
        <v>2865</v>
      </c>
      <c r="G618">
        <f>""</f>
        <v>0</v>
      </c>
      <c r="H618">
        <f>""</f>
        <v>0</v>
      </c>
      <c r="I618">
        <v>0</v>
      </c>
      <c r="J618">
        <v>3.68</v>
      </c>
      <c r="K618" t="s">
        <v>3157</v>
      </c>
      <c r="L618" t="s">
        <v>3491</v>
      </c>
      <c r="M618">
        <v>320</v>
      </c>
      <c r="N618">
        <v>2001</v>
      </c>
      <c r="O618">
        <v>1719</v>
      </c>
      <c r="Q618" t="s">
        <v>3780</v>
      </c>
      <c r="R618" t="s">
        <v>3863</v>
      </c>
      <c r="S618" t="s">
        <v>4318</v>
      </c>
      <c r="T618" t="s">
        <v>3863</v>
      </c>
      <c r="X618">
        <v>0</v>
      </c>
      <c r="AA618">
        <v>0</v>
      </c>
    </row>
    <row r="619" spans="1:27">
      <c r="A619" s="1">
        <v>617</v>
      </c>
      <c r="B619">
        <v>93101</v>
      </c>
      <c r="C619" t="s">
        <v>648</v>
      </c>
      <c r="D619" t="s">
        <v>1587</v>
      </c>
      <c r="E619" t="s">
        <v>2393</v>
      </c>
      <c r="F619" t="s">
        <v>2866</v>
      </c>
      <c r="G619">
        <f>"0812972147"</f>
        <v>0</v>
      </c>
      <c r="H619">
        <f>"9780812972146"</f>
        <v>0</v>
      </c>
      <c r="I619">
        <v>0</v>
      </c>
      <c r="J619">
        <v>4.04</v>
      </c>
      <c r="K619" t="s">
        <v>3157</v>
      </c>
      <c r="L619" t="s">
        <v>3491</v>
      </c>
      <c r="M619">
        <v>1049</v>
      </c>
      <c r="N619">
        <v>2004</v>
      </c>
      <c r="O619">
        <v>800</v>
      </c>
      <c r="Q619" t="s">
        <v>3780</v>
      </c>
      <c r="R619" t="s">
        <v>3863</v>
      </c>
      <c r="S619" t="s">
        <v>4319</v>
      </c>
      <c r="T619" t="s">
        <v>3863</v>
      </c>
      <c r="X619">
        <v>0</v>
      </c>
      <c r="AA619">
        <v>0</v>
      </c>
    </row>
    <row r="620" spans="1:27">
      <c r="A620" s="1">
        <v>618</v>
      </c>
      <c r="B620">
        <v>18405</v>
      </c>
      <c r="C620" t="s">
        <v>649</v>
      </c>
      <c r="D620" t="s">
        <v>1588</v>
      </c>
      <c r="E620" t="s">
        <v>2394</v>
      </c>
      <c r="G620">
        <f>""</f>
        <v>0</v>
      </c>
      <c r="H620">
        <f>""</f>
        <v>0</v>
      </c>
      <c r="I620">
        <v>0</v>
      </c>
      <c r="J620">
        <v>4.3</v>
      </c>
      <c r="K620" t="s">
        <v>3334</v>
      </c>
      <c r="L620" t="s">
        <v>3495</v>
      </c>
      <c r="M620">
        <v>1037</v>
      </c>
      <c r="N620">
        <v>1999</v>
      </c>
      <c r="O620">
        <v>1936</v>
      </c>
      <c r="Q620" t="s">
        <v>3780</v>
      </c>
      <c r="R620" t="s">
        <v>3863</v>
      </c>
      <c r="S620" t="s">
        <v>4320</v>
      </c>
      <c r="T620" t="s">
        <v>3863</v>
      </c>
      <c r="X620">
        <v>0</v>
      </c>
      <c r="AA620">
        <v>0</v>
      </c>
    </row>
    <row r="621" spans="1:27">
      <c r="A621" s="1">
        <v>619</v>
      </c>
      <c r="B621">
        <v>17397466</v>
      </c>
      <c r="C621" t="s">
        <v>650</v>
      </c>
      <c r="D621" t="s">
        <v>1589</v>
      </c>
      <c r="E621" t="s">
        <v>2395</v>
      </c>
      <c r="F621" t="s">
        <v>2867</v>
      </c>
      <c r="G621">
        <f>"1461471370"</f>
        <v>0</v>
      </c>
      <c r="H621">
        <f>"9781461471370"</f>
        <v>0</v>
      </c>
      <c r="I621">
        <v>0</v>
      </c>
      <c r="J621">
        <v>4.6</v>
      </c>
      <c r="K621" t="s">
        <v>3120</v>
      </c>
      <c r="L621" t="s">
        <v>3492</v>
      </c>
      <c r="M621">
        <v>426</v>
      </c>
      <c r="N621">
        <v>2017</v>
      </c>
      <c r="O621">
        <v>2013</v>
      </c>
      <c r="Q621" t="s">
        <v>3781</v>
      </c>
      <c r="R621" t="s">
        <v>3863</v>
      </c>
      <c r="S621" t="s">
        <v>4321</v>
      </c>
      <c r="T621" t="s">
        <v>3863</v>
      </c>
      <c r="X621">
        <v>0</v>
      </c>
      <c r="AA621">
        <v>0</v>
      </c>
    </row>
    <row r="622" spans="1:27">
      <c r="A622" s="1">
        <v>620</v>
      </c>
      <c r="B622">
        <v>4643011</v>
      </c>
      <c r="C622" t="s">
        <v>651</v>
      </c>
      <c r="D622" t="s">
        <v>1556</v>
      </c>
      <c r="E622" t="s">
        <v>2362</v>
      </c>
      <c r="F622" t="s">
        <v>2868</v>
      </c>
      <c r="G622">
        <f>"0615214479"</f>
        <v>0</v>
      </c>
      <c r="H622">
        <f>"9780615214474"</f>
        <v>0</v>
      </c>
      <c r="I622">
        <v>0</v>
      </c>
      <c r="J622">
        <v>4.29</v>
      </c>
      <c r="K622" t="s">
        <v>3335</v>
      </c>
      <c r="L622" t="s">
        <v>3491</v>
      </c>
      <c r="M622">
        <v>655</v>
      </c>
      <c r="N622">
        <v>2008</v>
      </c>
      <c r="O622">
        <v>2008</v>
      </c>
      <c r="Q622" t="s">
        <v>3768</v>
      </c>
      <c r="R622" t="s">
        <v>3863</v>
      </c>
      <c r="S622" t="s">
        <v>4322</v>
      </c>
      <c r="T622" t="s">
        <v>3863</v>
      </c>
      <c r="X622">
        <v>0</v>
      </c>
      <c r="AA622">
        <v>0</v>
      </c>
    </row>
    <row r="623" spans="1:27">
      <c r="A623" s="1">
        <v>621</v>
      </c>
      <c r="B623">
        <v>30597</v>
      </c>
      <c r="C623" t="s">
        <v>652</v>
      </c>
      <c r="D623" t="s">
        <v>1590</v>
      </c>
      <c r="E623" t="s">
        <v>2396</v>
      </c>
      <c r="F623" t="s">
        <v>2869</v>
      </c>
      <c r="G623">
        <f>"0451527887"</f>
        <v>0</v>
      </c>
      <c r="H623">
        <f>"9780451527882"</f>
        <v>0</v>
      </c>
      <c r="I623">
        <v>0</v>
      </c>
      <c r="J623">
        <v>4.01</v>
      </c>
      <c r="K623" t="s">
        <v>3295</v>
      </c>
      <c r="L623" t="s">
        <v>3491</v>
      </c>
      <c r="M623">
        <v>510</v>
      </c>
      <c r="N623">
        <v>2001</v>
      </c>
      <c r="O623">
        <v>1831</v>
      </c>
      <c r="Q623" t="s">
        <v>3585</v>
      </c>
      <c r="R623" t="s">
        <v>3863</v>
      </c>
      <c r="S623" t="s">
        <v>4323</v>
      </c>
      <c r="T623" t="s">
        <v>3863</v>
      </c>
      <c r="X623">
        <v>0</v>
      </c>
      <c r="AA623">
        <v>0</v>
      </c>
    </row>
    <row r="624" spans="1:27">
      <c r="A624" s="1">
        <v>622</v>
      </c>
      <c r="B624">
        <v>35629744</v>
      </c>
      <c r="C624" t="s">
        <v>653</v>
      </c>
      <c r="D624" t="s">
        <v>1591</v>
      </c>
      <c r="E624" t="s">
        <v>2397</v>
      </c>
      <c r="G624">
        <f>"0735222916"</f>
        <v>0</v>
      </c>
      <c r="H624">
        <f>"9780735222915"</f>
        <v>0</v>
      </c>
      <c r="I624">
        <v>0</v>
      </c>
      <c r="J624">
        <v>3.65</v>
      </c>
      <c r="K624" t="s">
        <v>3050</v>
      </c>
      <c r="L624" t="s">
        <v>3492</v>
      </c>
      <c r="M624">
        <v>592</v>
      </c>
      <c r="N624">
        <v>2018</v>
      </c>
      <c r="O624">
        <v>2017</v>
      </c>
      <c r="Q624" t="s">
        <v>3593</v>
      </c>
      <c r="R624" t="s">
        <v>3863</v>
      </c>
      <c r="S624" t="s">
        <v>4324</v>
      </c>
      <c r="T624" t="s">
        <v>3863</v>
      </c>
      <c r="X624">
        <v>0</v>
      </c>
      <c r="AA624">
        <v>0</v>
      </c>
    </row>
    <row r="625" spans="1:27">
      <c r="A625" s="1">
        <v>623</v>
      </c>
      <c r="B625">
        <v>27796761</v>
      </c>
      <c r="C625" t="s">
        <v>654</v>
      </c>
      <c r="D625" t="s">
        <v>1592</v>
      </c>
      <c r="E625" t="s">
        <v>2398</v>
      </c>
      <c r="G625">
        <f>""</f>
        <v>0</v>
      </c>
      <c r="H625">
        <f>""</f>
        <v>0</v>
      </c>
      <c r="I625">
        <v>0</v>
      </c>
      <c r="J625">
        <v>4.11</v>
      </c>
      <c r="K625" t="s">
        <v>3336</v>
      </c>
      <c r="L625" t="s">
        <v>3493</v>
      </c>
      <c r="M625">
        <v>270</v>
      </c>
      <c r="N625">
        <v>2015</v>
      </c>
      <c r="O625">
        <v>2007</v>
      </c>
      <c r="Q625" t="s">
        <v>3782</v>
      </c>
      <c r="R625" t="s">
        <v>3863</v>
      </c>
      <c r="S625" t="s">
        <v>4325</v>
      </c>
      <c r="T625" t="s">
        <v>3863</v>
      </c>
      <c r="X625">
        <v>0</v>
      </c>
      <c r="AA625">
        <v>0</v>
      </c>
    </row>
    <row r="626" spans="1:27">
      <c r="A626" s="1">
        <v>624</v>
      </c>
      <c r="B626">
        <v>135836</v>
      </c>
      <c r="C626" t="s">
        <v>655</v>
      </c>
      <c r="D626" t="s">
        <v>1593</v>
      </c>
      <c r="E626" t="s">
        <v>2399</v>
      </c>
      <c r="G626">
        <f>"0099465892"</f>
        <v>0</v>
      </c>
      <c r="H626">
        <f>"9780099465898"</f>
        <v>0</v>
      </c>
      <c r="I626">
        <v>0</v>
      </c>
      <c r="J626">
        <v>4.08</v>
      </c>
      <c r="K626" t="s">
        <v>3029</v>
      </c>
      <c r="L626" t="s">
        <v>3491</v>
      </c>
      <c r="M626">
        <v>431</v>
      </c>
      <c r="N626">
        <v>1994</v>
      </c>
      <c r="O626">
        <v>1993</v>
      </c>
      <c r="Q626" t="s">
        <v>3782</v>
      </c>
      <c r="R626" t="s">
        <v>3863</v>
      </c>
      <c r="S626" t="s">
        <v>4326</v>
      </c>
      <c r="T626" t="s">
        <v>3863</v>
      </c>
      <c r="X626">
        <v>0</v>
      </c>
      <c r="AA626">
        <v>0</v>
      </c>
    </row>
    <row r="627" spans="1:27">
      <c r="A627" s="1">
        <v>625</v>
      </c>
      <c r="B627">
        <v>34</v>
      </c>
      <c r="C627" t="s">
        <v>656</v>
      </c>
      <c r="D627" t="s">
        <v>1520</v>
      </c>
      <c r="E627" t="s">
        <v>2326</v>
      </c>
      <c r="F627" t="s">
        <v>2870</v>
      </c>
      <c r="G627">
        <f>"0618346252"</f>
        <v>0</v>
      </c>
      <c r="H627">
        <f>"9780618346257"</f>
        <v>0</v>
      </c>
      <c r="I627">
        <v>0</v>
      </c>
      <c r="J627">
        <v>4.38</v>
      </c>
      <c r="K627" t="s">
        <v>3033</v>
      </c>
      <c r="L627" t="s">
        <v>3491</v>
      </c>
      <c r="M627">
        <v>398</v>
      </c>
      <c r="N627">
        <v>2003</v>
      </c>
      <c r="O627">
        <v>1954</v>
      </c>
      <c r="Q627" t="s">
        <v>3783</v>
      </c>
      <c r="R627" t="s">
        <v>3863</v>
      </c>
      <c r="S627" t="s">
        <v>4327</v>
      </c>
      <c r="T627" t="s">
        <v>3863</v>
      </c>
      <c r="X627">
        <v>0</v>
      </c>
      <c r="AA627">
        <v>0</v>
      </c>
    </row>
    <row r="628" spans="1:27">
      <c r="A628" s="1">
        <v>626</v>
      </c>
      <c r="B628">
        <v>25958341</v>
      </c>
      <c r="C628" t="s">
        <v>657</v>
      </c>
      <c r="D628" t="s">
        <v>1594</v>
      </c>
      <c r="E628" t="s">
        <v>2400</v>
      </c>
      <c r="G628">
        <f>""</f>
        <v>0</v>
      </c>
      <c r="H628">
        <f>""</f>
        <v>0</v>
      </c>
      <c r="I628">
        <v>0</v>
      </c>
      <c r="J628">
        <v>4</v>
      </c>
      <c r="K628" t="s">
        <v>3337</v>
      </c>
      <c r="L628" t="s">
        <v>3492</v>
      </c>
      <c r="M628">
        <v>207</v>
      </c>
      <c r="N628">
        <v>1950</v>
      </c>
      <c r="O628">
        <v>1950</v>
      </c>
      <c r="Q628" t="s">
        <v>3784</v>
      </c>
      <c r="R628" t="s">
        <v>3863</v>
      </c>
      <c r="S628" t="s">
        <v>4328</v>
      </c>
      <c r="T628" t="s">
        <v>3863</v>
      </c>
      <c r="X628">
        <v>0</v>
      </c>
      <c r="AA628">
        <v>0</v>
      </c>
    </row>
    <row r="629" spans="1:27">
      <c r="A629" s="1">
        <v>627</v>
      </c>
      <c r="B629">
        <v>7718203</v>
      </c>
      <c r="C629" t="s">
        <v>658</v>
      </c>
      <c r="D629" t="s">
        <v>1595</v>
      </c>
      <c r="E629" t="s">
        <v>2401</v>
      </c>
      <c r="G629">
        <f>"0691145687"</f>
        <v>0</v>
      </c>
      <c r="H629">
        <f>"9780691145686"</f>
        <v>0</v>
      </c>
      <c r="I629">
        <v>0</v>
      </c>
      <c r="J629">
        <v>4.04</v>
      </c>
      <c r="K629" t="s">
        <v>3016</v>
      </c>
      <c r="L629" t="s">
        <v>3492</v>
      </c>
      <c r="M629">
        <v>408</v>
      </c>
      <c r="N629">
        <v>2010</v>
      </c>
      <c r="Q629" t="s">
        <v>3783</v>
      </c>
      <c r="R629" t="s">
        <v>3863</v>
      </c>
      <c r="S629" t="s">
        <v>4329</v>
      </c>
      <c r="T629" t="s">
        <v>3863</v>
      </c>
      <c r="X629">
        <v>0</v>
      </c>
      <c r="AA629">
        <v>0</v>
      </c>
    </row>
    <row r="630" spans="1:27">
      <c r="A630" s="1">
        <v>628</v>
      </c>
      <c r="B630">
        <v>248193</v>
      </c>
      <c r="C630" t="s">
        <v>659</v>
      </c>
      <c r="D630" t="s">
        <v>1481</v>
      </c>
      <c r="E630" t="s">
        <v>2287</v>
      </c>
      <c r="G630">
        <f>"0465086454"</f>
        <v>0</v>
      </c>
      <c r="H630">
        <f>"9780465086450"</f>
        <v>0</v>
      </c>
      <c r="I630">
        <v>0</v>
      </c>
      <c r="J630">
        <v>4.24</v>
      </c>
      <c r="K630" t="s">
        <v>3138</v>
      </c>
      <c r="L630" t="s">
        <v>3491</v>
      </c>
      <c r="M630">
        <v>632</v>
      </c>
      <c r="N630">
        <v>1998</v>
      </c>
      <c r="O630">
        <v>1997</v>
      </c>
      <c r="Q630" t="s">
        <v>3533</v>
      </c>
      <c r="R630" t="s">
        <v>3863</v>
      </c>
      <c r="S630" t="s">
        <v>4330</v>
      </c>
      <c r="T630" t="s">
        <v>3863</v>
      </c>
      <c r="X630">
        <v>0</v>
      </c>
      <c r="AA630">
        <v>0</v>
      </c>
    </row>
    <row r="631" spans="1:27">
      <c r="A631" s="1">
        <v>629</v>
      </c>
      <c r="B631">
        <v>124431</v>
      </c>
      <c r="C631" t="s">
        <v>660</v>
      </c>
      <c r="D631" t="s">
        <v>1596</v>
      </c>
      <c r="E631" t="s">
        <v>2402</v>
      </c>
      <c r="G631">
        <f>"1864501731"</f>
        <v>0</v>
      </c>
      <c r="H631">
        <f>"9781864501735"</f>
        <v>0</v>
      </c>
      <c r="I631">
        <v>3</v>
      </c>
      <c r="J631">
        <v>3.98</v>
      </c>
      <c r="K631" t="s">
        <v>3338</v>
      </c>
      <c r="L631" t="s">
        <v>3491</v>
      </c>
      <c r="M631">
        <v>319</v>
      </c>
      <c r="N631">
        <v>2000</v>
      </c>
      <c r="O631">
        <v>1989</v>
      </c>
      <c r="P631" t="s">
        <v>3533</v>
      </c>
      <c r="Q631" t="s">
        <v>3785</v>
      </c>
      <c r="T631" t="s">
        <v>4621</v>
      </c>
      <c r="U631" t="s">
        <v>4652</v>
      </c>
      <c r="X631">
        <v>1</v>
      </c>
      <c r="AA631">
        <v>0</v>
      </c>
    </row>
    <row r="632" spans="1:27">
      <c r="A632" s="1">
        <v>630</v>
      </c>
      <c r="B632">
        <v>7873438</v>
      </c>
      <c r="C632" t="s">
        <v>661</v>
      </c>
      <c r="D632" t="s">
        <v>1597</v>
      </c>
      <c r="E632" t="s">
        <v>2403</v>
      </c>
      <c r="F632" t="s">
        <v>2871</v>
      </c>
      <c r="G632">
        <f>"0805092811"</f>
        <v>0</v>
      </c>
      <c r="H632">
        <f>"9780805092813"</f>
        <v>0</v>
      </c>
      <c r="I632">
        <v>0</v>
      </c>
      <c r="J632">
        <v>3.94</v>
      </c>
      <c r="K632" t="s">
        <v>3140</v>
      </c>
      <c r="L632" t="s">
        <v>3492</v>
      </c>
      <c r="M632">
        <v>291</v>
      </c>
      <c r="N632">
        <v>2010</v>
      </c>
      <c r="O632">
        <v>2010</v>
      </c>
      <c r="Q632" t="s">
        <v>3786</v>
      </c>
      <c r="R632" t="s">
        <v>3863</v>
      </c>
      <c r="S632" t="s">
        <v>4331</v>
      </c>
      <c r="T632" t="s">
        <v>3863</v>
      </c>
      <c r="X632">
        <v>0</v>
      </c>
      <c r="AA632">
        <v>0</v>
      </c>
    </row>
    <row r="633" spans="1:27">
      <c r="A633" s="1">
        <v>631</v>
      </c>
      <c r="B633">
        <v>564850</v>
      </c>
      <c r="C633" t="s">
        <v>662</v>
      </c>
      <c r="D633" t="s">
        <v>1598</v>
      </c>
      <c r="E633" t="s">
        <v>2404</v>
      </c>
      <c r="G633">
        <f>"0808403222"</f>
        <v>0</v>
      </c>
      <c r="H633">
        <f>"9780808403227"</f>
        <v>0</v>
      </c>
      <c r="I633">
        <v>0</v>
      </c>
      <c r="J633">
        <v>3.89</v>
      </c>
      <c r="K633" t="s">
        <v>3339</v>
      </c>
      <c r="L633" t="s">
        <v>3492</v>
      </c>
      <c r="M633">
        <v>216</v>
      </c>
      <c r="N633">
        <v>1964</v>
      </c>
      <c r="O633">
        <v>1964</v>
      </c>
      <c r="Q633" t="s">
        <v>3786</v>
      </c>
      <c r="R633" t="s">
        <v>3863</v>
      </c>
      <c r="S633" t="s">
        <v>4332</v>
      </c>
      <c r="T633" t="s">
        <v>3863</v>
      </c>
      <c r="X633">
        <v>0</v>
      </c>
      <c r="AA633">
        <v>0</v>
      </c>
    </row>
    <row r="634" spans="1:27">
      <c r="A634" s="1">
        <v>632</v>
      </c>
      <c r="B634">
        <v>9824</v>
      </c>
      <c r="C634" t="s">
        <v>663</v>
      </c>
      <c r="D634" t="s">
        <v>1599</v>
      </c>
      <c r="E634" t="s">
        <v>2405</v>
      </c>
      <c r="G634">
        <f>"1582344779"</f>
        <v>0</v>
      </c>
      <c r="H634">
        <f>"9781582344775"</f>
        <v>0</v>
      </c>
      <c r="I634">
        <v>0</v>
      </c>
      <c r="J634">
        <v>3.72</v>
      </c>
      <c r="K634" t="s">
        <v>3251</v>
      </c>
      <c r="L634" t="s">
        <v>3491</v>
      </c>
      <c r="M634">
        <v>272</v>
      </c>
      <c r="N634">
        <v>2005</v>
      </c>
      <c r="O634">
        <v>2004</v>
      </c>
      <c r="Q634" t="s">
        <v>3787</v>
      </c>
      <c r="R634" t="s">
        <v>3863</v>
      </c>
      <c r="S634" t="s">
        <v>4333</v>
      </c>
      <c r="T634" t="s">
        <v>3863</v>
      </c>
      <c r="X634">
        <v>0</v>
      </c>
      <c r="AA634">
        <v>0</v>
      </c>
    </row>
    <row r="635" spans="1:27">
      <c r="A635" s="1">
        <v>633</v>
      </c>
      <c r="B635">
        <v>32025405</v>
      </c>
      <c r="C635" t="s">
        <v>664</v>
      </c>
      <c r="D635" t="s">
        <v>1600</v>
      </c>
      <c r="E635" t="s">
        <v>2406</v>
      </c>
      <c r="G635">
        <f>"161200444X"</f>
        <v>0</v>
      </c>
      <c r="H635">
        <f>"9781612004440"</f>
        <v>0</v>
      </c>
      <c r="I635">
        <v>0</v>
      </c>
      <c r="J635">
        <v>3.9</v>
      </c>
      <c r="K635" t="s">
        <v>3340</v>
      </c>
      <c r="L635" t="s">
        <v>3492</v>
      </c>
      <c r="M635">
        <v>336</v>
      </c>
      <c r="N635">
        <v>2017</v>
      </c>
      <c r="O635">
        <v>2017</v>
      </c>
      <c r="Q635" t="s">
        <v>3788</v>
      </c>
      <c r="R635" t="s">
        <v>3863</v>
      </c>
      <c r="S635" t="s">
        <v>4334</v>
      </c>
      <c r="T635" t="s">
        <v>3863</v>
      </c>
      <c r="X635">
        <v>0</v>
      </c>
      <c r="AA635">
        <v>0</v>
      </c>
    </row>
    <row r="636" spans="1:27">
      <c r="A636" s="1">
        <v>634</v>
      </c>
      <c r="B636">
        <v>860183</v>
      </c>
      <c r="C636" t="s">
        <v>665</v>
      </c>
      <c r="D636" t="s">
        <v>1601</v>
      </c>
      <c r="E636" t="s">
        <v>2407</v>
      </c>
      <c r="F636" t="s">
        <v>2872</v>
      </c>
      <c r="G636">
        <f>"0195030672"</f>
        <v>0</v>
      </c>
      <c r="H636">
        <f>"9780195030679"</f>
        <v>0</v>
      </c>
      <c r="I636">
        <v>0</v>
      </c>
      <c r="J636">
        <v>3.89</v>
      </c>
      <c r="K636" t="s">
        <v>3061</v>
      </c>
      <c r="L636" t="s">
        <v>3491</v>
      </c>
      <c r="M636">
        <v>320</v>
      </c>
      <c r="N636">
        <v>1982</v>
      </c>
      <c r="O636">
        <v>1937</v>
      </c>
      <c r="Q636" t="s">
        <v>3789</v>
      </c>
      <c r="R636" t="s">
        <v>3863</v>
      </c>
      <c r="S636" t="s">
        <v>4335</v>
      </c>
      <c r="T636" t="s">
        <v>3863</v>
      </c>
      <c r="X636">
        <v>0</v>
      </c>
      <c r="AA636">
        <v>0</v>
      </c>
    </row>
    <row r="637" spans="1:27">
      <c r="A637" s="1">
        <v>635</v>
      </c>
      <c r="B637">
        <v>19288043</v>
      </c>
      <c r="C637" t="s">
        <v>666</v>
      </c>
      <c r="D637" t="s">
        <v>1602</v>
      </c>
      <c r="E637" t="s">
        <v>2408</v>
      </c>
      <c r="G637">
        <f>""</f>
        <v>0</v>
      </c>
      <c r="H637">
        <f>""</f>
        <v>0</v>
      </c>
      <c r="I637">
        <v>0</v>
      </c>
      <c r="J637">
        <v>4.11</v>
      </c>
      <c r="K637" t="s">
        <v>2998</v>
      </c>
      <c r="L637" t="s">
        <v>3491</v>
      </c>
      <c r="M637">
        <v>415</v>
      </c>
      <c r="N637">
        <v>2014</v>
      </c>
      <c r="O637">
        <v>2012</v>
      </c>
      <c r="Q637" t="s">
        <v>3790</v>
      </c>
      <c r="R637" t="s">
        <v>3863</v>
      </c>
      <c r="S637" t="s">
        <v>4336</v>
      </c>
      <c r="T637" t="s">
        <v>3863</v>
      </c>
      <c r="X637">
        <v>0</v>
      </c>
      <c r="AA637">
        <v>0</v>
      </c>
    </row>
    <row r="638" spans="1:27">
      <c r="A638" s="1">
        <v>636</v>
      </c>
      <c r="B638">
        <v>97411</v>
      </c>
      <c r="C638" t="s">
        <v>667</v>
      </c>
      <c r="D638" t="s">
        <v>1579</v>
      </c>
      <c r="E638" t="s">
        <v>2385</v>
      </c>
      <c r="F638" t="s">
        <v>2873</v>
      </c>
      <c r="G638">
        <f>"0140442103"</f>
        <v>0</v>
      </c>
      <c r="H638">
        <f>"9780140442106"</f>
        <v>0</v>
      </c>
      <c r="I638">
        <v>0</v>
      </c>
      <c r="J638">
        <v>4.35</v>
      </c>
      <c r="K638" t="s">
        <v>3010</v>
      </c>
      <c r="L638" t="s">
        <v>3491</v>
      </c>
      <c r="M638">
        <v>256</v>
      </c>
      <c r="N638">
        <v>2004</v>
      </c>
      <c r="Q638" t="s">
        <v>3777</v>
      </c>
      <c r="R638" t="s">
        <v>3863</v>
      </c>
      <c r="S638" t="s">
        <v>4337</v>
      </c>
      <c r="T638" t="s">
        <v>3863</v>
      </c>
      <c r="X638">
        <v>0</v>
      </c>
      <c r="AA638">
        <v>0</v>
      </c>
    </row>
    <row r="639" spans="1:27">
      <c r="A639" s="1">
        <v>637</v>
      </c>
      <c r="B639">
        <v>9717129</v>
      </c>
      <c r="C639" t="s">
        <v>668</v>
      </c>
      <c r="D639" t="s">
        <v>1603</v>
      </c>
      <c r="E639" t="s">
        <v>2409</v>
      </c>
      <c r="F639" t="s">
        <v>2874</v>
      </c>
      <c r="G639">
        <f>"0674058208"</f>
        <v>0</v>
      </c>
      <c r="H639">
        <f>"9780674058200"</f>
        <v>0</v>
      </c>
      <c r="I639">
        <v>0</v>
      </c>
      <c r="J639">
        <v>4.14</v>
      </c>
      <c r="K639" t="s">
        <v>3057</v>
      </c>
      <c r="L639" t="s">
        <v>3492</v>
      </c>
      <c r="M639">
        <v>744</v>
      </c>
      <c r="N639">
        <v>2011</v>
      </c>
      <c r="O639">
        <v>2011</v>
      </c>
      <c r="Q639" t="s">
        <v>3791</v>
      </c>
      <c r="R639" t="s">
        <v>3863</v>
      </c>
      <c r="S639" t="s">
        <v>4338</v>
      </c>
      <c r="T639" t="s">
        <v>3863</v>
      </c>
      <c r="X639">
        <v>0</v>
      </c>
      <c r="AA639">
        <v>0</v>
      </c>
    </row>
    <row r="640" spans="1:27">
      <c r="A640" s="1">
        <v>638</v>
      </c>
      <c r="B640">
        <v>50150779</v>
      </c>
      <c r="C640" t="s">
        <v>669</v>
      </c>
      <c r="D640" t="s">
        <v>1527</v>
      </c>
      <c r="E640" t="s">
        <v>2333</v>
      </c>
      <c r="G640">
        <f>""</f>
        <v>0</v>
      </c>
      <c r="H640">
        <f>""</f>
        <v>0</v>
      </c>
      <c r="I640">
        <v>5</v>
      </c>
      <c r="J640">
        <v>4.52</v>
      </c>
      <c r="K640" t="s">
        <v>3305</v>
      </c>
      <c r="L640" t="s">
        <v>3493</v>
      </c>
      <c r="M640">
        <v>159</v>
      </c>
      <c r="N640">
        <v>2019</v>
      </c>
      <c r="Q640" t="s">
        <v>3792</v>
      </c>
      <c r="T640" t="s">
        <v>4621</v>
      </c>
      <c r="X640">
        <v>1</v>
      </c>
      <c r="AA640">
        <v>0</v>
      </c>
    </row>
    <row r="641" spans="1:27">
      <c r="A641" s="1">
        <v>639</v>
      </c>
      <c r="B641">
        <v>1041606</v>
      </c>
      <c r="C641" t="s">
        <v>670</v>
      </c>
      <c r="D641" t="s">
        <v>1604</v>
      </c>
      <c r="E641" t="s">
        <v>2410</v>
      </c>
      <c r="G641">
        <f>"0674839501"</f>
        <v>0</v>
      </c>
      <c r="H641">
        <f>"9780674839502"</f>
        <v>0</v>
      </c>
      <c r="I641">
        <v>0</v>
      </c>
      <c r="J641">
        <v>3.33</v>
      </c>
      <c r="K641" t="s">
        <v>3341</v>
      </c>
      <c r="L641" t="s">
        <v>3492</v>
      </c>
      <c r="M641">
        <v>176</v>
      </c>
      <c r="N641">
        <v>1999</v>
      </c>
      <c r="O641">
        <v>1999</v>
      </c>
      <c r="Q641" t="s">
        <v>3793</v>
      </c>
      <c r="R641" t="s">
        <v>3863</v>
      </c>
      <c r="S641" t="s">
        <v>4339</v>
      </c>
      <c r="T641" t="s">
        <v>3863</v>
      </c>
      <c r="X641">
        <v>0</v>
      </c>
      <c r="AA641">
        <v>0</v>
      </c>
    </row>
    <row r="642" spans="1:27">
      <c r="A642" s="1">
        <v>640</v>
      </c>
      <c r="B642">
        <v>14680</v>
      </c>
      <c r="C642" t="s">
        <v>671</v>
      </c>
      <c r="D642" t="s">
        <v>1605</v>
      </c>
      <c r="E642" t="s">
        <v>2411</v>
      </c>
      <c r="F642" t="s">
        <v>2875</v>
      </c>
      <c r="G642">
        <f>"0679783180"</f>
        <v>0</v>
      </c>
      <c r="H642">
        <f>"9780679783183"</f>
        <v>0</v>
      </c>
      <c r="I642">
        <v>0</v>
      </c>
      <c r="J642">
        <v>3.8</v>
      </c>
      <c r="K642" t="s">
        <v>3157</v>
      </c>
      <c r="L642" t="s">
        <v>3491</v>
      </c>
      <c r="M642">
        <v>532</v>
      </c>
      <c r="N642">
        <v>2000</v>
      </c>
      <c r="O642">
        <v>1839</v>
      </c>
      <c r="Q642" t="s">
        <v>3793</v>
      </c>
      <c r="R642" t="s">
        <v>3863</v>
      </c>
      <c r="S642" t="s">
        <v>4340</v>
      </c>
      <c r="T642" t="s">
        <v>3863</v>
      </c>
      <c r="X642">
        <v>0</v>
      </c>
      <c r="AA642">
        <v>0</v>
      </c>
    </row>
    <row r="643" spans="1:27">
      <c r="A643" s="1">
        <v>641</v>
      </c>
      <c r="B643">
        <v>43194863</v>
      </c>
      <c r="C643" t="s">
        <v>669</v>
      </c>
      <c r="D643" t="s">
        <v>1527</v>
      </c>
      <c r="E643" t="s">
        <v>2333</v>
      </c>
      <c r="G643">
        <f>"1999559312"</f>
        <v>0</v>
      </c>
      <c r="H643">
        <f>"9781999559311"</f>
        <v>0</v>
      </c>
      <c r="I643">
        <v>5</v>
      </c>
      <c r="J643">
        <v>4.52</v>
      </c>
      <c r="K643" t="s">
        <v>3305</v>
      </c>
      <c r="L643" t="s">
        <v>3491</v>
      </c>
      <c r="M643">
        <v>162</v>
      </c>
      <c r="N643">
        <v>2018</v>
      </c>
      <c r="Q643" t="s">
        <v>3794</v>
      </c>
      <c r="T643" t="s">
        <v>4621</v>
      </c>
      <c r="X643">
        <v>1</v>
      </c>
      <c r="AA643">
        <v>0</v>
      </c>
    </row>
    <row r="644" spans="1:27">
      <c r="A644" s="1">
        <v>642</v>
      </c>
      <c r="B644">
        <v>26530355</v>
      </c>
      <c r="C644" t="s">
        <v>672</v>
      </c>
      <c r="D644" t="s">
        <v>1606</v>
      </c>
      <c r="E644" t="s">
        <v>2412</v>
      </c>
      <c r="G644">
        <f>"039335279X"</f>
        <v>0</v>
      </c>
      <c r="H644">
        <f>"9780393352795"</f>
        <v>0</v>
      </c>
      <c r="I644">
        <v>0</v>
      </c>
      <c r="J644">
        <v>4.17</v>
      </c>
      <c r="K644" t="s">
        <v>3038</v>
      </c>
      <c r="L644" t="s">
        <v>3491</v>
      </c>
      <c r="M644">
        <v>358</v>
      </c>
      <c r="N644">
        <v>2016</v>
      </c>
      <c r="O644">
        <v>2016</v>
      </c>
      <c r="Q644" t="s">
        <v>3714</v>
      </c>
      <c r="R644" t="s">
        <v>3863</v>
      </c>
      <c r="S644" t="s">
        <v>4341</v>
      </c>
      <c r="T644" t="s">
        <v>3863</v>
      </c>
      <c r="X644">
        <v>0</v>
      </c>
      <c r="AA644">
        <v>0</v>
      </c>
    </row>
    <row r="645" spans="1:27">
      <c r="A645" s="1">
        <v>643</v>
      </c>
      <c r="B645">
        <v>16619</v>
      </c>
      <c r="C645" t="s">
        <v>673</v>
      </c>
      <c r="D645" t="s">
        <v>1607</v>
      </c>
      <c r="E645" t="s">
        <v>2413</v>
      </c>
      <c r="F645" t="s">
        <v>2876</v>
      </c>
      <c r="G645">
        <f>"0140447601"</f>
        <v>0</v>
      </c>
      <c r="H645">
        <f>"9780140447606"</f>
        <v>0</v>
      </c>
      <c r="I645">
        <v>0</v>
      </c>
      <c r="J645">
        <v>4.04</v>
      </c>
      <c r="K645" t="s">
        <v>3146</v>
      </c>
      <c r="L645" t="s">
        <v>3491</v>
      </c>
      <c r="M645">
        <v>983</v>
      </c>
      <c r="N645">
        <v>2003</v>
      </c>
      <c r="O645">
        <v>1835</v>
      </c>
      <c r="Q645" t="s">
        <v>3795</v>
      </c>
      <c r="R645" t="s">
        <v>3863</v>
      </c>
      <c r="S645" t="s">
        <v>4342</v>
      </c>
      <c r="T645" t="s">
        <v>3863</v>
      </c>
      <c r="X645">
        <v>0</v>
      </c>
      <c r="AA645">
        <v>0</v>
      </c>
    </row>
    <row r="646" spans="1:27">
      <c r="A646" s="1">
        <v>644</v>
      </c>
      <c r="B646">
        <v>1433981</v>
      </c>
      <c r="C646" t="s">
        <v>674</v>
      </c>
      <c r="D646" t="s">
        <v>1608</v>
      </c>
      <c r="E646" t="s">
        <v>2414</v>
      </c>
      <c r="F646" t="s">
        <v>2877</v>
      </c>
      <c r="G646">
        <f>"0701206047"</f>
        <v>0</v>
      </c>
      <c r="H646">
        <f>"9780701206048"</f>
        <v>0</v>
      </c>
      <c r="I646">
        <v>0</v>
      </c>
      <c r="J646">
        <v>3.97</v>
      </c>
      <c r="K646" t="s">
        <v>3342</v>
      </c>
      <c r="L646" t="s">
        <v>3491</v>
      </c>
      <c r="M646">
        <v>376</v>
      </c>
      <c r="N646">
        <v>1984</v>
      </c>
      <c r="O646">
        <v>1929</v>
      </c>
      <c r="Q646" t="s">
        <v>3796</v>
      </c>
      <c r="R646" t="s">
        <v>3863</v>
      </c>
      <c r="S646" t="s">
        <v>4343</v>
      </c>
      <c r="T646" t="s">
        <v>3863</v>
      </c>
      <c r="X646">
        <v>0</v>
      </c>
      <c r="AA646">
        <v>0</v>
      </c>
    </row>
    <row r="647" spans="1:27">
      <c r="A647" s="1">
        <v>645</v>
      </c>
      <c r="B647">
        <v>26889576</v>
      </c>
      <c r="C647" t="s">
        <v>675</v>
      </c>
      <c r="D647" t="s">
        <v>1609</v>
      </c>
      <c r="E647" t="s">
        <v>2415</v>
      </c>
      <c r="G647">
        <f>"039335315X"</f>
        <v>0</v>
      </c>
      <c r="H647">
        <f>"9780393353150"</f>
        <v>0</v>
      </c>
      <c r="I647">
        <v>0</v>
      </c>
      <c r="J647">
        <v>4.28</v>
      </c>
      <c r="K647" t="s">
        <v>3038</v>
      </c>
      <c r="L647" t="s">
        <v>3491</v>
      </c>
      <c r="M647">
        <v>320</v>
      </c>
      <c r="N647">
        <v>2015</v>
      </c>
      <c r="O647">
        <v>2010</v>
      </c>
      <c r="Q647" t="s">
        <v>3534</v>
      </c>
      <c r="R647" t="s">
        <v>3863</v>
      </c>
      <c r="S647" t="s">
        <v>4344</v>
      </c>
      <c r="T647" t="s">
        <v>3863</v>
      </c>
      <c r="X647">
        <v>0</v>
      </c>
      <c r="AA647">
        <v>0</v>
      </c>
    </row>
    <row r="648" spans="1:27">
      <c r="A648" s="1">
        <v>646</v>
      </c>
      <c r="B648">
        <v>24724602</v>
      </c>
      <c r="C648" t="s">
        <v>676</v>
      </c>
      <c r="D648" t="s">
        <v>1609</v>
      </c>
      <c r="E648" t="s">
        <v>2415</v>
      </c>
      <c r="G648">
        <f>"0393351599"</f>
        <v>0</v>
      </c>
      <c r="H648">
        <f>"9780393351590"</f>
        <v>0</v>
      </c>
      <c r="I648">
        <v>0</v>
      </c>
      <c r="J648">
        <v>4.14</v>
      </c>
      <c r="K648" t="s">
        <v>3038</v>
      </c>
      <c r="L648" t="s">
        <v>3491</v>
      </c>
      <c r="M648">
        <v>304</v>
      </c>
      <c r="N648">
        <v>2015</v>
      </c>
      <c r="O648">
        <v>2014</v>
      </c>
      <c r="Q648" t="s">
        <v>3534</v>
      </c>
      <c r="R648" t="s">
        <v>3863</v>
      </c>
      <c r="S648" t="s">
        <v>4345</v>
      </c>
      <c r="T648" t="s">
        <v>3863</v>
      </c>
      <c r="X648">
        <v>0</v>
      </c>
      <c r="AA648">
        <v>0</v>
      </c>
    </row>
    <row r="649" spans="1:27">
      <c r="A649" s="1">
        <v>647</v>
      </c>
      <c r="B649">
        <v>1139231</v>
      </c>
      <c r="C649" t="s">
        <v>677</v>
      </c>
      <c r="D649" t="s">
        <v>1610</v>
      </c>
      <c r="E649" t="s">
        <v>2416</v>
      </c>
      <c r="G649">
        <f>"0465072097"</f>
        <v>0</v>
      </c>
      <c r="H649">
        <f>"9780465072095"</f>
        <v>0</v>
      </c>
      <c r="I649">
        <v>1</v>
      </c>
      <c r="J649">
        <v>4.16</v>
      </c>
      <c r="K649" t="s">
        <v>3084</v>
      </c>
      <c r="L649" t="s">
        <v>3492</v>
      </c>
      <c r="M649">
        <v>267</v>
      </c>
      <c r="N649">
        <v>2007</v>
      </c>
      <c r="O649">
        <v>2005</v>
      </c>
      <c r="P649" t="s">
        <v>3534</v>
      </c>
      <c r="Q649" t="s">
        <v>3797</v>
      </c>
      <c r="T649" t="s">
        <v>4621</v>
      </c>
      <c r="U649" t="s">
        <v>4653</v>
      </c>
      <c r="X649">
        <v>1</v>
      </c>
      <c r="AA649">
        <v>0</v>
      </c>
    </row>
    <row r="650" spans="1:27">
      <c r="A650" s="1">
        <v>648</v>
      </c>
      <c r="B650">
        <v>136603</v>
      </c>
      <c r="C650" t="s">
        <v>678</v>
      </c>
      <c r="D650" t="s">
        <v>1611</v>
      </c>
      <c r="E650" t="s">
        <v>2417</v>
      </c>
      <c r="F650" t="s">
        <v>2878</v>
      </c>
      <c r="G650">
        <f>"0688097235"</f>
        <v>0</v>
      </c>
      <c r="H650">
        <f>"9780688097233"</f>
        <v>0</v>
      </c>
      <c r="I650">
        <v>0</v>
      </c>
      <c r="J650">
        <v>3.43</v>
      </c>
      <c r="K650" t="s">
        <v>3193</v>
      </c>
      <c r="L650" t="s">
        <v>3492</v>
      </c>
      <c r="M650">
        <v>444</v>
      </c>
      <c r="N650">
        <v>1992</v>
      </c>
      <c r="O650">
        <v>1992</v>
      </c>
      <c r="Q650" t="s">
        <v>3798</v>
      </c>
      <c r="R650" t="s">
        <v>3863</v>
      </c>
      <c r="S650" t="s">
        <v>4346</v>
      </c>
      <c r="T650" t="s">
        <v>3863</v>
      </c>
      <c r="X650">
        <v>0</v>
      </c>
      <c r="AA650">
        <v>0</v>
      </c>
    </row>
    <row r="651" spans="1:27">
      <c r="A651" s="1">
        <v>649</v>
      </c>
      <c r="B651">
        <v>373969</v>
      </c>
      <c r="C651" t="s">
        <v>679</v>
      </c>
      <c r="D651" t="s">
        <v>1612</v>
      </c>
      <c r="E651" t="s">
        <v>2418</v>
      </c>
      <c r="G651">
        <f>"0670063274"</f>
        <v>0</v>
      </c>
      <c r="H651">
        <f>"9780670063277"</f>
        <v>0</v>
      </c>
      <c r="I651">
        <v>0</v>
      </c>
      <c r="J651">
        <v>3.91</v>
      </c>
      <c r="K651" t="s">
        <v>3343</v>
      </c>
      <c r="L651" t="s">
        <v>3492</v>
      </c>
      <c r="M651">
        <v>499</v>
      </c>
      <c r="N651">
        <v>2007</v>
      </c>
      <c r="O651">
        <v>2007</v>
      </c>
      <c r="Q651" t="s">
        <v>3799</v>
      </c>
      <c r="R651" t="s">
        <v>3863</v>
      </c>
      <c r="S651" t="s">
        <v>4347</v>
      </c>
      <c r="T651" t="s">
        <v>3863</v>
      </c>
      <c r="X651">
        <v>0</v>
      </c>
      <c r="AA651">
        <v>0</v>
      </c>
    </row>
    <row r="652" spans="1:27">
      <c r="A652" s="1">
        <v>650</v>
      </c>
      <c r="B652">
        <v>320</v>
      </c>
      <c r="C652" t="s">
        <v>680</v>
      </c>
      <c r="D652" t="s">
        <v>1613</v>
      </c>
      <c r="E652" t="s">
        <v>2419</v>
      </c>
      <c r="F652" t="s">
        <v>2879</v>
      </c>
      <c r="G652">
        <f>""</f>
        <v>0</v>
      </c>
      <c r="H652">
        <f>""</f>
        <v>0</v>
      </c>
      <c r="I652">
        <v>0</v>
      </c>
      <c r="J652">
        <v>4.1</v>
      </c>
      <c r="K652" t="s">
        <v>3023</v>
      </c>
      <c r="L652" t="s">
        <v>3495</v>
      </c>
      <c r="M652">
        <v>417</v>
      </c>
      <c r="N652">
        <v>2003</v>
      </c>
      <c r="O652">
        <v>1967</v>
      </c>
      <c r="Q652" t="s">
        <v>3757</v>
      </c>
      <c r="R652" t="s">
        <v>3863</v>
      </c>
      <c r="S652" t="s">
        <v>4348</v>
      </c>
      <c r="T652" t="s">
        <v>3863</v>
      </c>
      <c r="X652">
        <v>0</v>
      </c>
      <c r="AA652">
        <v>0</v>
      </c>
    </row>
    <row r="653" spans="1:27">
      <c r="A653" s="1">
        <v>651</v>
      </c>
      <c r="B653">
        <v>5176585</v>
      </c>
      <c r="C653" t="s">
        <v>681</v>
      </c>
      <c r="D653" t="s">
        <v>1614</v>
      </c>
      <c r="E653" t="s">
        <v>2420</v>
      </c>
      <c r="F653" t="s">
        <v>2880</v>
      </c>
      <c r="G653">
        <f>"0307270750"</f>
        <v>0</v>
      </c>
      <c r="H653">
        <f>"9780307270757"</f>
        <v>0</v>
      </c>
      <c r="I653">
        <v>0</v>
      </c>
      <c r="J653">
        <v>3.45</v>
      </c>
      <c r="K653" t="s">
        <v>3141</v>
      </c>
      <c r="L653" t="s">
        <v>3492</v>
      </c>
      <c r="M653">
        <v>211</v>
      </c>
      <c r="N653">
        <v>2009</v>
      </c>
      <c r="O653">
        <v>2008</v>
      </c>
      <c r="Q653" t="s">
        <v>3800</v>
      </c>
      <c r="R653" t="s">
        <v>3863</v>
      </c>
      <c r="S653" t="s">
        <v>4349</v>
      </c>
      <c r="T653" t="s">
        <v>3863</v>
      </c>
      <c r="X653">
        <v>0</v>
      </c>
      <c r="AA653">
        <v>0</v>
      </c>
    </row>
    <row r="654" spans="1:27">
      <c r="A654" s="1">
        <v>652</v>
      </c>
      <c r="B654">
        <v>26312997</v>
      </c>
      <c r="C654" t="s">
        <v>682</v>
      </c>
      <c r="D654" t="s">
        <v>1615</v>
      </c>
      <c r="E654" t="s">
        <v>2421</v>
      </c>
      <c r="F654" t="s">
        <v>2881</v>
      </c>
      <c r="G654">
        <f>"0544456254"</f>
        <v>0</v>
      </c>
      <c r="H654">
        <f>"9780544456259"</f>
        <v>0</v>
      </c>
      <c r="I654">
        <v>0</v>
      </c>
      <c r="J654">
        <v>4.2</v>
      </c>
      <c r="K654" t="s">
        <v>3344</v>
      </c>
      <c r="L654" t="s">
        <v>3494</v>
      </c>
      <c r="M654">
        <v>336</v>
      </c>
      <c r="N654">
        <v>2016</v>
      </c>
      <c r="O654">
        <v>2016</v>
      </c>
      <c r="Q654" t="s">
        <v>3800</v>
      </c>
      <c r="R654" t="s">
        <v>3863</v>
      </c>
      <c r="S654" t="s">
        <v>4350</v>
      </c>
      <c r="T654" t="s">
        <v>3863</v>
      </c>
      <c r="X654">
        <v>0</v>
      </c>
      <c r="AA654">
        <v>0</v>
      </c>
    </row>
    <row r="655" spans="1:27">
      <c r="A655" s="1">
        <v>653</v>
      </c>
      <c r="B655">
        <v>187730</v>
      </c>
      <c r="C655" t="s">
        <v>683</v>
      </c>
      <c r="D655" t="s">
        <v>1616</v>
      </c>
      <c r="E655" t="s">
        <v>2422</v>
      </c>
      <c r="F655" t="s">
        <v>2882</v>
      </c>
      <c r="G655">
        <f>"0520081161"</f>
        <v>0</v>
      </c>
      <c r="H655">
        <f>"9780520081161"</f>
        <v>0</v>
      </c>
      <c r="I655">
        <v>0</v>
      </c>
      <c r="J655">
        <v>4.42</v>
      </c>
      <c r="K655" t="s">
        <v>3143</v>
      </c>
      <c r="L655" t="s">
        <v>3491</v>
      </c>
      <c r="M655">
        <v>699</v>
      </c>
      <c r="N655">
        <v>1992</v>
      </c>
      <c r="O655">
        <v>1979</v>
      </c>
      <c r="Q655" t="s">
        <v>3801</v>
      </c>
      <c r="R655" t="s">
        <v>3863</v>
      </c>
      <c r="S655" t="s">
        <v>4351</v>
      </c>
      <c r="T655" t="s">
        <v>3863</v>
      </c>
      <c r="X655">
        <v>0</v>
      </c>
      <c r="AA655">
        <v>0</v>
      </c>
    </row>
    <row r="656" spans="1:27">
      <c r="A656" s="1">
        <v>654</v>
      </c>
      <c r="B656">
        <v>762098</v>
      </c>
      <c r="C656" t="s">
        <v>684</v>
      </c>
      <c r="D656" t="s">
        <v>1616</v>
      </c>
      <c r="E656" t="s">
        <v>2422</v>
      </c>
      <c r="F656" t="s">
        <v>2883</v>
      </c>
      <c r="G656">
        <f>"0520081153"</f>
        <v>0</v>
      </c>
      <c r="H656">
        <f>"9780520081154"</f>
        <v>0</v>
      </c>
      <c r="I656">
        <v>0</v>
      </c>
      <c r="J656">
        <v>4.44</v>
      </c>
      <c r="K656" t="s">
        <v>3143</v>
      </c>
      <c r="L656" t="s">
        <v>3491</v>
      </c>
      <c r="M656">
        <v>670</v>
      </c>
      <c r="N656">
        <v>1992</v>
      </c>
      <c r="O656">
        <v>1979</v>
      </c>
      <c r="Q656" t="s">
        <v>3801</v>
      </c>
      <c r="R656" t="s">
        <v>3863</v>
      </c>
      <c r="S656" t="s">
        <v>4352</v>
      </c>
      <c r="T656" t="s">
        <v>3863</v>
      </c>
      <c r="X656">
        <v>0</v>
      </c>
      <c r="AA656">
        <v>0</v>
      </c>
    </row>
    <row r="657" spans="1:27">
      <c r="A657" s="1">
        <v>655</v>
      </c>
      <c r="B657">
        <v>103431</v>
      </c>
      <c r="C657" t="s">
        <v>685</v>
      </c>
      <c r="D657" t="s">
        <v>1616</v>
      </c>
      <c r="E657" t="s">
        <v>2422</v>
      </c>
      <c r="F657" t="s">
        <v>2882</v>
      </c>
      <c r="G657">
        <f>""</f>
        <v>0</v>
      </c>
      <c r="H657">
        <f>"9780520081147"</f>
        <v>0</v>
      </c>
      <c r="I657">
        <v>0</v>
      </c>
      <c r="J657">
        <v>4.33</v>
      </c>
      <c r="K657" t="s">
        <v>3143</v>
      </c>
      <c r="L657" t="s">
        <v>3491</v>
      </c>
      <c r="M657">
        <v>623</v>
      </c>
      <c r="N657">
        <v>1992</v>
      </c>
      <c r="O657">
        <v>1979</v>
      </c>
      <c r="Q657" t="s">
        <v>3801</v>
      </c>
      <c r="R657" t="s">
        <v>3863</v>
      </c>
      <c r="S657" t="s">
        <v>4353</v>
      </c>
      <c r="T657" t="s">
        <v>3863</v>
      </c>
      <c r="X657">
        <v>0</v>
      </c>
      <c r="AA657">
        <v>0</v>
      </c>
    </row>
    <row r="658" spans="1:27">
      <c r="A658" s="1">
        <v>656</v>
      </c>
      <c r="B658">
        <v>41181911</v>
      </c>
      <c r="C658" t="s">
        <v>686</v>
      </c>
      <c r="D658" t="s">
        <v>1617</v>
      </c>
      <c r="E658" t="s">
        <v>2423</v>
      </c>
      <c r="F658" t="s">
        <v>2884</v>
      </c>
      <c r="G658">
        <f>"0525533583"</f>
        <v>0</v>
      </c>
      <c r="H658">
        <f>"9780525533580"</f>
        <v>0</v>
      </c>
      <c r="I658">
        <v>0</v>
      </c>
      <c r="J658">
        <v>4.06</v>
      </c>
      <c r="K658" t="s">
        <v>3012</v>
      </c>
      <c r="L658" t="s">
        <v>3492</v>
      </c>
      <c r="M658">
        <v>354</v>
      </c>
      <c r="N658">
        <v>2019</v>
      </c>
      <c r="O658">
        <v>2019</v>
      </c>
      <c r="Q658" t="s">
        <v>3802</v>
      </c>
      <c r="R658" t="s">
        <v>3863</v>
      </c>
      <c r="S658" t="s">
        <v>4354</v>
      </c>
      <c r="T658" t="s">
        <v>3863</v>
      </c>
      <c r="X658">
        <v>0</v>
      </c>
      <c r="AA658">
        <v>0</v>
      </c>
    </row>
    <row r="659" spans="1:27">
      <c r="A659" s="1">
        <v>657</v>
      </c>
      <c r="B659">
        <v>59924</v>
      </c>
      <c r="C659" t="s">
        <v>687</v>
      </c>
      <c r="D659" t="s">
        <v>1258</v>
      </c>
      <c r="E659" t="s">
        <v>2064</v>
      </c>
      <c r="G659">
        <f>"0060512741"</f>
        <v>0</v>
      </c>
      <c r="H659">
        <f>"9780060512743"</f>
        <v>0</v>
      </c>
      <c r="I659">
        <v>0</v>
      </c>
      <c r="J659">
        <v>4.11</v>
      </c>
      <c r="K659" t="s">
        <v>3027</v>
      </c>
      <c r="L659" t="s">
        <v>3491</v>
      </c>
      <c r="M659">
        <v>176</v>
      </c>
      <c r="N659">
        <v>2003</v>
      </c>
      <c r="O659">
        <v>1971</v>
      </c>
      <c r="Q659" t="s">
        <v>3535</v>
      </c>
      <c r="R659" t="s">
        <v>3863</v>
      </c>
      <c r="S659" t="s">
        <v>4355</v>
      </c>
      <c r="T659" t="s">
        <v>3863</v>
      </c>
      <c r="X659">
        <v>0</v>
      </c>
      <c r="AA659">
        <v>0</v>
      </c>
    </row>
    <row r="660" spans="1:27">
      <c r="A660" s="1">
        <v>658</v>
      </c>
      <c r="B660">
        <v>35167685</v>
      </c>
      <c r="C660" t="s">
        <v>688</v>
      </c>
      <c r="D660" t="s">
        <v>1618</v>
      </c>
      <c r="E660" t="s">
        <v>2424</v>
      </c>
      <c r="G660">
        <f>"0393355624"</f>
        <v>0</v>
      </c>
      <c r="H660">
        <f>"9780393355628"</f>
        <v>0</v>
      </c>
      <c r="I660">
        <v>3</v>
      </c>
      <c r="J660">
        <v>4.26</v>
      </c>
      <c r="K660" t="s">
        <v>3038</v>
      </c>
      <c r="L660" t="s">
        <v>3491</v>
      </c>
      <c r="M660">
        <v>400</v>
      </c>
      <c r="N660">
        <v>2018</v>
      </c>
      <c r="O660">
        <v>1985</v>
      </c>
      <c r="P660" t="s">
        <v>3535</v>
      </c>
      <c r="Q660" t="s">
        <v>3752</v>
      </c>
      <c r="T660" t="s">
        <v>4621</v>
      </c>
      <c r="U660" t="s">
        <v>4654</v>
      </c>
      <c r="X660">
        <v>1</v>
      </c>
      <c r="AA660">
        <v>0</v>
      </c>
    </row>
    <row r="661" spans="1:27">
      <c r="A661" s="1">
        <v>659</v>
      </c>
      <c r="B661">
        <v>554640</v>
      </c>
      <c r="C661" t="s">
        <v>689</v>
      </c>
      <c r="D661" t="s">
        <v>1619</v>
      </c>
      <c r="E661" t="s">
        <v>2425</v>
      </c>
      <c r="G661">
        <f>"0879051698"</f>
        <v>0</v>
      </c>
      <c r="H661">
        <f>"9780879051693"</f>
        <v>0</v>
      </c>
      <c r="I661">
        <v>3</v>
      </c>
      <c r="J661">
        <v>4</v>
      </c>
      <c r="K661" t="s">
        <v>3345</v>
      </c>
      <c r="L661" t="s">
        <v>3491</v>
      </c>
      <c r="M661">
        <v>175</v>
      </c>
      <c r="N661">
        <v>1984</v>
      </c>
      <c r="O661">
        <v>1984</v>
      </c>
      <c r="P661" t="s">
        <v>3536</v>
      </c>
      <c r="Q661" t="s">
        <v>3563</v>
      </c>
      <c r="T661" t="s">
        <v>4621</v>
      </c>
      <c r="U661" t="s">
        <v>4655</v>
      </c>
      <c r="X661">
        <v>1</v>
      </c>
      <c r="AA661">
        <v>0</v>
      </c>
    </row>
    <row r="662" spans="1:27">
      <c r="A662" s="1">
        <v>660</v>
      </c>
      <c r="B662">
        <v>32289</v>
      </c>
      <c r="C662" t="s">
        <v>690</v>
      </c>
      <c r="D662" t="s">
        <v>1620</v>
      </c>
      <c r="E662" t="s">
        <v>2426</v>
      </c>
      <c r="G662">
        <f>"0743202414"</f>
        <v>0</v>
      </c>
      <c r="H662">
        <f>"9780743202411"</f>
        <v>0</v>
      </c>
      <c r="I662">
        <v>0</v>
      </c>
      <c r="J662">
        <v>4.36</v>
      </c>
      <c r="K662" t="s">
        <v>3064</v>
      </c>
      <c r="L662" t="s">
        <v>3491</v>
      </c>
      <c r="M662">
        <v>304</v>
      </c>
      <c r="N662">
        <v>2002</v>
      </c>
      <c r="O662">
        <v>2001</v>
      </c>
      <c r="Q662" t="s">
        <v>3536</v>
      </c>
      <c r="R662" t="s">
        <v>3863</v>
      </c>
      <c r="S662" t="s">
        <v>4356</v>
      </c>
      <c r="T662" t="s">
        <v>3863</v>
      </c>
      <c r="X662">
        <v>0</v>
      </c>
      <c r="AA662">
        <v>0</v>
      </c>
    </row>
    <row r="663" spans="1:27">
      <c r="A663" s="1">
        <v>661</v>
      </c>
      <c r="B663">
        <v>4214</v>
      </c>
      <c r="C663" t="s">
        <v>691</v>
      </c>
      <c r="D663" t="s">
        <v>1621</v>
      </c>
      <c r="E663" t="s">
        <v>2427</v>
      </c>
      <c r="G663">
        <f>"0770430074"</f>
        <v>0</v>
      </c>
      <c r="H663">
        <f>"9780770430078"</f>
        <v>0</v>
      </c>
      <c r="I663">
        <v>0</v>
      </c>
      <c r="J663">
        <v>3.93</v>
      </c>
      <c r="K663" t="s">
        <v>3346</v>
      </c>
      <c r="L663" t="s">
        <v>3491</v>
      </c>
      <c r="M663">
        <v>460</v>
      </c>
      <c r="N663">
        <v>2006</v>
      </c>
      <c r="O663">
        <v>2001</v>
      </c>
      <c r="Q663" t="s">
        <v>3803</v>
      </c>
      <c r="R663" t="s">
        <v>3863</v>
      </c>
      <c r="S663" t="s">
        <v>4357</v>
      </c>
      <c r="T663" t="s">
        <v>3863</v>
      </c>
      <c r="X663">
        <v>0</v>
      </c>
      <c r="AA663">
        <v>0</v>
      </c>
    </row>
    <row r="664" spans="1:27">
      <c r="A664" s="1">
        <v>662</v>
      </c>
      <c r="B664">
        <v>16145175</v>
      </c>
      <c r="C664" t="s">
        <v>692</v>
      </c>
      <c r="D664" t="s">
        <v>1622</v>
      </c>
      <c r="E664" t="s">
        <v>2428</v>
      </c>
      <c r="F664" t="s">
        <v>2885</v>
      </c>
      <c r="G664">
        <f>"0520274067"</f>
        <v>0</v>
      </c>
      <c r="H664">
        <f>"9780520274068"</f>
        <v>0</v>
      </c>
      <c r="I664">
        <v>3</v>
      </c>
      <c r="J664">
        <v>3.95</v>
      </c>
      <c r="K664" t="s">
        <v>3143</v>
      </c>
      <c r="L664" t="s">
        <v>3492</v>
      </c>
      <c r="M664">
        <v>296</v>
      </c>
      <c r="N664">
        <v>2013</v>
      </c>
      <c r="O664">
        <v>2013</v>
      </c>
      <c r="P664" t="s">
        <v>3537</v>
      </c>
      <c r="Q664" t="s">
        <v>3755</v>
      </c>
      <c r="T664" t="s">
        <v>4621</v>
      </c>
      <c r="U664" t="s">
        <v>4656</v>
      </c>
      <c r="X664">
        <v>1</v>
      </c>
      <c r="AA664">
        <v>0</v>
      </c>
    </row>
    <row r="665" spans="1:27">
      <c r="A665" s="1">
        <v>663</v>
      </c>
      <c r="B665">
        <v>530415</v>
      </c>
      <c r="C665" t="s">
        <v>693</v>
      </c>
      <c r="D665" t="s">
        <v>1623</v>
      </c>
      <c r="E665" t="s">
        <v>2429</v>
      </c>
      <c r="G665">
        <f>"9056995014"</f>
        <v>0</v>
      </c>
      <c r="H665">
        <f>"9789056995010"</f>
        <v>0</v>
      </c>
      <c r="I665">
        <v>0</v>
      </c>
      <c r="J665">
        <v>4.19</v>
      </c>
      <c r="K665" t="s">
        <v>3347</v>
      </c>
      <c r="L665" t="s">
        <v>3491</v>
      </c>
      <c r="M665">
        <v>376</v>
      </c>
      <c r="N665">
        <v>1997</v>
      </c>
      <c r="O665">
        <v>1996</v>
      </c>
      <c r="Q665" t="s">
        <v>3804</v>
      </c>
      <c r="R665" t="s">
        <v>3863</v>
      </c>
      <c r="S665" t="s">
        <v>4358</v>
      </c>
      <c r="T665" t="s">
        <v>3863</v>
      </c>
      <c r="X665">
        <v>0</v>
      </c>
      <c r="AA665">
        <v>0</v>
      </c>
    </row>
    <row r="666" spans="1:27">
      <c r="A666" s="1">
        <v>664</v>
      </c>
      <c r="B666">
        <v>42867903</v>
      </c>
      <c r="C666" t="s">
        <v>694</v>
      </c>
      <c r="D666" t="s">
        <v>1304</v>
      </c>
      <c r="E666" t="s">
        <v>2110</v>
      </c>
      <c r="F666" t="s">
        <v>2886</v>
      </c>
      <c r="G666">
        <f>"1250316960"</f>
        <v>0</v>
      </c>
      <c r="H666">
        <f>"9781250316967"</f>
        <v>0</v>
      </c>
      <c r="I666">
        <v>0</v>
      </c>
      <c r="J666">
        <v>4.13</v>
      </c>
      <c r="K666" t="s">
        <v>3348</v>
      </c>
      <c r="L666" t="s">
        <v>3491</v>
      </c>
      <c r="M666">
        <v>256</v>
      </c>
      <c r="N666">
        <v>2019</v>
      </c>
      <c r="O666">
        <v>2019</v>
      </c>
      <c r="Q666" t="s">
        <v>3804</v>
      </c>
      <c r="R666" t="s">
        <v>3863</v>
      </c>
      <c r="S666" t="s">
        <v>4359</v>
      </c>
      <c r="T666" t="s">
        <v>3863</v>
      </c>
      <c r="X666">
        <v>0</v>
      </c>
      <c r="AA666">
        <v>0</v>
      </c>
    </row>
    <row r="667" spans="1:27">
      <c r="A667" s="1">
        <v>665</v>
      </c>
      <c r="B667">
        <v>3047</v>
      </c>
      <c r="C667" t="s">
        <v>695</v>
      </c>
      <c r="D667" t="s">
        <v>1178</v>
      </c>
      <c r="E667" t="s">
        <v>1984</v>
      </c>
      <c r="G667">
        <f>"0465081428"</f>
        <v>0</v>
      </c>
      <c r="H667">
        <f>"9780465081424"</f>
        <v>0</v>
      </c>
      <c r="I667">
        <v>0</v>
      </c>
      <c r="J667">
        <v>4.33</v>
      </c>
      <c r="K667" t="s">
        <v>3138</v>
      </c>
      <c r="L667" t="s">
        <v>3491</v>
      </c>
      <c r="M667">
        <v>304</v>
      </c>
      <c r="N667">
        <v>2002</v>
      </c>
      <c r="O667">
        <v>1986</v>
      </c>
      <c r="Q667" t="s">
        <v>3804</v>
      </c>
      <c r="R667" t="s">
        <v>3863</v>
      </c>
      <c r="S667" t="s">
        <v>4360</v>
      </c>
      <c r="T667" t="s">
        <v>3863</v>
      </c>
      <c r="X667">
        <v>0</v>
      </c>
      <c r="AA667">
        <v>0</v>
      </c>
    </row>
    <row r="668" spans="1:27">
      <c r="A668" s="1">
        <v>666</v>
      </c>
      <c r="B668">
        <v>50885372</v>
      </c>
      <c r="C668" t="s">
        <v>696</v>
      </c>
      <c r="D668" t="s">
        <v>1624</v>
      </c>
      <c r="E668" t="s">
        <v>2430</v>
      </c>
      <c r="G668">
        <f>""</f>
        <v>0</v>
      </c>
      <c r="H668">
        <f>""</f>
        <v>0</v>
      </c>
      <c r="I668">
        <v>0</v>
      </c>
      <c r="J668">
        <v>3.87</v>
      </c>
      <c r="K668" t="s">
        <v>3349</v>
      </c>
      <c r="L668" t="s">
        <v>3493</v>
      </c>
      <c r="N668">
        <v>2019</v>
      </c>
      <c r="Q668" t="s">
        <v>3538</v>
      </c>
      <c r="R668" t="s">
        <v>3863</v>
      </c>
      <c r="S668" t="s">
        <v>4361</v>
      </c>
      <c r="T668" t="s">
        <v>3863</v>
      </c>
      <c r="X668">
        <v>0</v>
      </c>
      <c r="AA668">
        <v>0</v>
      </c>
    </row>
    <row r="669" spans="1:27">
      <c r="A669" s="1">
        <v>667</v>
      </c>
      <c r="B669">
        <v>463297</v>
      </c>
      <c r="C669" t="s">
        <v>697</v>
      </c>
      <c r="D669" t="s">
        <v>1625</v>
      </c>
      <c r="E669" t="s">
        <v>2431</v>
      </c>
      <c r="G669">
        <f>"0060596554"</f>
        <v>0</v>
      </c>
      <c r="H669">
        <f>"9780060596552"</f>
        <v>0</v>
      </c>
      <c r="I669">
        <v>4</v>
      </c>
      <c r="J669">
        <v>3.96</v>
      </c>
      <c r="K669" t="s">
        <v>2997</v>
      </c>
      <c r="L669" t="s">
        <v>3491</v>
      </c>
      <c r="M669">
        <v>384</v>
      </c>
      <c r="N669">
        <v>2005</v>
      </c>
      <c r="O669">
        <v>1927</v>
      </c>
      <c r="P669" t="s">
        <v>3538</v>
      </c>
      <c r="Q669" t="s">
        <v>3592</v>
      </c>
      <c r="T669" t="s">
        <v>4621</v>
      </c>
      <c r="U669" t="s">
        <v>4657</v>
      </c>
      <c r="X669">
        <v>1</v>
      </c>
      <c r="AA669">
        <v>0</v>
      </c>
    </row>
    <row r="670" spans="1:27">
      <c r="A670" s="1">
        <v>668</v>
      </c>
      <c r="B670">
        <v>20685373</v>
      </c>
      <c r="C670" t="s">
        <v>698</v>
      </c>
      <c r="D670" t="s">
        <v>1626</v>
      </c>
      <c r="E670" t="s">
        <v>2432</v>
      </c>
      <c r="G670">
        <f>"0307720659"</f>
        <v>0</v>
      </c>
      <c r="H670">
        <f>"9780307720658"</f>
        <v>0</v>
      </c>
      <c r="I670">
        <v>0</v>
      </c>
      <c r="J670">
        <v>3.92</v>
      </c>
      <c r="K670" t="s">
        <v>3350</v>
      </c>
      <c r="L670" t="s">
        <v>3492</v>
      </c>
      <c r="M670">
        <v>291</v>
      </c>
      <c r="N670">
        <v>2014</v>
      </c>
      <c r="O670">
        <v>2014</v>
      </c>
      <c r="Q670" t="s">
        <v>3805</v>
      </c>
      <c r="R670" t="s">
        <v>3863</v>
      </c>
      <c r="S670" t="s">
        <v>4362</v>
      </c>
      <c r="T670" t="s">
        <v>3863</v>
      </c>
      <c r="X670">
        <v>0</v>
      </c>
      <c r="AA670">
        <v>0</v>
      </c>
    </row>
    <row r="671" spans="1:27">
      <c r="A671" s="1">
        <v>669</v>
      </c>
      <c r="B671">
        <v>6618</v>
      </c>
      <c r="C671" t="s">
        <v>699</v>
      </c>
      <c r="D671" t="s">
        <v>1627</v>
      </c>
      <c r="E671" t="s">
        <v>2433</v>
      </c>
      <c r="G671">
        <f>"1402718616"</f>
        <v>0</v>
      </c>
      <c r="H671">
        <f>"9781402718618"</f>
        <v>0</v>
      </c>
      <c r="I671">
        <v>0</v>
      </c>
      <c r="J671">
        <v>4.23</v>
      </c>
      <c r="K671" t="s">
        <v>3160</v>
      </c>
      <c r="L671" t="s">
        <v>3492</v>
      </c>
      <c r="M671">
        <v>224</v>
      </c>
      <c r="N671">
        <v>2004</v>
      </c>
      <c r="O671">
        <v>1985</v>
      </c>
      <c r="Q671" t="s">
        <v>3806</v>
      </c>
      <c r="R671" t="s">
        <v>3863</v>
      </c>
      <c r="S671" t="s">
        <v>4363</v>
      </c>
      <c r="T671" t="s">
        <v>3863</v>
      </c>
      <c r="X671">
        <v>0</v>
      </c>
      <c r="AA671">
        <v>0</v>
      </c>
    </row>
    <row r="672" spans="1:27">
      <c r="A672" s="1">
        <v>670</v>
      </c>
      <c r="B672">
        <v>237177</v>
      </c>
      <c r="C672" t="s">
        <v>700</v>
      </c>
      <c r="D672" t="s">
        <v>1628</v>
      </c>
      <c r="E672" t="s">
        <v>2434</v>
      </c>
      <c r="G672">
        <f>"0312362722"</f>
        <v>0</v>
      </c>
      <c r="H672">
        <f>"9780312362720"</f>
        <v>0</v>
      </c>
      <c r="I672">
        <v>0</v>
      </c>
      <c r="J672">
        <v>3.9</v>
      </c>
      <c r="K672" t="s">
        <v>3162</v>
      </c>
      <c r="L672" t="s">
        <v>3492</v>
      </c>
      <c r="M672">
        <v>342</v>
      </c>
      <c r="N672">
        <v>2007</v>
      </c>
      <c r="O672">
        <v>2006</v>
      </c>
      <c r="Q672" t="s">
        <v>3807</v>
      </c>
      <c r="R672" t="s">
        <v>3863</v>
      </c>
      <c r="S672" t="s">
        <v>4364</v>
      </c>
      <c r="T672" t="s">
        <v>3863</v>
      </c>
      <c r="X672">
        <v>0</v>
      </c>
      <c r="AA672">
        <v>0</v>
      </c>
    </row>
    <row r="673" spans="1:27">
      <c r="A673" s="1">
        <v>671</v>
      </c>
      <c r="B673">
        <v>40383049</v>
      </c>
      <c r="C673" t="s">
        <v>701</v>
      </c>
      <c r="D673" t="s">
        <v>1629</v>
      </c>
      <c r="E673" t="s">
        <v>2435</v>
      </c>
      <c r="G673">
        <f>""</f>
        <v>0</v>
      </c>
      <c r="H673">
        <f>""</f>
        <v>0</v>
      </c>
      <c r="I673">
        <v>0</v>
      </c>
      <c r="J673">
        <v>3.8</v>
      </c>
      <c r="K673" t="s">
        <v>3351</v>
      </c>
      <c r="L673" t="s">
        <v>3493</v>
      </c>
      <c r="M673">
        <v>160</v>
      </c>
      <c r="N673">
        <v>2009</v>
      </c>
      <c r="O673">
        <v>1999</v>
      </c>
      <c r="Q673" t="s">
        <v>3808</v>
      </c>
      <c r="R673" t="s">
        <v>3863</v>
      </c>
      <c r="S673" t="s">
        <v>4365</v>
      </c>
      <c r="T673" t="s">
        <v>3863</v>
      </c>
      <c r="X673">
        <v>0</v>
      </c>
      <c r="AA673">
        <v>0</v>
      </c>
    </row>
    <row r="674" spans="1:27">
      <c r="A674" s="1">
        <v>672</v>
      </c>
      <c r="B674">
        <v>75060</v>
      </c>
      <c r="C674" t="s">
        <v>702</v>
      </c>
      <c r="D674" t="s">
        <v>1630</v>
      </c>
      <c r="E674" t="s">
        <v>2436</v>
      </c>
      <c r="G674">
        <f>"0743287215"</f>
        <v>0</v>
      </c>
      <c r="H674">
        <f>"9780743287210"</f>
        <v>0</v>
      </c>
      <c r="I674">
        <v>3</v>
      </c>
      <c r="J674">
        <v>3.67</v>
      </c>
      <c r="K674" t="s">
        <v>3064</v>
      </c>
      <c r="L674" t="s">
        <v>3491</v>
      </c>
      <c r="M674">
        <v>260</v>
      </c>
      <c r="N674">
        <v>2005</v>
      </c>
      <c r="O674">
        <v>2003</v>
      </c>
      <c r="P674" t="s">
        <v>3539</v>
      </c>
      <c r="Q674" t="s">
        <v>3809</v>
      </c>
      <c r="T674" t="s">
        <v>4621</v>
      </c>
      <c r="U674" t="s">
        <v>4658</v>
      </c>
      <c r="X674">
        <v>1</v>
      </c>
      <c r="AA674">
        <v>0</v>
      </c>
    </row>
    <row r="675" spans="1:27">
      <c r="A675" s="1">
        <v>673</v>
      </c>
      <c r="B675">
        <v>685244</v>
      </c>
      <c r="C675" t="s">
        <v>703</v>
      </c>
      <c r="D675" t="s">
        <v>1244</v>
      </c>
      <c r="E675" t="s">
        <v>2050</v>
      </c>
      <c r="G675">
        <f>"1400041139"</f>
        <v>0</v>
      </c>
      <c r="H675">
        <f>"9781400041138"</f>
        <v>0</v>
      </c>
      <c r="I675">
        <v>0</v>
      </c>
      <c r="J675">
        <v>4.4</v>
      </c>
      <c r="K675" t="s">
        <v>3013</v>
      </c>
      <c r="L675" t="s">
        <v>3492</v>
      </c>
      <c r="M675">
        <v>208</v>
      </c>
      <c r="N675">
        <v>2003</v>
      </c>
      <c r="O675">
        <v>2003</v>
      </c>
      <c r="Q675" t="s">
        <v>3539</v>
      </c>
      <c r="R675" t="s">
        <v>3863</v>
      </c>
      <c r="S675" t="s">
        <v>4366</v>
      </c>
      <c r="T675" t="s">
        <v>3863</v>
      </c>
      <c r="X675">
        <v>0</v>
      </c>
      <c r="AA675">
        <v>0</v>
      </c>
    </row>
    <row r="676" spans="1:27">
      <c r="A676" s="1">
        <v>674</v>
      </c>
      <c r="B676">
        <v>11107244</v>
      </c>
      <c r="C676" t="s">
        <v>704</v>
      </c>
      <c r="D676" t="s">
        <v>1612</v>
      </c>
      <c r="E676" t="s">
        <v>2418</v>
      </c>
      <c r="G676">
        <f>"0670022950"</f>
        <v>0</v>
      </c>
      <c r="H676">
        <f>"9780670022953"</f>
        <v>0</v>
      </c>
      <c r="I676">
        <v>0</v>
      </c>
      <c r="J676">
        <v>4.15</v>
      </c>
      <c r="K676" t="s">
        <v>3036</v>
      </c>
      <c r="L676" t="s">
        <v>3492</v>
      </c>
      <c r="M676">
        <v>802</v>
      </c>
      <c r="N676">
        <v>2011</v>
      </c>
      <c r="O676">
        <v>2010</v>
      </c>
      <c r="Q676" t="s">
        <v>3539</v>
      </c>
      <c r="R676" t="s">
        <v>3863</v>
      </c>
      <c r="S676" t="s">
        <v>4367</v>
      </c>
      <c r="T676" t="s">
        <v>3863</v>
      </c>
      <c r="X676">
        <v>0</v>
      </c>
      <c r="AA676">
        <v>0</v>
      </c>
    </row>
    <row r="677" spans="1:27">
      <c r="A677" s="1">
        <v>675</v>
      </c>
      <c r="B677">
        <v>40034846</v>
      </c>
      <c r="C677" t="s">
        <v>705</v>
      </c>
      <c r="D677" t="s">
        <v>1631</v>
      </c>
      <c r="E677" t="s">
        <v>2437</v>
      </c>
      <c r="F677" t="s">
        <v>2887</v>
      </c>
      <c r="G677">
        <f>""</f>
        <v>0</v>
      </c>
      <c r="H677">
        <f>""</f>
        <v>0</v>
      </c>
      <c r="I677">
        <v>4</v>
      </c>
      <c r="J677">
        <v>4.06</v>
      </c>
      <c r="L677" t="s">
        <v>3494</v>
      </c>
      <c r="M677">
        <v>110</v>
      </c>
      <c r="N677">
        <v>2017</v>
      </c>
      <c r="O677">
        <v>1989</v>
      </c>
      <c r="P677" t="s">
        <v>3540</v>
      </c>
      <c r="Q677" t="s">
        <v>3544</v>
      </c>
      <c r="T677" t="s">
        <v>4621</v>
      </c>
      <c r="U677" t="s">
        <v>4659</v>
      </c>
      <c r="X677">
        <v>1</v>
      </c>
      <c r="AA677">
        <v>0</v>
      </c>
    </row>
    <row r="678" spans="1:27">
      <c r="A678" s="1">
        <v>676</v>
      </c>
      <c r="B678">
        <v>7966160</v>
      </c>
      <c r="C678" t="s">
        <v>706</v>
      </c>
      <c r="D678" t="s">
        <v>1632</v>
      </c>
      <c r="E678" t="s">
        <v>2438</v>
      </c>
      <c r="G678">
        <f>"0374278725"</f>
        <v>0</v>
      </c>
      <c r="H678">
        <f>"9780374278724"</f>
        <v>0</v>
      </c>
      <c r="I678">
        <v>0</v>
      </c>
      <c r="J678">
        <v>3.91</v>
      </c>
      <c r="K678" t="s">
        <v>3352</v>
      </c>
      <c r="L678" t="s">
        <v>3492</v>
      </c>
      <c r="M678">
        <v>529</v>
      </c>
      <c r="N678">
        <v>2010</v>
      </c>
      <c r="O678">
        <v>2010</v>
      </c>
      <c r="Q678" t="s">
        <v>3810</v>
      </c>
      <c r="R678" t="s">
        <v>3863</v>
      </c>
      <c r="S678" t="s">
        <v>4368</v>
      </c>
      <c r="T678" t="s">
        <v>3863</v>
      </c>
      <c r="X678">
        <v>0</v>
      </c>
      <c r="AA678">
        <v>0</v>
      </c>
    </row>
    <row r="679" spans="1:27">
      <c r="A679" s="1">
        <v>677</v>
      </c>
      <c r="B679">
        <v>13454654</v>
      </c>
      <c r="C679" t="s">
        <v>707</v>
      </c>
      <c r="D679" t="s">
        <v>1596</v>
      </c>
      <c r="E679" t="s">
        <v>2402</v>
      </c>
      <c r="G679">
        <f>"1408818302"</f>
        <v>0</v>
      </c>
      <c r="H679">
        <f>"9781408818305"</f>
        <v>0</v>
      </c>
      <c r="I679">
        <v>0</v>
      </c>
      <c r="J679">
        <v>4.34</v>
      </c>
      <c r="K679" t="s">
        <v>3353</v>
      </c>
      <c r="L679" t="s">
        <v>3492</v>
      </c>
      <c r="M679">
        <v>515</v>
      </c>
      <c r="N679">
        <v>2013</v>
      </c>
      <c r="O679">
        <v>2013</v>
      </c>
      <c r="Q679" t="s">
        <v>3792</v>
      </c>
      <c r="R679" t="s">
        <v>3863</v>
      </c>
      <c r="S679" t="s">
        <v>4369</v>
      </c>
      <c r="T679" t="s">
        <v>3863</v>
      </c>
      <c r="X679">
        <v>0</v>
      </c>
      <c r="AA679">
        <v>0</v>
      </c>
    </row>
    <row r="680" spans="1:27">
      <c r="A680" s="1">
        <v>678</v>
      </c>
      <c r="B680">
        <v>124430</v>
      </c>
      <c r="C680" t="s">
        <v>708</v>
      </c>
      <c r="D680" t="s">
        <v>1596</v>
      </c>
      <c r="E680" t="s">
        <v>2402</v>
      </c>
      <c r="F680" t="s">
        <v>2888</v>
      </c>
      <c r="G680">
        <f>"0142001007"</f>
        <v>0</v>
      </c>
      <c r="H680">
        <f>"9780142001004"</f>
        <v>0</v>
      </c>
      <c r="I680">
        <v>0</v>
      </c>
      <c r="J680">
        <v>4.11</v>
      </c>
      <c r="K680" t="s">
        <v>3010</v>
      </c>
      <c r="L680" t="s">
        <v>3491</v>
      </c>
      <c r="M680">
        <v>352</v>
      </c>
      <c r="N680">
        <v>2003</v>
      </c>
      <c r="O680">
        <v>1993</v>
      </c>
      <c r="Q680" t="s">
        <v>3792</v>
      </c>
      <c r="R680" t="s">
        <v>3863</v>
      </c>
      <c r="S680" t="s">
        <v>4370</v>
      </c>
      <c r="T680" t="s">
        <v>3863</v>
      </c>
      <c r="X680">
        <v>0</v>
      </c>
      <c r="AA680">
        <v>0</v>
      </c>
    </row>
    <row r="681" spans="1:27">
      <c r="A681" s="1">
        <v>679</v>
      </c>
      <c r="B681">
        <v>18373</v>
      </c>
      <c r="C681" t="s">
        <v>709</v>
      </c>
      <c r="D681" t="s">
        <v>1633</v>
      </c>
      <c r="E681" t="s">
        <v>2439</v>
      </c>
      <c r="G681">
        <f>""</f>
        <v>0</v>
      </c>
      <c r="H681">
        <f>""</f>
        <v>0</v>
      </c>
      <c r="I681">
        <v>4</v>
      </c>
      <c r="J681">
        <v>4.18</v>
      </c>
      <c r="K681" t="s">
        <v>3354</v>
      </c>
      <c r="L681" t="s">
        <v>3491</v>
      </c>
      <c r="M681">
        <v>311</v>
      </c>
      <c r="N681">
        <v>2005</v>
      </c>
      <c r="O681">
        <v>1959</v>
      </c>
      <c r="P681" t="s">
        <v>3541</v>
      </c>
      <c r="Q681" t="s">
        <v>3757</v>
      </c>
      <c r="T681" t="s">
        <v>4621</v>
      </c>
      <c r="U681" t="s">
        <v>4660</v>
      </c>
      <c r="X681">
        <v>1</v>
      </c>
      <c r="AA681">
        <v>0</v>
      </c>
    </row>
    <row r="682" spans="1:27">
      <c r="A682" s="1">
        <v>680</v>
      </c>
      <c r="B682">
        <v>231804</v>
      </c>
      <c r="C682" t="s">
        <v>710</v>
      </c>
      <c r="D682" t="s">
        <v>1634</v>
      </c>
      <c r="E682" t="s">
        <v>2440</v>
      </c>
      <c r="G682">
        <f>""</f>
        <v>0</v>
      </c>
      <c r="H682">
        <f>""</f>
        <v>0</v>
      </c>
      <c r="I682">
        <v>0</v>
      </c>
      <c r="J682">
        <v>4.11</v>
      </c>
      <c r="K682" t="s">
        <v>3355</v>
      </c>
      <c r="L682" t="s">
        <v>3495</v>
      </c>
      <c r="M682">
        <v>192</v>
      </c>
      <c r="N682">
        <v>1997</v>
      </c>
      <c r="O682">
        <v>1967</v>
      </c>
      <c r="Q682" t="s">
        <v>3541</v>
      </c>
      <c r="T682" t="s">
        <v>4621</v>
      </c>
      <c r="X682">
        <v>1</v>
      </c>
      <c r="AA682">
        <v>0</v>
      </c>
    </row>
    <row r="683" spans="1:27">
      <c r="A683" s="1">
        <v>681</v>
      </c>
      <c r="B683">
        <v>14895</v>
      </c>
      <c r="C683" t="s">
        <v>711</v>
      </c>
      <c r="D683" t="s">
        <v>1635</v>
      </c>
      <c r="E683" t="s">
        <v>2441</v>
      </c>
      <c r="G683">
        <f>"0140266747"</f>
        <v>0</v>
      </c>
      <c r="H683">
        <f>"9780140266740"</f>
        <v>0</v>
      </c>
      <c r="I683">
        <v>0</v>
      </c>
      <c r="J683">
        <v>4</v>
      </c>
      <c r="K683" t="s">
        <v>3010</v>
      </c>
      <c r="L683" t="s">
        <v>3491</v>
      </c>
      <c r="M683">
        <v>288</v>
      </c>
      <c r="N683">
        <v>1997</v>
      </c>
      <c r="O683">
        <v>1969</v>
      </c>
      <c r="Q683" t="s">
        <v>3541</v>
      </c>
      <c r="R683" t="s">
        <v>3863</v>
      </c>
      <c r="S683" t="s">
        <v>4371</v>
      </c>
      <c r="T683" t="s">
        <v>3863</v>
      </c>
      <c r="X683">
        <v>0</v>
      </c>
      <c r="AA683">
        <v>0</v>
      </c>
    </row>
    <row r="684" spans="1:27">
      <c r="A684" s="1">
        <v>682</v>
      </c>
      <c r="B684">
        <v>150437</v>
      </c>
      <c r="C684" t="s">
        <v>712</v>
      </c>
      <c r="D684" t="s">
        <v>1636</v>
      </c>
      <c r="E684" t="s">
        <v>2442</v>
      </c>
      <c r="G684">
        <f>"0691121354"</f>
        <v>0</v>
      </c>
      <c r="H684">
        <f>"9780691121352"</f>
        <v>0</v>
      </c>
      <c r="I684">
        <v>0</v>
      </c>
      <c r="J684">
        <v>3.73</v>
      </c>
      <c r="K684" t="s">
        <v>3016</v>
      </c>
      <c r="L684" t="s">
        <v>3492</v>
      </c>
      <c r="M684">
        <v>420</v>
      </c>
      <c r="N684">
        <v>2007</v>
      </c>
      <c r="O684">
        <v>2007</v>
      </c>
      <c r="Q684" t="s">
        <v>3542</v>
      </c>
      <c r="R684" t="s">
        <v>3863</v>
      </c>
      <c r="S684" t="s">
        <v>4372</v>
      </c>
      <c r="T684" t="s">
        <v>3863</v>
      </c>
      <c r="X684">
        <v>0</v>
      </c>
      <c r="AA684">
        <v>0</v>
      </c>
    </row>
    <row r="685" spans="1:27">
      <c r="A685" s="1">
        <v>683</v>
      </c>
      <c r="B685">
        <v>60044</v>
      </c>
      <c r="C685" t="s">
        <v>713</v>
      </c>
      <c r="D685" t="s">
        <v>1637</v>
      </c>
      <c r="E685" t="s">
        <v>2443</v>
      </c>
      <c r="G685">
        <f>"0671792253"</f>
        <v>0</v>
      </c>
      <c r="H685">
        <f>"9780671792251"</f>
        <v>0</v>
      </c>
      <c r="I685">
        <v>1</v>
      </c>
      <c r="J685">
        <v>3.92</v>
      </c>
      <c r="K685" t="s">
        <v>3356</v>
      </c>
      <c r="L685" t="s">
        <v>3491</v>
      </c>
      <c r="M685">
        <v>208</v>
      </c>
      <c r="N685">
        <v>1992</v>
      </c>
      <c r="O685">
        <v>1983</v>
      </c>
      <c r="P685" t="s">
        <v>3542</v>
      </c>
      <c r="Q685" t="s">
        <v>3811</v>
      </c>
      <c r="T685" t="s">
        <v>4621</v>
      </c>
      <c r="U685" t="s">
        <v>4661</v>
      </c>
      <c r="X685">
        <v>1</v>
      </c>
      <c r="AA685">
        <v>0</v>
      </c>
    </row>
    <row r="686" spans="1:27">
      <c r="A686" s="1">
        <v>684</v>
      </c>
      <c r="B686">
        <v>25131230</v>
      </c>
      <c r="C686" t="s">
        <v>714</v>
      </c>
      <c r="D686" t="s">
        <v>1582</v>
      </c>
      <c r="E686" t="s">
        <v>2388</v>
      </c>
      <c r="G686">
        <f>"1939311152"</f>
        <v>0</v>
      </c>
      <c r="H686">
        <f>"9781939311153"</f>
        <v>0</v>
      </c>
      <c r="I686">
        <v>0</v>
      </c>
      <c r="J686">
        <v>4.35</v>
      </c>
      <c r="K686" t="s">
        <v>3357</v>
      </c>
      <c r="L686" t="s">
        <v>3493</v>
      </c>
      <c r="M686">
        <v>1813</v>
      </c>
      <c r="N686">
        <v>2015</v>
      </c>
      <c r="O686">
        <v>2015</v>
      </c>
      <c r="Q686" t="s">
        <v>3540</v>
      </c>
      <c r="R686" t="s">
        <v>3864</v>
      </c>
      <c r="S686" t="s">
        <v>4373</v>
      </c>
      <c r="T686" t="s">
        <v>3864</v>
      </c>
      <c r="X686">
        <v>1</v>
      </c>
      <c r="AA686">
        <v>0</v>
      </c>
    </row>
    <row r="687" spans="1:27">
      <c r="A687" s="1">
        <v>685</v>
      </c>
      <c r="B687">
        <v>259028</v>
      </c>
      <c r="C687" t="s">
        <v>715</v>
      </c>
      <c r="D687" t="s">
        <v>1326</v>
      </c>
      <c r="E687" t="s">
        <v>2132</v>
      </c>
      <c r="G687">
        <f>"0375725601"</f>
        <v>0</v>
      </c>
      <c r="H687">
        <f>"9780375725609"</f>
        <v>0</v>
      </c>
      <c r="I687">
        <v>2</v>
      </c>
      <c r="J687">
        <v>3.99</v>
      </c>
      <c r="K687" t="s">
        <v>3292</v>
      </c>
      <c r="L687" t="s">
        <v>3491</v>
      </c>
      <c r="M687">
        <v>447</v>
      </c>
      <c r="N687">
        <v>2004</v>
      </c>
      <c r="O687">
        <v>2003</v>
      </c>
      <c r="P687" t="s">
        <v>3543</v>
      </c>
      <c r="Q687" t="s">
        <v>3812</v>
      </c>
      <c r="T687" t="s">
        <v>4621</v>
      </c>
      <c r="U687" t="s">
        <v>4662</v>
      </c>
      <c r="X687">
        <v>1</v>
      </c>
      <c r="AA687">
        <v>0</v>
      </c>
    </row>
    <row r="688" spans="1:27">
      <c r="A688" s="1">
        <v>686</v>
      </c>
      <c r="B688">
        <v>857770</v>
      </c>
      <c r="C688" t="s">
        <v>716</v>
      </c>
      <c r="D688" t="s">
        <v>1638</v>
      </c>
      <c r="E688" t="s">
        <v>2444</v>
      </c>
      <c r="G688">
        <f>"2570435260"</f>
        <v>0</v>
      </c>
      <c r="H688">
        <f>"9782570435260"</f>
        <v>0</v>
      </c>
      <c r="I688">
        <v>3</v>
      </c>
      <c r="J688">
        <v>3.52</v>
      </c>
      <c r="K688" t="s">
        <v>3358</v>
      </c>
      <c r="L688" t="s">
        <v>3492</v>
      </c>
      <c r="N688">
        <v>1995</v>
      </c>
      <c r="O688">
        <v>1994</v>
      </c>
      <c r="P688" t="s">
        <v>3544</v>
      </c>
      <c r="Q688" t="s">
        <v>3543</v>
      </c>
      <c r="T688" t="s">
        <v>4621</v>
      </c>
      <c r="U688" t="s">
        <v>4663</v>
      </c>
      <c r="X688">
        <v>1</v>
      </c>
      <c r="AA688">
        <v>0</v>
      </c>
    </row>
    <row r="689" spans="1:27">
      <c r="A689" s="1">
        <v>687</v>
      </c>
      <c r="B689">
        <v>34368867</v>
      </c>
      <c r="C689" t="s">
        <v>717</v>
      </c>
      <c r="D689" t="s">
        <v>1639</v>
      </c>
      <c r="E689" t="s">
        <v>2445</v>
      </c>
      <c r="G689">
        <f>""</f>
        <v>0</v>
      </c>
      <c r="H689">
        <f>""</f>
        <v>0</v>
      </c>
      <c r="I689">
        <v>0</v>
      </c>
      <c r="J689">
        <v>4.08</v>
      </c>
      <c r="K689" t="s">
        <v>3359</v>
      </c>
      <c r="L689" t="s">
        <v>3493</v>
      </c>
      <c r="M689">
        <v>247</v>
      </c>
      <c r="N689">
        <v>2017</v>
      </c>
      <c r="Q689" t="s">
        <v>3813</v>
      </c>
      <c r="R689" t="s">
        <v>3863</v>
      </c>
      <c r="S689" t="s">
        <v>4374</v>
      </c>
      <c r="T689" t="s">
        <v>3863</v>
      </c>
      <c r="X689">
        <v>0</v>
      </c>
      <c r="AA689">
        <v>0</v>
      </c>
    </row>
    <row r="690" spans="1:27">
      <c r="A690" s="1">
        <v>688</v>
      </c>
      <c r="B690">
        <v>802629</v>
      </c>
      <c r="C690" t="s">
        <v>718</v>
      </c>
      <c r="D690" t="s">
        <v>1640</v>
      </c>
      <c r="E690" t="s">
        <v>2446</v>
      </c>
      <c r="G690">
        <f>"0471270520"</f>
        <v>0</v>
      </c>
      <c r="H690">
        <f>"9780471270522"</f>
        <v>0</v>
      </c>
      <c r="I690">
        <v>4</v>
      </c>
      <c r="J690">
        <v>3.5</v>
      </c>
      <c r="K690" t="s">
        <v>3360</v>
      </c>
      <c r="L690" t="s">
        <v>3492</v>
      </c>
      <c r="M690">
        <v>536</v>
      </c>
      <c r="N690">
        <v>2003</v>
      </c>
      <c r="O690">
        <v>2005</v>
      </c>
      <c r="P690" t="s">
        <v>3545</v>
      </c>
      <c r="Q690" t="s">
        <v>3814</v>
      </c>
      <c r="T690" t="s">
        <v>4621</v>
      </c>
      <c r="U690" t="s">
        <v>4664</v>
      </c>
      <c r="X690">
        <v>1</v>
      </c>
      <c r="AA690">
        <v>0</v>
      </c>
    </row>
    <row r="691" spans="1:27">
      <c r="A691" s="1">
        <v>689</v>
      </c>
      <c r="B691">
        <v>210189</v>
      </c>
      <c r="C691" t="s">
        <v>719</v>
      </c>
      <c r="D691" t="s">
        <v>1641</v>
      </c>
      <c r="E691" t="s">
        <v>2447</v>
      </c>
      <c r="F691" t="s">
        <v>2889</v>
      </c>
      <c r="G691">
        <f>"0226170314"</f>
        <v>0</v>
      </c>
      <c r="H691">
        <f>"9780226170312"</f>
        <v>0</v>
      </c>
      <c r="I691">
        <v>0</v>
      </c>
      <c r="J691">
        <v>3.82</v>
      </c>
      <c r="K691" t="s">
        <v>3052</v>
      </c>
      <c r="L691" t="s">
        <v>3491</v>
      </c>
      <c r="M691">
        <v>200</v>
      </c>
      <c r="N691">
        <v>1994</v>
      </c>
      <c r="O691">
        <v>1992</v>
      </c>
      <c r="Q691" t="s">
        <v>3544</v>
      </c>
      <c r="R691" t="s">
        <v>3863</v>
      </c>
      <c r="S691" t="s">
        <v>4375</v>
      </c>
      <c r="T691" t="s">
        <v>3863</v>
      </c>
      <c r="X691">
        <v>0</v>
      </c>
      <c r="AA691">
        <v>0</v>
      </c>
    </row>
    <row r="692" spans="1:27">
      <c r="A692" s="1">
        <v>690</v>
      </c>
      <c r="B692">
        <v>23847935</v>
      </c>
      <c r="C692" t="s">
        <v>720</v>
      </c>
      <c r="D692" t="s">
        <v>1641</v>
      </c>
      <c r="E692" t="s">
        <v>2447</v>
      </c>
      <c r="G692">
        <f>"0374161801"</f>
        <v>0</v>
      </c>
      <c r="H692">
        <f>"9780374161804"</f>
        <v>0</v>
      </c>
      <c r="I692">
        <v>0</v>
      </c>
      <c r="J692">
        <v>3.75</v>
      </c>
      <c r="K692" t="s">
        <v>3098</v>
      </c>
      <c r="L692" t="s">
        <v>3492</v>
      </c>
      <c r="M692">
        <v>304</v>
      </c>
      <c r="N692">
        <v>2016</v>
      </c>
      <c r="O692">
        <v>2015</v>
      </c>
      <c r="Q692" t="s">
        <v>3544</v>
      </c>
      <c r="R692" t="s">
        <v>3863</v>
      </c>
      <c r="S692" t="s">
        <v>4376</v>
      </c>
      <c r="T692" t="s">
        <v>3863</v>
      </c>
      <c r="X692">
        <v>0</v>
      </c>
      <c r="AA692">
        <v>0</v>
      </c>
    </row>
    <row r="693" spans="1:27">
      <c r="A693" s="1">
        <v>691</v>
      </c>
      <c r="B693">
        <v>210188</v>
      </c>
      <c r="C693" t="s">
        <v>721</v>
      </c>
      <c r="D693" t="s">
        <v>1641</v>
      </c>
      <c r="E693" t="s">
        <v>2447</v>
      </c>
      <c r="F693" t="s">
        <v>2890</v>
      </c>
      <c r="G693">
        <f>"0374527253"</f>
        <v>0</v>
      </c>
      <c r="H693">
        <f>"9780374527259"</f>
        <v>0</v>
      </c>
      <c r="I693">
        <v>0</v>
      </c>
      <c r="J693">
        <v>4.14</v>
      </c>
      <c r="K693" t="s">
        <v>3098</v>
      </c>
      <c r="L693" t="s">
        <v>3491</v>
      </c>
      <c r="M693">
        <v>400</v>
      </c>
      <c r="N693">
        <v>2000</v>
      </c>
      <c r="O693">
        <v>1999</v>
      </c>
      <c r="Q693" t="s">
        <v>3544</v>
      </c>
      <c r="R693" t="s">
        <v>3863</v>
      </c>
      <c r="S693" t="s">
        <v>4377</v>
      </c>
      <c r="T693" t="s">
        <v>3863</v>
      </c>
      <c r="X693">
        <v>0</v>
      </c>
      <c r="AA693">
        <v>0</v>
      </c>
    </row>
    <row r="694" spans="1:27">
      <c r="A694" s="1">
        <v>692</v>
      </c>
      <c r="B694">
        <v>2942</v>
      </c>
      <c r="C694" t="s">
        <v>722</v>
      </c>
      <c r="D694" t="s">
        <v>1642</v>
      </c>
      <c r="E694" t="s">
        <v>2448</v>
      </c>
      <c r="F694" t="s">
        <v>2891</v>
      </c>
      <c r="G694">
        <f>"0486404889"</f>
        <v>0</v>
      </c>
      <c r="H694">
        <f>"9780486404882"</f>
        <v>0</v>
      </c>
      <c r="I694">
        <v>0</v>
      </c>
      <c r="J694">
        <v>3.71</v>
      </c>
      <c r="K694" t="s">
        <v>3045</v>
      </c>
      <c r="L694" t="s">
        <v>3491</v>
      </c>
      <c r="M694">
        <v>733</v>
      </c>
      <c r="N694">
        <v>1999</v>
      </c>
      <c r="O694">
        <v>1724</v>
      </c>
      <c r="Q694" t="s">
        <v>3544</v>
      </c>
      <c r="R694" t="s">
        <v>3863</v>
      </c>
      <c r="S694" t="s">
        <v>4378</v>
      </c>
      <c r="T694" t="s">
        <v>3863</v>
      </c>
      <c r="X694">
        <v>0</v>
      </c>
      <c r="AA694">
        <v>0</v>
      </c>
    </row>
    <row r="695" spans="1:27">
      <c r="A695" s="1">
        <v>693</v>
      </c>
      <c r="B695">
        <v>15731248</v>
      </c>
      <c r="C695" t="s">
        <v>723</v>
      </c>
      <c r="D695" t="s">
        <v>1643</v>
      </c>
      <c r="E695" t="s">
        <v>2449</v>
      </c>
      <c r="G695">
        <f>""</f>
        <v>0</v>
      </c>
      <c r="H695">
        <f>""</f>
        <v>0</v>
      </c>
      <c r="I695">
        <v>3</v>
      </c>
      <c r="J695">
        <v>4.26</v>
      </c>
      <c r="K695" t="s">
        <v>1643</v>
      </c>
      <c r="L695" t="s">
        <v>3494</v>
      </c>
      <c r="M695">
        <v>115</v>
      </c>
      <c r="N695">
        <v>2015</v>
      </c>
      <c r="O695">
        <v>2012</v>
      </c>
      <c r="P695" t="s">
        <v>3546</v>
      </c>
      <c r="Q695" t="s">
        <v>3815</v>
      </c>
      <c r="T695" t="s">
        <v>4621</v>
      </c>
      <c r="U695" t="s">
        <v>4665</v>
      </c>
      <c r="X695">
        <v>1</v>
      </c>
      <c r="AA695">
        <v>0</v>
      </c>
    </row>
    <row r="696" spans="1:27">
      <c r="A696" s="1">
        <v>694</v>
      </c>
      <c r="B696">
        <v>62845</v>
      </c>
      <c r="C696" t="s">
        <v>724</v>
      </c>
      <c r="D696" t="s">
        <v>1644</v>
      </c>
      <c r="E696" t="s">
        <v>2450</v>
      </c>
      <c r="G696">
        <f>"159986942X"</f>
        <v>0</v>
      </c>
      <c r="H696">
        <f>"9781599869421"</f>
        <v>0</v>
      </c>
      <c r="I696">
        <v>4</v>
      </c>
      <c r="J696">
        <v>3.69</v>
      </c>
      <c r="K696" t="s">
        <v>3361</v>
      </c>
      <c r="L696" t="s">
        <v>3491</v>
      </c>
      <c r="M696">
        <v>48</v>
      </c>
      <c r="N696">
        <v>2006</v>
      </c>
      <c r="O696">
        <v>1899</v>
      </c>
      <c r="P696" t="s">
        <v>3546</v>
      </c>
      <c r="Q696" t="s">
        <v>3809</v>
      </c>
      <c r="T696" t="s">
        <v>4621</v>
      </c>
      <c r="U696" t="s">
        <v>4666</v>
      </c>
      <c r="X696">
        <v>1</v>
      </c>
      <c r="AA696">
        <v>0</v>
      </c>
    </row>
    <row r="697" spans="1:27">
      <c r="A697" s="1">
        <v>695</v>
      </c>
      <c r="B697">
        <v>8856965</v>
      </c>
      <c r="C697" t="s">
        <v>725</v>
      </c>
      <c r="D697" t="s">
        <v>1645</v>
      </c>
      <c r="E697" t="s">
        <v>2451</v>
      </c>
      <c r="G697">
        <f>"0805074600"</f>
        <v>0</v>
      </c>
      <c r="H697">
        <f>"9780805074604"</f>
        <v>0</v>
      </c>
      <c r="I697">
        <v>0</v>
      </c>
      <c r="J697">
        <v>4.05</v>
      </c>
      <c r="K697" t="s">
        <v>3278</v>
      </c>
      <c r="L697" t="s">
        <v>3492</v>
      </c>
      <c r="M697">
        <v>575</v>
      </c>
      <c r="N697">
        <v>2011</v>
      </c>
      <c r="O697">
        <v>2010</v>
      </c>
      <c r="Q697" t="s">
        <v>3543</v>
      </c>
      <c r="R697" t="s">
        <v>3863</v>
      </c>
      <c r="S697" t="s">
        <v>4379</v>
      </c>
      <c r="T697" t="s">
        <v>3863</v>
      </c>
      <c r="X697">
        <v>0</v>
      </c>
      <c r="AA697">
        <v>0</v>
      </c>
    </row>
    <row r="698" spans="1:27">
      <c r="A698" s="1">
        <v>696</v>
      </c>
      <c r="B698">
        <v>20941</v>
      </c>
      <c r="C698" t="s">
        <v>726</v>
      </c>
      <c r="D698" t="s">
        <v>1646</v>
      </c>
      <c r="E698" t="s">
        <v>2452</v>
      </c>
      <c r="G698">
        <f>"1573225142"</f>
        <v>0</v>
      </c>
      <c r="H698">
        <f>"9781573225144"</f>
        <v>0</v>
      </c>
      <c r="I698">
        <v>0</v>
      </c>
      <c r="J698">
        <v>3.86</v>
      </c>
      <c r="K698" t="s">
        <v>3090</v>
      </c>
      <c r="L698" t="s">
        <v>3491</v>
      </c>
      <c r="M698">
        <v>546</v>
      </c>
      <c r="N698">
        <v>1995</v>
      </c>
      <c r="O698">
        <v>1994</v>
      </c>
      <c r="Q698" t="s">
        <v>3504</v>
      </c>
      <c r="R698" t="s">
        <v>3863</v>
      </c>
      <c r="S698" t="s">
        <v>4380</v>
      </c>
      <c r="T698" t="s">
        <v>3863</v>
      </c>
      <c r="X698">
        <v>0</v>
      </c>
      <c r="AA698">
        <v>0</v>
      </c>
    </row>
    <row r="699" spans="1:27">
      <c r="A699" s="1">
        <v>697</v>
      </c>
      <c r="B699">
        <v>36739320</v>
      </c>
      <c r="C699" t="s">
        <v>727</v>
      </c>
      <c r="D699" t="s">
        <v>1647</v>
      </c>
      <c r="E699" t="s">
        <v>2453</v>
      </c>
      <c r="G699">
        <f>"0735210934"</f>
        <v>0</v>
      </c>
      <c r="H699">
        <f>"9780735210936"</f>
        <v>0</v>
      </c>
      <c r="I699">
        <v>0</v>
      </c>
      <c r="J699">
        <v>4.06</v>
      </c>
      <c r="K699" t="s">
        <v>3090</v>
      </c>
      <c r="L699" t="s">
        <v>3492</v>
      </c>
      <c r="M699">
        <v>327</v>
      </c>
      <c r="N699">
        <v>2019</v>
      </c>
      <c r="O699">
        <v>2019</v>
      </c>
      <c r="Q699" t="s">
        <v>3504</v>
      </c>
      <c r="R699" t="s">
        <v>3863</v>
      </c>
      <c r="S699" t="s">
        <v>4381</v>
      </c>
      <c r="T699" t="s">
        <v>3863</v>
      </c>
      <c r="X699">
        <v>0</v>
      </c>
      <c r="AA699">
        <v>0</v>
      </c>
    </row>
    <row r="700" spans="1:27">
      <c r="A700" s="1">
        <v>698</v>
      </c>
      <c r="B700">
        <v>51338665</v>
      </c>
      <c r="C700" t="s">
        <v>728</v>
      </c>
      <c r="D700" t="s">
        <v>1648</v>
      </c>
      <c r="E700" t="s">
        <v>2454</v>
      </c>
      <c r="G700">
        <f>"031653353X"</f>
        <v>0</v>
      </c>
      <c r="H700">
        <f>"9780316533539"</f>
        <v>0</v>
      </c>
      <c r="I700">
        <v>0</v>
      </c>
      <c r="J700">
        <v>4.17</v>
      </c>
      <c r="K700" t="s">
        <v>3362</v>
      </c>
      <c r="L700" t="s">
        <v>3492</v>
      </c>
      <c r="M700">
        <v>304</v>
      </c>
      <c r="N700">
        <v>2020</v>
      </c>
      <c r="O700">
        <v>2020</v>
      </c>
      <c r="Q700" t="s">
        <v>3504</v>
      </c>
      <c r="R700" t="s">
        <v>3863</v>
      </c>
      <c r="S700" t="s">
        <v>4382</v>
      </c>
      <c r="T700" t="s">
        <v>3863</v>
      </c>
      <c r="X700">
        <v>0</v>
      </c>
      <c r="AA700">
        <v>0</v>
      </c>
    </row>
    <row r="701" spans="1:27">
      <c r="A701" s="1">
        <v>699</v>
      </c>
      <c r="B701">
        <v>52315827</v>
      </c>
      <c r="C701" t="s">
        <v>729</v>
      </c>
      <c r="D701" t="s">
        <v>1649</v>
      </c>
      <c r="E701" t="s">
        <v>2455</v>
      </c>
      <c r="F701" t="s">
        <v>2892</v>
      </c>
      <c r="G701">
        <f>"1608686604"</f>
        <v>0</v>
      </c>
      <c r="H701">
        <f>"9781608686605"</f>
        <v>0</v>
      </c>
      <c r="I701">
        <v>0</v>
      </c>
      <c r="J701">
        <v>3.88</v>
      </c>
      <c r="L701" t="s">
        <v>3491</v>
      </c>
      <c r="M701">
        <v>310</v>
      </c>
      <c r="N701">
        <v>2020</v>
      </c>
      <c r="O701">
        <v>2020</v>
      </c>
      <c r="Q701" t="s">
        <v>3816</v>
      </c>
      <c r="R701" t="s">
        <v>3863</v>
      </c>
      <c r="S701" t="s">
        <v>4383</v>
      </c>
      <c r="T701" t="s">
        <v>3863</v>
      </c>
      <c r="X701">
        <v>0</v>
      </c>
      <c r="AA701">
        <v>0</v>
      </c>
    </row>
    <row r="702" spans="1:27">
      <c r="A702" s="1">
        <v>700</v>
      </c>
      <c r="B702">
        <v>38276</v>
      </c>
      <c r="C702" t="s">
        <v>730</v>
      </c>
      <c r="D702" t="s">
        <v>1650</v>
      </c>
      <c r="E702" t="s">
        <v>2456</v>
      </c>
      <c r="G702">
        <f>"0140097015"</f>
        <v>0</v>
      </c>
      <c r="H702">
        <f>"9780140097016"</f>
        <v>0</v>
      </c>
      <c r="I702">
        <v>0</v>
      </c>
      <c r="J702">
        <v>4.04</v>
      </c>
      <c r="K702" t="s">
        <v>3010</v>
      </c>
      <c r="L702" t="s">
        <v>3500</v>
      </c>
      <c r="M702">
        <v>304</v>
      </c>
      <c r="N702">
        <v>1988</v>
      </c>
      <c r="O702">
        <v>1987</v>
      </c>
      <c r="Q702" t="s">
        <v>3817</v>
      </c>
      <c r="R702" t="s">
        <v>3863</v>
      </c>
      <c r="S702" t="s">
        <v>4384</v>
      </c>
      <c r="T702" t="s">
        <v>3863</v>
      </c>
      <c r="X702">
        <v>0</v>
      </c>
      <c r="AA702">
        <v>0</v>
      </c>
    </row>
    <row r="703" spans="1:27">
      <c r="A703" s="1">
        <v>701</v>
      </c>
      <c r="B703">
        <v>122008</v>
      </c>
      <c r="C703" t="s">
        <v>731</v>
      </c>
      <c r="D703" t="s">
        <v>1062</v>
      </c>
      <c r="E703" t="s">
        <v>1868</v>
      </c>
      <c r="F703" t="s">
        <v>2893</v>
      </c>
      <c r="G703">
        <f>"0898866545"</f>
        <v>0</v>
      </c>
      <c r="H703">
        <f>"9780898866544"</f>
        <v>0</v>
      </c>
      <c r="I703">
        <v>0</v>
      </c>
      <c r="J703">
        <v>4.28</v>
      </c>
      <c r="K703" t="s">
        <v>3363</v>
      </c>
      <c r="L703" t="s">
        <v>3491</v>
      </c>
      <c r="M703">
        <v>240</v>
      </c>
      <c r="N703">
        <v>1999</v>
      </c>
      <c r="O703">
        <v>1999</v>
      </c>
      <c r="Q703" t="s">
        <v>3818</v>
      </c>
      <c r="R703" t="s">
        <v>3863</v>
      </c>
      <c r="S703" t="s">
        <v>4385</v>
      </c>
      <c r="T703" t="s">
        <v>3863</v>
      </c>
      <c r="X703">
        <v>0</v>
      </c>
      <c r="AA703">
        <v>0</v>
      </c>
    </row>
    <row r="704" spans="1:27">
      <c r="A704" s="1">
        <v>702</v>
      </c>
      <c r="B704">
        <v>23358414</v>
      </c>
      <c r="C704" t="s">
        <v>732</v>
      </c>
      <c r="D704" t="s">
        <v>1651</v>
      </c>
      <c r="E704" t="s">
        <v>2457</v>
      </c>
      <c r="F704" t="s">
        <v>2894</v>
      </c>
      <c r="G704">
        <f>""</f>
        <v>0</v>
      </c>
      <c r="H704">
        <f>""</f>
        <v>0</v>
      </c>
      <c r="I704">
        <v>0</v>
      </c>
      <c r="J704">
        <v>4.37</v>
      </c>
      <c r="K704" t="s">
        <v>3364</v>
      </c>
      <c r="L704" t="s">
        <v>3493</v>
      </c>
      <c r="M704">
        <v>446</v>
      </c>
      <c r="N704">
        <v>2014</v>
      </c>
      <c r="O704">
        <v>2014</v>
      </c>
      <c r="Q704" t="s">
        <v>3818</v>
      </c>
      <c r="R704" t="s">
        <v>3863</v>
      </c>
      <c r="S704" t="s">
        <v>4386</v>
      </c>
      <c r="T704" t="s">
        <v>3863</v>
      </c>
      <c r="X704">
        <v>0</v>
      </c>
      <c r="AA704">
        <v>0</v>
      </c>
    </row>
    <row r="705" spans="1:27">
      <c r="A705" s="1">
        <v>703</v>
      </c>
      <c r="B705">
        <v>750664</v>
      </c>
      <c r="C705" t="s">
        <v>733</v>
      </c>
      <c r="D705" t="s">
        <v>1652</v>
      </c>
      <c r="E705" t="s">
        <v>2458</v>
      </c>
      <c r="G705">
        <f>"0140174230"</f>
        <v>0</v>
      </c>
      <c r="H705">
        <f>"9780140174236"</f>
        <v>0</v>
      </c>
      <c r="I705">
        <v>0</v>
      </c>
      <c r="J705">
        <v>3.92</v>
      </c>
      <c r="K705" t="s">
        <v>3365</v>
      </c>
      <c r="L705" t="s">
        <v>3491</v>
      </c>
      <c r="M705">
        <v>384</v>
      </c>
      <c r="N705">
        <v>1995</v>
      </c>
      <c r="O705">
        <v>1992</v>
      </c>
      <c r="Q705" t="s">
        <v>3819</v>
      </c>
      <c r="R705" t="s">
        <v>3863</v>
      </c>
      <c r="S705" t="s">
        <v>4387</v>
      </c>
      <c r="T705" t="s">
        <v>3863</v>
      </c>
      <c r="X705">
        <v>0</v>
      </c>
      <c r="AA705">
        <v>0</v>
      </c>
    </row>
    <row r="706" spans="1:27">
      <c r="A706" s="1">
        <v>704</v>
      </c>
      <c r="B706">
        <v>149789</v>
      </c>
      <c r="C706" t="s">
        <v>734</v>
      </c>
      <c r="D706" t="s">
        <v>1653</v>
      </c>
      <c r="E706" t="s">
        <v>2459</v>
      </c>
      <c r="F706" t="s">
        <v>2895</v>
      </c>
      <c r="G706">
        <f>"0140437525"</f>
        <v>0</v>
      </c>
      <c r="H706">
        <f>"9780140437522"</f>
        <v>0</v>
      </c>
      <c r="I706">
        <v>0</v>
      </c>
      <c r="J706">
        <v>4.17</v>
      </c>
      <c r="K706" t="s">
        <v>3010</v>
      </c>
      <c r="L706" t="s">
        <v>3491</v>
      </c>
      <c r="M706">
        <v>890</v>
      </c>
      <c r="N706">
        <v>2002</v>
      </c>
      <c r="O706">
        <v>1867</v>
      </c>
      <c r="Q706" t="s">
        <v>3757</v>
      </c>
      <c r="R706" t="s">
        <v>3863</v>
      </c>
      <c r="S706" t="s">
        <v>4388</v>
      </c>
      <c r="T706" t="s">
        <v>3863</v>
      </c>
      <c r="X706">
        <v>0</v>
      </c>
      <c r="AA706">
        <v>0</v>
      </c>
    </row>
    <row r="707" spans="1:27">
      <c r="A707" s="1">
        <v>705</v>
      </c>
      <c r="B707">
        <v>144463</v>
      </c>
      <c r="C707" t="s">
        <v>735</v>
      </c>
      <c r="D707" t="s">
        <v>1653</v>
      </c>
      <c r="E707" t="s">
        <v>2459</v>
      </c>
      <c r="F707" t="s">
        <v>2896</v>
      </c>
      <c r="G707">
        <f>"0140433252"</f>
        <v>0</v>
      </c>
      <c r="H707">
        <f>"9780140433258"</f>
        <v>0</v>
      </c>
      <c r="I707">
        <v>0</v>
      </c>
      <c r="J707">
        <v>4.05</v>
      </c>
      <c r="K707" t="s">
        <v>3146</v>
      </c>
      <c r="L707" t="s">
        <v>3491</v>
      </c>
      <c r="M707">
        <v>695</v>
      </c>
      <c r="N707">
        <v>1991</v>
      </c>
      <c r="O707">
        <v>1864</v>
      </c>
      <c r="Q707" t="s">
        <v>3757</v>
      </c>
      <c r="R707" t="s">
        <v>3863</v>
      </c>
      <c r="S707" t="s">
        <v>4389</v>
      </c>
      <c r="T707" t="s">
        <v>3863</v>
      </c>
      <c r="X707">
        <v>0</v>
      </c>
      <c r="AA707">
        <v>0</v>
      </c>
    </row>
    <row r="708" spans="1:27">
      <c r="A708" s="1">
        <v>706</v>
      </c>
      <c r="B708">
        <v>267102</v>
      </c>
      <c r="C708" t="s">
        <v>736</v>
      </c>
      <c r="D708" t="s">
        <v>1653</v>
      </c>
      <c r="E708" t="s">
        <v>2459</v>
      </c>
      <c r="G708">
        <f>"1406954098"</f>
        <v>0</v>
      </c>
      <c r="H708">
        <f>"9781406954098"</f>
        <v>0</v>
      </c>
      <c r="I708">
        <v>0</v>
      </c>
      <c r="J708">
        <v>4.04</v>
      </c>
      <c r="K708" t="s">
        <v>3079</v>
      </c>
      <c r="L708" t="s">
        <v>3491</v>
      </c>
      <c r="M708">
        <v>573</v>
      </c>
      <c r="N708">
        <v>2006</v>
      </c>
      <c r="O708">
        <v>1860</v>
      </c>
      <c r="Q708" t="s">
        <v>3757</v>
      </c>
      <c r="R708" t="s">
        <v>3863</v>
      </c>
      <c r="S708" t="s">
        <v>4390</v>
      </c>
      <c r="T708" t="s">
        <v>3863</v>
      </c>
      <c r="X708">
        <v>0</v>
      </c>
      <c r="AA708">
        <v>0</v>
      </c>
    </row>
    <row r="709" spans="1:27">
      <c r="A709" s="1">
        <v>707</v>
      </c>
      <c r="B709">
        <v>414295</v>
      </c>
      <c r="C709" t="s">
        <v>737</v>
      </c>
      <c r="D709" t="s">
        <v>1653</v>
      </c>
      <c r="E709" t="s">
        <v>2459</v>
      </c>
      <c r="F709" t="s">
        <v>2897</v>
      </c>
      <c r="G709">
        <f>"0140433260"</f>
        <v>0</v>
      </c>
      <c r="H709">
        <f>"9780140433265"</f>
        <v>0</v>
      </c>
      <c r="I709">
        <v>0</v>
      </c>
      <c r="J709">
        <v>4.13</v>
      </c>
      <c r="K709" t="s">
        <v>3010</v>
      </c>
      <c r="L709" t="s">
        <v>3491</v>
      </c>
      <c r="M709">
        <v>557</v>
      </c>
      <c r="N709">
        <v>1991</v>
      </c>
      <c r="O709">
        <v>1858</v>
      </c>
      <c r="Q709" t="s">
        <v>3757</v>
      </c>
      <c r="R709" t="s">
        <v>3863</v>
      </c>
      <c r="S709" t="s">
        <v>4391</v>
      </c>
      <c r="T709" t="s">
        <v>3863</v>
      </c>
      <c r="X709">
        <v>0</v>
      </c>
      <c r="AA709">
        <v>0</v>
      </c>
    </row>
    <row r="710" spans="1:27">
      <c r="A710" s="1">
        <v>708</v>
      </c>
      <c r="B710">
        <v>267123</v>
      </c>
      <c r="C710" t="s">
        <v>738</v>
      </c>
      <c r="D710" t="s">
        <v>1653</v>
      </c>
      <c r="E710" t="s">
        <v>2459</v>
      </c>
      <c r="F710" t="s">
        <v>2898</v>
      </c>
      <c r="G710">
        <f>"0192834088"</f>
        <v>0</v>
      </c>
      <c r="H710">
        <f>"9780192834089"</f>
        <v>0</v>
      </c>
      <c r="I710">
        <v>0</v>
      </c>
      <c r="J710">
        <v>3.74</v>
      </c>
      <c r="K710" t="s">
        <v>3019</v>
      </c>
      <c r="L710" t="s">
        <v>3491</v>
      </c>
      <c r="M710">
        <v>336</v>
      </c>
      <c r="N710">
        <v>1998</v>
      </c>
      <c r="O710">
        <v>1855</v>
      </c>
      <c r="Q710" t="s">
        <v>3757</v>
      </c>
      <c r="R710" t="s">
        <v>3863</v>
      </c>
      <c r="S710" t="s">
        <v>4392</v>
      </c>
      <c r="T710" t="s">
        <v>3863</v>
      </c>
      <c r="X710">
        <v>0</v>
      </c>
      <c r="AA710">
        <v>0</v>
      </c>
    </row>
    <row r="711" spans="1:27">
      <c r="A711" s="1">
        <v>709</v>
      </c>
      <c r="B711">
        <v>125321</v>
      </c>
      <c r="C711" t="s">
        <v>739</v>
      </c>
      <c r="D711" t="s">
        <v>1653</v>
      </c>
      <c r="E711" t="s">
        <v>2459</v>
      </c>
      <c r="G711">
        <f>"1406923044"</f>
        <v>0</v>
      </c>
      <c r="H711">
        <f>"9781406923049"</f>
        <v>0</v>
      </c>
      <c r="I711">
        <v>0</v>
      </c>
      <c r="J711">
        <v>4.03</v>
      </c>
      <c r="K711" t="s">
        <v>3019</v>
      </c>
      <c r="L711" t="s">
        <v>3491</v>
      </c>
      <c r="M711">
        <v>418</v>
      </c>
      <c r="N711">
        <v>2006</v>
      </c>
      <c r="O711">
        <v>1857</v>
      </c>
      <c r="Q711" t="s">
        <v>3757</v>
      </c>
      <c r="R711" t="s">
        <v>3863</v>
      </c>
      <c r="S711" t="s">
        <v>4393</v>
      </c>
      <c r="T711" t="s">
        <v>3863</v>
      </c>
      <c r="X711">
        <v>0</v>
      </c>
      <c r="AA711">
        <v>0</v>
      </c>
    </row>
    <row r="712" spans="1:27">
      <c r="A712" s="1">
        <v>710</v>
      </c>
      <c r="B712">
        <v>12898</v>
      </c>
      <c r="C712" t="s">
        <v>740</v>
      </c>
      <c r="D712" t="s">
        <v>1654</v>
      </c>
      <c r="E712" t="s">
        <v>2460</v>
      </c>
      <c r="G712">
        <f>"0435233076"</f>
        <v>0</v>
      </c>
      <c r="H712">
        <f>"9780435233075"</f>
        <v>0</v>
      </c>
      <c r="I712">
        <v>0</v>
      </c>
      <c r="J712">
        <v>3.55</v>
      </c>
      <c r="K712" t="s">
        <v>3366</v>
      </c>
      <c r="L712" t="s">
        <v>3492</v>
      </c>
      <c r="M712">
        <v>117</v>
      </c>
      <c r="N712">
        <v>1994</v>
      </c>
      <c r="O712">
        <v>1949</v>
      </c>
      <c r="Q712" t="s">
        <v>3757</v>
      </c>
      <c r="T712" t="s">
        <v>4621</v>
      </c>
      <c r="X712">
        <v>1</v>
      </c>
      <c r="AA712">
        <v>0</v>
      </c>
    </row>
    <row r="713" spans="1:27">
      <c r="A713" s="1">
        <v>711</v>
      </c>
      <c r="B713">
        <v>12957</v>
      </c>
      <c r="C713" t="s">
        <v>741</v>
      </c>
      <c r="D713" t="s">
        <v>1655</v>
      </c>
      <c r="E713" t="s">
        <v>2461</v>
      </c>
      <c r="F713" t="s">
        <v>2899</v>
      </c>
      <c r="G713">
        <f>"0743482751"</f>
        <v>0</v>
      </c>
      <c r="H713">
        <f>"9780743482752"</f>
        <v>0</v>
      </c>
      <c r="I713">
        <v>0</v>
      </c>
      <c r="J713">
        <v>4.06</v>
      </c>
      <c r="K713" t="s">
        <v>3121</v>
      </c>
      <c r="L713" t="s">
        <v>3491</v>
      </c>
      <c r="M713">
        <v>246</v>
      </c>
      <c r="N713">
        <v>2004</v>
      </c>
      <c r="O713">
        <v>1598</v>
      </c>
      <c r="Q713" t="s">
        <v>3757</v>
      </c>
      <c r="T713" t="s">
        <v>4621</v>
      </c>
      <c r="X713">
        <v>1</v>
      </c>
      <c r="AA713">
        <v>0</v>
      </c>
    </row>
    <row r="714" spans="1:27">
      <c r="A714" s="1">
        <v>712</v>
      </c>
      <c r="B714">
        <v>17250</v>
      </c>
      <c r="C714" t="s">
        <v>742</v>
      </c>
      <c r="D714" t="s">
        <v>1654</v>
      </c>
      <c r="E714" t="s">
        <v>2460</v>
      </c>
      <c r="F714" t="s">
        <v>2900</v>
      </c>
      <c r="G714">
        <f>"0142437336"</f>
        <v>0</v>
      </c>
      <c r="H714">
        <f>"9780142437339"</f>
        <v>0</v>
      </c>
      <c r="I714">
        <v>0</v>
      </c>
      <c r="J714">
        <v>3.6</v>
      </c>
      <c r="K714" t="s">
        <v>3010</v>
      </c>
      <c r="L714" t="s">
        <v>3491</v>
      </c>
      <c r="M714">
        <v>143</v>
      </c>
      <c r="N714">
        <v>2003</v>
      </c>
      <c r="O714">
        <v>1953</v>
      </c>
      <c r="Q714" t="s">
        <v>3757</v>
      </c>
      <c r="T714" t="s">
        <v>4621</v>
      </c>
      <c r="X714">
        <v>1</v>
      </c>
      <c r="AA714">
        <v>0</v>
      </c>
    </row>
    <row r="715" spans="1:27">
      <c r="A715" s="1">
        <v>713</v>
      </c>
      <c r="B715">
        <v>485894</v>
      </c>
      <c r="C715" t="s">
        <v>743</v>
      </c>
      <c r="D715" t="s">
        <v>1268</v>
      </c>
      <c r="E715" t="s">
        <v>2074</v>
      </c>
      <c r="F715" t="s">
        <v>2901</v>
      </c>
      <c r="G715">
        <f>""</f>
        <v>0</v>
      </c>
      <c r="H715">
        <f>""</f>
        <v>0</v>
      </c>
      <c r="I715">
        <v>0</v>
      </c>
      <c r="J715">
        <v>3.84</v>
      </c>
      <c r="K715" t="s">
        <v>3175</v>
      </c>
      <c r="L715" t="s">
        <v>3491</v>
      </c>
      <c r="M715">
        <v>201</v>
      </c>
      <c r="N715">
        <v>1972</v>
      </c>
      <c r="O715">
        <v>1915</v>
      </c>
      <c r="Q715" t="s">
        <v>3757</v>
      </c>
      <c r="R715" t="s">
        <v>3863</v>
      </c>
      <c r="S715" t="s">
        <v>4394</v>
      </c>
      <c r="T715" t="s">
        <v>3863</v>
      </c>
      <c r="X715">
        <v>0</v>
      </c>
      <c r="AA715">
        <v>0</v>
      </c>
    </row>
    <row r="716" spans="1:27">
      <c r="A716" s="1">
        <v>714</v>
      </c>
      <c r="B716">
        <v>8852</v>
      </c>
      <c r="C716" t="s">
        <v>744</v>
      </c>
      <c r="D716" t="s">
        <v>1655</v>
      </c>
      <c r="E716" t="s">
        <v>2461</v>
      </c>
      <c r="F716" t="s">
        <v>2902</v>
      </c>
      <c r="G716">
        <f>"0743477103"</f>
        <v>0</v>
      </c>
      <c r="H716">
        <f>"9780743477109"</f>
        <v>0</v>
      </c>
      <c r="I716">
        <v>0</v>
      </c>
      <c r="J716">
        <v>3.9</v>
      </c>
      <c r="K716" t="s">
        <v>3097</v>
      </c>
      <c r="L716" t="s">
        <v>3491</v>
      </c>
      <c r="M716">
        <v>249</v>
      </c>
      <c r="N716">
        <v>2013</v>
      </c>
      <c r="O716">
        <v>1606</v>
      </c>
      <c r="Q716" t="s">
        <v>3757</v>
      </c>
      <c r="T716" t="s">
        <v>4621</v>
      </c>
      <c r="X716">
        <v>1</v>
      </c>
      <c r="AA716">
        <v>0</v>
      </c>
    </row>
    <row r="717" spans="1:27">
      <c r="A717" s="1">
        <v>715</v>
      </c>
      <c r="B717">
        <v>18135</v>
      </c>
      <c r="C717" t="s">
        <v>745</v>
      </c>
      <c r="D717" t="s">
        <v>1655</v>
      </c>
      <c r="E717" t="s">
        <v>2461</v>
      </c>
      <c r="F717" t="s">
        <v>2903</v>
      </c>
      <c r="G717">
        <f>""</f>
        <v>0</v>
      </c>
      <c r="H717">
        <f>""</f>
        <v>0</v>
      </c>
      <c r="I717">
        <v>0</v>
      </c>
      <c r="J717">
        <v>3.74</v>
      </c>
      <c r="K717" t="s">
        <v>3210</v>
      </c>
      <c r="L717" t="s">
        <v>3495</v>
      </c>
      <c r="M717">
        <v>281</v>
      </c>
      <c r="N717">
        <v>2002</v>
      </c>
      <c r="O717">
        <v>1597</v>
      </c>
      <c r="Q717" t="s">
        <v>3757</v>
      </c>
      <c r="T717" t="s">
        <v>4621</v>
      </c>
      <c r="X717">
        <v>1</v>
      </c>
      <c r="AA717">
        <v>0</v>
      </c>
    </row>
    <row r="718" spans="1:27">
      <c r="A718" s="1">
        <v>716</v>
      </c>
      <c r="B718">
        <v>10884</v>
      </c>
      <c r="C718" t="s">
        <v>746</v>
      </c>
      <c r="D718" t="s">
        <v>1656</v>
      </c>
      <c r="E718" t="s">
        <v>2462</v>
      </c>
      <c r="G718">
        <f>"0743264738"</f>
        <v>0</v>
      </c>
      <c r="H718">
        <f>"9780743264730"</f>
        <v>0</v>
      </c>
      <c r="I718">
        <v>0</v>
      </c>
      <c r="J718">
        <v>4.15</v>
      </c>
      <c r="K718" t="s">
        <v>3097</v>
      </c>
      <c r="L718" t="s">
        <v>3492</v>
      </c>
      <c r="M718">
        <v>675</v>
      </c>
      <c r="N718">
        <v>2007</v>
      </c>
      <c r="O718">
        <v>2007</v>
      </c>
      <c r="Q718" t="s">
        <v>3820</v>
      </c>
      <c r="R718" t="s">
        <v>3863</v>
      </c>
      <c r="S718" t="s">
        <v>4395</v>
      </c>
      <c r="T718" t="s">
        <v>3863</v>
      </c>
      <c r="X718">
        <v>0</v>
      </c>
      <c r="AA718">
        <v>0</v>
      </c>
    </row>
    <row r="719" spans="1:27">
      <c r="A719" s="1">
        <v>717</v>
      </c>
      <c r="B719">
        <v>11084145</v>
      </c>
      <c r="C719" t="s">
        <v>747</v>
      </c>
      <c r="D719" t="s">
        <v>1656</v>
      </c>
      <c r="E719" t="s">
        <v>2462</v>
      </c>
      <c r="G719">
        <f>"1451648537"</f>
        <v>0</v>
      </c>
      <c r="H719">
        <f>"9781451648539"</f>
        <v>0</v>
      </c>
      <c r="I719">
        <v>0</v>
      </c>
      <c r="J719">
        <v>4.15</v>
      </c>
      <c r="K719" t="s">
        <v>3097</v>
      </c>
      <c r="L719" t="s">
        <v>3492</v>
      </c>
      <c r="M719">
        <v>630</v>
      </c>
      <c r="N719">
        <v>2011</v>
      </c>
      <c r="O719">
        <v>2011</v>
      </c>
      <c r="Q719" t="s">
        <v>3820</v>
      </c>
      <c r="R719" t="s">
        <v>3863</v>
      </c>
      <c r="S719" t="s">
        <v>4396</v>
      </c>
      <c r="T719" t="s">
        <v>3863</v>
      </c>
      <c r="X719">
        <v>0</v>
      </c>
      <c r="AA719">
        <v>0</v>
      </c>
    </row>
    <row r="720" spans="1:27">
      <c r="A720" s="1">
        <v>718</v>
      </c>
      <c r="B720">
        <v>5934152</v>
      </c>
      <c r="C720" t="s">
        <v>748</v>
      </c>
      <c r="D720" t="s">
        <v>1657</v>
      </c>
      <c r="E720" t="s">
        <v>2463</v>
      </c>
      <c r="F720" t="s">
        <v>2904</v>
      </c>
      <c r="G720">
        <f>""</f>
        <v>0</v>
      </c>
      <c r="H720">
        <f>""</f>
        <v>0</v>
      </c>
      <c r="I720">
        <v>3</v>
      </c>
      <c r="J720">
        <v>4.26</v>
      </c>
      <c r="K720" t="s">
        <v>3367</v>
      </c>
      <c r="L720" t="s">
        <v>3492</v>
      </c>
      <c r="M720">
        <v>266</v>
      </c>
      <c r="N720">
        <v>1953</v>
      </c>
      <c r="O720">
        <v>1953</v>
      </c>
      <c r="P720" t="s">
        <v>3547</v>
      </c>
      <c r="Q720" t="s">
        <v>3821</v>
      </c>
      <c r="T720" t="s">
        <v>4621</v>
      </c>
      <c r="U720" t="s">
        <v>4667</v>
      </c>
      <c r="X720">
        <v>1</v>
      </c>
      <c r="AA720">
        <v>0</v>
      </c>
    </row>
    <row r="721" spans="1:27">
      <c r="A721" s="1">
        <v>719</v>
      </c>
      <c r="B721">
        <v>6004724</v>
      </c>
      <c r="C721" t="s">
        <v>749</v>
      </c>
      <c r="D721" t="s">
        <v>1658</v>
      </c>
      <c r="E721" t="s">
        <v>2464</v>
      </c>
      <c r="G721">
        <f>"0385521308"</f>
        <v>0</v>
      </c>
      <c r="H721">
        <f>"9780385521307"</f>
        <v>0</v>
      </c>
      <c r="I721">
        <v>3</v>
      </c>
      <c r="J721">
        <v>4.11</v>
      </c>
      <c r="K721" t="s">
        <v>3282</v>
      </c>
      <c r="L721" t="s">
        <v>3492</v>
      </c>
      <c r="M721">
        <v>432</v>
      </c>
      <c r="N721">
        <v>2009</v>
      </c>
      <c r="O721">
        <v>2009</v>
      </c>
      <c r="P721" t="s">
        <v>3548</v>
      </c>
      <c r="Q721" t="s">
        <v>3822</v>
      </c>
      <c r="T721" t="s">
        <v>4621</v>
      </c>
      <c r="U721" t="s">
        <v>4668</v>
      </c>
      <c r="X721">
        <v>1</v>
      </c>
      <c r="AA721">
        <v>0</v>
      </c>
    </row>
    <row r="722" spans="1:27">
      <c r="A722" s="1">
        <v>720</v>
      </c>
      <c r="B722">
        <v>5546</v>
      </c>
      <c r="C722" t="s">
        <v>750</v>
      </c>
      <c r="D722" t="s">
        <v>1618</v>
      </c>
      <c r="E722" t="s">
        <v>2424</v>
      </c>
      <c r="F722" t="s">
        <v>2905</v>
      </c>
      <c r="G722">
        <f>"0805390456"</f>
        <v>0</v>
      </c>
      <c r="H722">
        <f>"9780805390452"</f>
        <v>0</v>
      </c>
      <c r="I722">
        <v>0</v>
      </c>
      <c r="J722">
        <v>4.61</v>
      </c>
      <c r="K722" t="s">
        <v>3368</v>
      </c>
      <c r="L722" t="s">
        <v>3492</v>
      </c>
      <c r="M722">
        <v>1552</v>
      </c>
      <c r="N722">
        <v>2005</v>
      </c>
      <c r="O722">
        <v>1964</v>
      </c>
      <c r="Q722" t="s">
        <v>3820</v>
      </c>
      <c r="R722" t="s">
        <v>3863</v>
      </c>
      <c r="S722" t="s">
        <v>4397</v>
      </c>
      <c r="T722" t="s">
        <v>3863</v>
      </c>
      <c r="X722">
        <v>0</v>
      </c>
      <c r="AA722">
        <v>0</v>
      </c>
    </row>
    <row r="723" spans="1:27">
      <c r="A723" s="1">
        <v>721</v>
      </c>
      <c r="B723">
        <v>282085</v>
      </c>
      <c r="C723" t="s">
        <v>751</v>
      </c>
      <c r="D723" t="s">
        <v>1541</v>
      </c>
      <c r="E723" t="s">
        <v>2347</v>
      </c>
      <c r="G723">
        <f>"0060929642"</f>
        <v>0</v>
      </c>
      <c r="H723">
        <f>"9780060929640"</f>
        <v>0</v>
      </c>
      <c r="I723">
        <v>5</v>
      </c>
      <c r="J723">
        <v>3.91</v>
      </c>
      <c r="K723" t="s">
        <v>2997</v>
      </c>
      <c r="L723" t="s">
        <v>3491</v>
      </c>
      <c r="M723">
        <v>688</v>
      </c>
      <c r="N723">
        <v>2004</v>
      </c>
      <c r="O723">
        <v>2004</v>
      </c>
      <c r="P723" t="s">
        <v>3549</v>
      </c>
      <c r="Q723" t="s">
        <v>3592</v>
      </c>
      <c r="R723" t="s">
        <v>3862</v>
      </c>
      <c r="S723" t="s">
        <v>4398</v>
      </c>
      <c r="T723" t="s">
        <v>4621</v>
      </c>
      <c r="U723" t="s">
        <v>4669</v>
      </c>
      <c r="X723">
        <v>1</v>
      </c>
      <c r="AA723">
        <v>0</v>
      </c>
    </row>
    <row r="724" spans="1:27">
      <c r="A724" s="1">
        <v>722</v>
      </c>
      <c r="B724">
        <v>84699</v>
      </c>
      <c r="C724" t="s">
        <v>752</v>
      </c>
      <c r="D724" t="s">
        <v>1659</v>
      </c>
      <c r="E724" t="s">
        <v>2465</v>
      </c>
      <c r="G724">
        <f>"0385512058"</f>
        <v>0</v>
      </c>
      <c r="H724">
        <f>"9780385512053"</f>
        <v>0</v>
      </c>
      <c r="I724">
        <v>0</v>
      </c>
      <c r="J724">
        <v>3.84</v>
      </c>
      <c r="K724" t="s">
        <v>3369</v>
      </c>
      <c r="L724" t="s">
        <v>3492</v>
      </c>
      <c r="M724">
        <v>309</v>
      </c>
      <c r="N724">
        <v>2005</v>
      </c>
      <c r="O724">
        <v>2005</v>
      </c>
      <c r="Q724" t="s">
        <v>3811</v>
      </c>
      <c r="R724" t="s">
        <v>3863</v>
      </c>
      <c r="S724" t="s">
        <v>4399</v>
      </c>
      <c r="T724" t="s">
        <v>3863</v>
      </c>
      <c r="X724">
        <v>0</v>
      </c>
      <c r="AA724">
        <v>0</v>
      </c>
    </row>
    <row r="725" spans="1:27">
      <c r="A725" s="1">
        <v>723</v>
      </c>
      <c r="B725">
        <v>20877035</v>
      </c>
      <c r="C725" t="s">
        <v>753</v>
      </c>
      <c r="D725" t="s">
        <v>1631</v>
      </c>
      <c r="E725" t="s">
        <v>2437</v>
      </c>
      <c r="G725">
        <f>""</f>
        <v>0</v>
      </c>
      <c r="H725">
        <f>""</f>
        <v>0</v>
      </c>
      <c r="I725">
        <v>0</v>
      </c>
      <c r="J725">
        <v>4.06</v>
      </c>
      <c r="N725">
        <v>1989</v>
      </c>
      <c r="O725">
        <v>1989</v>
      </c>
      <c r="Q725" t="s">
        <v>3811</v>
      </c>
      <c r="R725" t="s">
        <v>3863</v>
      </c>
      <c r="S725" t="s">
        <v>4400</v>
      </c>
      <c r="T725" t="s">
        <v>3863</v>
      </c>
      <c r="X725">
        <v>0</v>
      </c>
      <c r="AA725">
        <v>0</v>
      </c>
    </row>
    <row r="726" spans="1:27">
      <c r="A726" s="1">
        <v>724</v>
      </c>
      <c r="B726">
        <v>118316</v>
      </c>
      <c r="C726" t="s">
        <v>754</v>
      </c>
      <c r="D726" t="s">
        <v>1660</v>
      </c>
      <c r="E726" t="s">
        <v>2466</v>
      </c>
      <c r="F726" t="s">
        <v>2906</v>
      </c>
      <c r="G726">
        <f>"0816614024"</f>
        <v>0</v>
      </c>
      <c r="H726">
        <f>"9780816614028"</f>
        <v>0</v>
      </c>
      <c r="I726">
        <v>0</v>
      </c>
      <c r="J726">
        <v>4.31</v>
      </c>
      <c r="K726" t="s">
        <v>3370</v>
      </c>
      <c r="L726" t="s">
        <v>3491</v>
      </c>
      <c r="M726">
        <v>632</v>
      </c>
      <c r="N726">
        <v>1987</v>
      </c>
      <c r="O726">
        <v>1980</v>
      </c>
      <c r="Q726" t="s">
        <v>3823</v>
      </c>
      <c r="R726" t="s">
        <v>3863</v>
      </c>
      <c r="S726" t="s">
        <v>4401</v>
      </c>
      <c r="T726" t="s">
        <v>3863</v>
      </c>
      <c r="X726">
        <v>0</v>
      </c>
      <c r="AA726">
        <v>0</v>
      </c>
    </row>
    <row r="727" spans="1:27">
      <c r="A727" s="1">
        <v>725</v>
      </c>
      <c r="B727">
        <v>118317</v>
      </c>
      <c r="C727" t="s">
        <v>755</v>
      </c>
      <c r="D727" t="s">
        <v>1660</v>
      </c>
      <c r="E727" t="s">
        <v>2466</v>
      </c>
      <c r="F727" t="s">
        <v>2907</v>
      </c>
      <c r="G727">
        <f>"0816612250"</f>
        <v>0</v>
      </c>
      <c r="H727">
        <f>"9780816612253"</f>
        <v>0</v>
      </c>
      <c r="I727">
        <v>0</v>
      </c>
      <c r="J727">
        <v>4.14</v>
      </c>
      <c r="K727" t="s">
        <v>3370</v>
      </c>
      <c r="L727" t="s">
        <v>3491</v>
      </c>
      <c r="M727">
        <v>400</v>
      </c>
      <c r="N727">
        <v>1983</v>
      </c>
      <c r="O727">
        <v>1972</v>
      </c>
      <c r="Q727" t="s">
        <v>3823</v>
      </c>
      <c r="R727" t="s">
        <v>3863</v>
      </c>
      <c r="S727" t="s">
        <v>4402</v>
      </c>
      <c r="T727" t="s">
        <v>3863</v>
      </c>
      <c r="X727">
        <v>0</v>
      </c>
      <c r="AA727">
        <v>0</v>
      </c>
    </row>
    <row r="728" spans="1:27">
      <c r="A728" s="1">
        <v>726</v>
      </c>
      <c r="B728">
        <v>353425</v>
      </c>
      <c r="C728" t="s">
        <v>756</v>
      </c>
      <c r="D728" t="s">
        <v>1661</v>
      </c>
      <c r="E728" t="s">
        <v>2467</v>
      </c>
      <c r="G728">
        <f>"0812692373"</f>
        <v>0</v>
      </c>
      <c r="H728">
        <f>"9780812692372"</f>
        <v>0</v>
      </c>
      <c r="I728">
        <v>0</v>
      </c>
      <c r="J728">
        <v>3.97</v>
      </c>
      <c r="K728" t="s">
        <v>3371</v>
      </c>
      <c r="L728" t="s">
        <v>3491</v>
      </c>
      <c r="M728">
        <v>254</v>
      </c>
      <c r="N728">
        <v>1999</v>
      </c>
      <c r="O728">
        <v>1993</v>
      </c>
      <c r="Q728" t="s">
        <v>3824</v>
      </c>
      <c r="R728" t="s">
        <v>3863</v>
      </c>
      <c r="S728" t="s">
        <v>4403</v>
      </c>
      <c r="T728" t="s">
        <v>3863</v>
      </c>
      <c r="X728">
        <v>0</v>
      </c>
      <c r="AA728">
        <v>0</v>
      </c>
    </row>
    <row r="729" spans="1:27">
      <c r="A729" s="1">
        <v>727</v>
      </c>
      <c r="B729">
        <v>809399</v>
      </c>
      <c r="C729" t="s">
        <v>757</v>
      </c>
      <c r="D729" t="s">
        <v>1661</v>
      </c>
      <c r="E729" t="s">
        <v>2467</v>
      </c>
      <c r="G729">
        <f>"0688001750"</f>
        <v>0</v>
      </c>
      <c r="H729">
        <f>"9780688001759"</f>
        <v>0</v>
      </c>
      <c r="I729">
        <v>0</v>
      </c>
      <c r="J729">
        <v>3.55</v>
      </c>
      <c r="K729" t="s">
        <v>3351</v>
      </c>
      <c r="L729" t="s">
        <v>3492</v>
      </c>
      <c r="M729">
        <v>256</v>
      </c>
      <c r="N729">
        <v>1973</v>
      </c>
      <c r="O729">
        <v>1973</v>
      </c>
      <c r="Q729" t="s">
        <v>3824</v>
      </c>
      <c r="R729" t="s">
        <v>3863</v>
      </c>
      <c r="S729" t="s">
        <v>4404</v>
      </c>
      <c r="T729" t="s">
        <v>3863</v>
      </c>
      <c r="X729">
        <v>0</v>
      </c>
      <c r="AA729">
        <v>0</v>
      </c>
    </row>
    <row r="730" spans="1:27">
      <c r="A730" s="1">
        <v>728</v>
      </c>
      <c r="B730">
        <v>119073</v>
      </c>
      <c r="C730" t="s">
        <v>758</v>
      </c>
      <c r="D730" t="s">
        <v>1397</v>
      </c>
      <c r="E730" t="s">
        <v>2203</v>
      </c>
      <c r="F730" t="s">
        <v>2908</v>
      </c>
      <c r="G730">
        <f>"0156001314"</f>
        <v>0</v>
      </c>
      <c r="H730">
        <f>"9780156001311"</f>
        <v>0</v>
      </c>
      <c r="I730">
        <v>0</v>
      </c>
      <c r="J730">
        <v>4.13</v>
      </c>
      <c r="K730" t="s">
        <v>3354</v>
      </c>
      <c r="L730" t="s">
        <v>3491</v>
      </c>
      <c r="M730">
        <v>536</v>
      </c>
      <c r="N730">
        <v>1994</v>
      </c>
      <c r="O730">
        <v>1980</v>
      </c>
      <c r="Q730" t="s">
        <v>3705</v>
      </c>
      <c r="R730" t="s">
        <v>3863</v>
      </c>
      <c r="S730" t="s">
        <v>4405</v>
      </c>
      <c r="T730" t="s">
        <v>3863</v>
      </c>
      <c r="X730">
        <v>0</v>
      </c>
      <c r="AA730">
        <v>0</v>
      </c>
    </row>
    <row r="731" spans="1:27">
      <c r="A731" s="1">
        <v>729</v>
      </c>
      <c r="B731">
        <v>17841</v>
      </c>
      <c r="C731" t="s">
        <v>759</v>
      </c>
      <c r="D731" t="s">
        <v>1397</v>
      </c>
      <c r="E731" t="s">
        <v>2203</v>
      </c>
      <c r="F731" t="s">
        <v>2909</v>
      </c>
      <c r="G731">
        <f>"015603297X"</f>
        <v>0</v>
      </c>
      <c r="H731">
        <f>"9780156032971"</f>
        <v>0</v>
      </c>
      <c r="I731">
        <v>0</v>
      </c>
      <c r="J731">
        <v>3.91</v>
      </c>
      <c r="K731" t="s">
        <v>3107</v>
      </c>
      <c r="L731" t="s">
        <v>3491</v>
      </c>
      <c r="M731">
        <v>623</v>
      </c>
      <c r="N731">
        <v>2007</v>
      </c>
      <c r="O731">
        <v>1988</v>
      </c>
      <c r="Q731" t="s">
        <v>3705</v>
      </c>
      <c r="R731" t="s">
        <v>3863</v>
      </c>
      <c r="S731" t="s">
        <v>4406</v>
      </c>
      <c r="T731" t="s">
        <v>3863</v>
      </c>
      <c r="X731">
        <v>0</v>
      </c>
      <c r="AA731">
        <v>0</v>
      </c>
    </row>
    <row r="732" spans="1:27">
      <c r="A732" s="1">
        <v>730</v>
      </c>
      <c r="B732">
        <v>36817</v>
      </c>
      <c r="C732" t="s">
        <v>760</v>
      </c>
      <c r="D732" t="s">
        <v>1662</v>
      </c>
      <c r="E732" t="s">
        <v>2468</v>
      </c>
      <c r="F732" t="s">
        <v>2910</v>
      </c>
      <c r="G732">
        <f>"097434723X"</f>
        <v>0</v>
      </c>
      <c r="H732">
        <f>"9780974347233"</f>
        <v>0</v>
      </c>
      <c r="I732">
        <v>0</v>
      </c>
      <c r="J732">
        <v>3.85</v>
      </c>
      <c r="K732" t="s">
        <v>3372</v>
      </c>
      <c r="L732" t="s">
        <v>3492</v>
      </c>
      <c r="M732">
        <v>304</v>
      </c>
      <c r="N732">
        <v>2005</v>
      </c>
      <c r="O732">
        <v>1964</v>
      </c>
      <c r="Q732" t="s">
        <v>3825</v>
      </c>
      <c r="R732" t="s">
        <v>3863</v>
      </c>
      <c r="S732" t="s">
        <v>4407</v>
      </c>
      <c r="T732" t="s">
        <v>3863</v>
      </c>
      <c r="X732">
        <v>0</v>
      </c>
      <c r="AA732">
        <v>0</v>
      </c>
    </row>
    <row r="733" spans="1:27">
      <c r="A733" s="1">
        <v>731</v>
      </c>
      <c r="B733">
        <v>17349</v>
      </c>
      <c r="C733" t="s">
        <v>761</v>
      </c>
      <c r="D733" t="s">
        <v>1446</v>
      </c>
      <c r="E733" t="s">
        <v>2252</v>
      </c>
      <c r="F733" t="s">
        <v>2911</v>
      </c>
      <c r="G733">
        <f>"0345409469"</f>
        <v>0</v>
      </c>
      <c r="H733">
        <f>"9780345409461"</f>
        <v>0</v>
      </c>
      <c r="I733">
        <v>0</v>
      </c>
      <c r="J733">
        <v>4.28</v>
      </c>
      <c r="K733" t="s">
        <v>3001</v>
      </c>
      <c r="L733" t="s">
        <v>3491</v>
      </c>
      <c r="M733">
        <v>459</v>
      </c>
      <c r="N733">
        <v>1997</v>
      </c>
      <c r="O733">
        <v>1996</v>
      </c>
      <c r="Q733" t="s">
        <v>3826</v>
      </c>
      <c r="R733" t="s">
        <v>3863</v>
      </c>
      <c r="S733" t="s">
        <v>4408</v>
      </c>
      <c r="T733" t="s">
        <v>3863</v>
      </c>
      <c r="X733">
        <v>0</v>
      </c>
      <c r="AA733">
        <v>0</v>
      </c>
    </row>
    <row r="734" spans="1:27">
      <c r="A734" s="1">
        <v>732</v>
      </c>
      <c r="B734">
        <v>28820444</v>
      </c>
      <c r="C734" t="s">
        <v>762</v>
      </c>
      <c r="D734" t="s">
        <v>1663</v>
      </c>
      <c r="E734" t="s">
        <v>2469</v>
      </c>
      <c r="F734" t="s">
        <v>1118</v>
      </c>
      <c r="G734">
        <f>""</f>
        <v>0</v>
      </c>
      <c r="H734">
        <f>"9780190496012"</f>
        <v>0</v>
      </c>
      <c r="I734">
        <v>0</v>
      </c>
      <c r="J734">
        <v>4.02</v>
      </c>
      <c r="K734" t="s">
        <v>3019</v>
      </c>
      <c r="L734" t="s">
        <v>3494</v>
      </c>
      <c r="M734">
        <v>408</v>
      </c>
      <c r="N734">
        <v>2017</v>
      </c>
      <c r="O734">
        <v>2017</v>
      </c>
      <c r="Q734" t="s">
        <v>3826</v>
      </c>
      <c r="R734" t="s">
        <v>3863</v>
      </c>
      <c r="S734" t="s">
        <v>4409</v>
      </c>
      <c r="T734" t="s">
        <v>3863</v>
      </c>
      <c r="X734">
        <v>0</v>
      </c>
      <c r="AA734">
        <v>0</v>
      </c>
    </row>
    <row r="735" spans="1:27">
      <c r="A735" s="1">
        <v>733</v>
      </c>
      <c r="B735">
        <v>24800</v>
      </c>
      <c r="C735" t="s">
        <v>763</v>
      </c>
      <c r="D735" t="s">
        <v>1664</v>
      </c>
      <c r="E735" t="s">
        <v>2470</v>
      </c>
      <c r="G735">
        <f>"038560310X"</f>
        <v>0</v>
      </c>
      <c r="H735">
        <f>"9780385603102"</f>
        <v>0</v>
      </c>
      <c r="I735">
        <v>0</v>
      </c>
      <c r="J735">
        <v>4.07</v>
      </c>
      <c r="K735" t="s">
        <v>3039</v>
      </c>
      <c r="L735" t="s">
        <v>3491</v>
      </c>
      <c r="M735">
        <v>710</v>
      </c>
      <c r="N735">
        <v>2000</v>
      </c>
      <c r="O735">
        <v>2000</v>
      </c>
      <c r="Q735" t="s">
        <v>3826</v>
      </c>
      <c r="R735" t="s">
        <v>3863</v>
      </c>
      <c r="S735" t="s">
        <v>4410</v>
      </c>
      <c r="T735" t="s">
        <v>3863</v>
      </c>
      <c r="X735">
        <v>0</v>
      </c>
      <c r="AA735">
        <v>0</v>
      </c>
    </row>
    <row r="736" spans="1:27">
      <c r="A736" s="1">
        <v>734</v>
      </c>
      <c r="B736">
        <v>743692</v>
      </c>
      <c r="C736" t="s">
        <v>764</v>
      </c>
      <c r="D736" t="s">
        <v>1665</v>
      </c>
      <c r="E736" t="s">
        <v>2471</v>
      </c>
      <c r="F736" t="s">
        <v>2912</v>
      </c>
      <c r="G736">
        <f>"1928649270"</f>
        <v>0</v>
      </c>
      <c r="H736">
        <f>"9781928649274"</f>
        <v>0</v>
      </c>
      <c r="I736">
        <v>0</v>
      </c>
      <c r="J736">
        <v>4.31</v>
      </c>
      <c r="K736" t="s">
        <v>3373</v>
      </c>
      <c r="L736" t="s">
        <v>3491</v>
      </c>
      <c r="M736">
        <v>362</v>
      </c>
      <c r="N736">
        <v>2004</v>
      </c>
      <c r="O736">
        <v>2004</v>
      </c>
      <c r="Q736" t="s">
        <v>3827</v>
      </c>
      <c r="R736" t="s">
        <v>3863</v>
      </c>
      <c r="S736" t="s">
        <v>4411</v>
      </c>
      <c r="T736" t="s">
        <v>3863</v>
      </c>
      <c r="X736">
        <v>0</v>
      </c>
      <c r="AA736">
        <v>0</v>
      </c>
    </row>
    <row r="737" spans="1:27">
      <c r="A737" s="1">
        <v>735</v>
      </c>
      <c r="B737">
        <v>177766</v>
      </c>
      <c r="C737" t="s">
        <v>765</v>
      </c>
      <c r="D737" t="s">
        <v>1666</v>
      </c>
      <c r="E737" t="s">
        <v>2472</v>
      </c>
      <c r="G737">
        <f>"0385720386"</f>
        <v>0</v>
      </c>
      <c r="H737">
        <f>"9780385720380"</f>
        <v>0</v>
      </c>
      <c r="I737">
        <v>0</v>
      </c>
      <c r="J737">
        <v>4.07</v>
      </c>
      <c r="K737" t="s">
        <v>3112</v>
      </c>
      <c r="L737" t="s">
        <v>3491</v>
      </c>
      <c r="M737">
        <v>526</v>
      </c>
      <c r="N737">
        <v>2002</v>
      </c>
      <c r="O737">
        <v>2001</v>
      </c>
      <c r="Q737" t="s">
        <v>3550</v>
      </c>
      <c r="R737" t="s">
        <v>3863</v>
      </c>
      <c r="S737" t="s">
        <v>4412</v>
      </c>
      <c r="T737" t="s">
        <v>3863</v>
      </c>
      <c r="X737">
        <v>0</v>
      </c>
      <c r="AA737">
        <v>0</v>
      </c>
    </row>
    <row r="738" spans="1:27">
      <c r="A738" s="1">
        <v>736</v>
      </c>
      <c r="B738">
        <v>40940205</v>
      </c>
      <c r="C738" t="s">
        <v>766</v>
      </c>
      <c r="D738" t="s">
        <v>1667</v>
      </c>
      <c r="E738" t="s">
        <v>2473</v>
      </c>
      <c r="G738">
        <f>""</f>
        <v>0</v>
      </c>
      <c r="H738">
        <f>""</f>
        <v>0</v>
      </c>
      <c r="I738">
        <v>2</v>
      </c>
      <c r="J738">
        <v>4.01</v>
      </c>
      <c r="K738" t="s">
        <v>3324</v>
      </c>
      <c r="L738" t="s">
        <v>3493</v>
      </c>
      <c r="M738">
        <v>182</v>
      </c>
      <c r="N738">
        <v>2016</v>
      </c>
      <c r="O738">
        <v>2016</v>
      </c>
      <c r="P738" t="s">
        <v>3550</v>
      </c>
      <c r="Q738" t="s">
        <v>3555</v>
      </c>
      <c r="T738" t="s">
        <v>4621</v>
      </c>
      <c r="U738" t="s">
        <v>4670</v>
      </c>
      <c r="X738">
        <v>1</v>
      </c>
      <c r="AA738">
        <v>0</v>
      </c>
    </row>
    <row r="739" spans="1:27">
      <c r="A739" s="1">
        <v>737</v>
      </c>
      <c r="B739">
        <v>46945</v>
      </c>
      <c r="C739" t="s">
        <v>767</v>
      </c>
      <c r="D739" t="s">
        <v>1668</v>
      </c>
      <c r="E739" t="s">
        <v>2474</v>
      </c>
      <c r="F739" t="s">
        <v>2913</v>
      </c>
      <c r="G739">
        <f>"1560252480"</f>
        <v>0</v>
      </c>
      <c r="H739">
        <f>"9781560252481"</f>
        <v>0</v>
      </c>
      <c r="I739">
        <v>5</v>
      </c>
      <c r="J739">
        <v>4.09</v>
      </c>
      <c r="K739" t="s">
        <v>3374</v>
      </c>
      <c r="L739" t="s">
        <v>3491</v>
      </c>
      <c r="M739">
        <v>279</v>
      </c>
      <c r="N739">
        <v>1999</v>
      </c>
      <c r="O739">
        <v>1978</v>
      </c>
      <c r="P739" t="s">
        <v>3551</v>
      </c>
      <c r="Q739" t="s">
        <v>3755</v>
      </c>
      <c r="T739" t="s">
        <v>4621</v>
      </c>
      <c r="U739" t="s">
        <v>4671</v>
      </c>
      <c r="X739">
        <v>1</v>
      </c>
      <c r="AA739">
        <v>0</v>
      </c>
    </row>
    <row r="740" spans="1:27">
      <c r="A740" s="1">
        <v>738</v>
      </c>
      <c r="B740">
        <v>303615</v>
      </c>
      <c r="C740" t="s">
        <v>768</v>
      </c>
      <c r="D740" t="s">
        <v>1669</v>
      </c>
      <c r="E740" t="s">
        <v>2475</v>
      </c>
      <c r="G740">
        <f>"1573921394"</f>
        <v>0</v>
      </c>
      <c r="H740">
        <f>"9781573921398"</f>
        <v>0</v>
      </c>
      <c r="I740">
        <v>0</v>
      </c>
      <c r="J740">
        <v>3.85</v>
      </c>
      <c r="K740" t="s">
        <v>3375</v>
      </c>
      <c r="L740" t="s">
        <v>3491</v>
      </c>
      <c r="M740">
        <v>403</v>
      </c>
      <c r="N740">
        <v>1997</v>
      </c>
      <c r="O740">
        <v>1935</v>
      </c>
      <c r="Q740" t="s">
        <v>3828</v>
      </c>
      <c r="R740" t="s">
        <v>3863</v>
      </c>
      <c r="S740" t="s">
        <v>4413</v>
      </c>
      <c r="T740" t="s">
        <v>3863</v>
      </c>
      <c r="X740">
        <v>0</v>
      </c>
      <c r="AA740">
        <v>0</v>
      </c>
    </row>
    <row r="741" spans="1:27">
      <c r="A741" s="1">
        <v>739</v>
      </c>
      <c r="B741">
        <v>23168840</v>
      </c>
      <c r="C741" t="s">
        <v>769</v>
      </c>
      <c r="D741" t="s">
        <v>1670</v>
      </c>
      <c r="E741" t="s">
        <v>2476</v>
      </c>
      <c r="G741">
        <f>"1627793445"</f>
        <v>0</v>
      </c>
      <c r="H741">
        <f>"9781627793445"</f>
        <v>0</v>
      </c>
      <c r="I741">
        <v>0</v>
      </c>
      <c r="J741">
        <v>4.08</v>
      </c>
      <c r="K741" t="s">
        <v>3278</v>
      </c>
      <c r="L741" t="s">
        <v>3491</v>
      </c>
      <c r="M741">
        <v>156</v>
      </c>
      <c r="N741">
        <v>2015</v>
      </c>
      <c r="O741">
        <v>2014</v>
      </c>
      <c r="Q741" t="s">
        <v>3829</v>
      </c>
      <c r="R741" t="s">
        <v>3863</v>
      </c>
      <c r="S741" t="s">
        <v>4414</v>
      </c>
      <c r="T741" t="s">
        <v>3863</v>
      </c>
      <c r="X741">
        <v>0</v>
      </c>
      <c r="AA741">
        <v>0</v>
      </c>
    </row>
    <row r="742" spans="1:27">
      <c r="A742" s="1">
        <v>740</v>
      </c>
      <c r="B742">
        <v>377742</v>
      </c>
      <c r="C742" t="s">
        <v>770</v>
      </c>
      <c r="D742" t="s">
        <v>1671</v>
      </c>
      <c r="E742" t="s">
        <v>2477</v>
      </c>
      <c r="F742" t="s">
        <v>770</v>
      </c>
      <c r="G742">
        <f>"0810981149"</f>
        <v>0</v>
      </c>
      <c r="H742">
        <f>"9780810981140"</f>
        <v>0</v>
      </c>
      <c r="I742">
        <v>0</v>
      </c>
      <c r="J742">
        <v>4.22</v>
      </c>
      <c r="K742" t="s">
        <v>3376</v>
      </c>
      <c r="L742" t="s">
        <v>3492</v>
      </c>
      <c r="M742">
        <v>306</v>
      </c>
      <c r="N742">
        <v>1993</v>
      </c>
      <c r="O742">
        <v>1971</v>
      </c>
      <c r="Q742" t="s">
        <v>3829</v>
      </c>
      <c r="R742" t="s">
        <v>3863</v>
      </c>
      <c r="S742" t="s">
        <v>4415</v>
      </c>
      <c r="T742" t="s">
        <v>3863</v>
      </c>
      <c r="X742">
        <v>0</v>
      </c>
      <c r="AA742">
        <v>0</v>
      </c>
    </row>
    <row r="743" spans="1:27">
      <c r="A743" s="1">
        <v>741</v>
      </c>
      <c r="B743">
        <v>825419</v>
      </c>
      <c r="C743" t="s">
        <v>771</v>
      </c>
      <c r="D743" t="s">
        <v>1672</v>
      </c>
      <c r="E743" t="s">
        <v>2478</v>
      </c>
      <c r="G743">
        <f>""</f>
        <v>0</v>
      </c>
      <c r="H743">
        <f>""</f>
        <v>0</v>
      </c>
      <c r="I743">
        <v>3</v>
      </c>
      <c r="J743">
        <v>4.17</v>
      </c>
      <c r="K743" t="s">
        <v>3072</v>
      </c>
      <c r="L743" t="s">
        <v>3491</v>
      </c>
      <c r="M743">
        <v>347</v>
      </c>
      <c r="N743">
        <v>1984</v>
      </c>
      <c r="O743">
        <v>1959</v>
      </c>
      <c r="P743" t="s">
        <v>3552</v>
      </c>
      <c r="Q743" t="s">
        <v>3592</v>
      </c>
      <c r="T743" t="s">
        <v>4621</v>
      </c>
      <c r="U743" t="s">
        <v>4672</v>
      </c>
      <c r="X743">
        <v>1</v>
      </c>
      <c r="AA743">
        <v>0</v>
      </c>
    </row>
    <row r="744" spans="1:27">
      <c r="A744" s="1">
        <v>742</v>
      </c>
      <c r="B744">
        <v>853510</v>
      </c>
      <c r="C744" t="s">
        <v>772</v>
      </c>
      <c r="D744" t="s">
        <v>1673</v>
      </c>
      <c r="E744" t="s">
        <v>2479</v>
      </c>
      <c r="G744">
        <f>"0007119313"</f>
        <v>0</v>
      </c>
      <c r="H744">
        <f>"9780007119318"</f>
        <v>0</v>
      </c>
      <c r="I744">
        <v>0</v>
      </c>
      <c r="J744">
        <v>4.19</v>
      </c>
      <c r="K744" t="s">
        <v>3163</v>
      </c>
      <c r="L744" t="s">
        <v>3491</v>
      </c>
      <c r="M744">
        <v>274</v>
      </c>
      <c r="N744">
        <v>2007</v>
      </c>
      <c r="O744">
        <v>1934</v>
      </c>
      <c r="Q744" t="s">
        <v>3552</v>
      </c>
      <c r="R744" t="s">
        <v>3863</v>
      </c>
      <c r="S744" t="s">
        <v>4416</v>
      </c>
      <c r="T744" t="s">
        <v>3863</v>
      </c>
      <c r="X744">
        <v>0</v>
      </c>
      <c r="AA744">
        <v>0</v>
      </c>
    </row>
    <row r="745" spans="1:27">
      <c r="A745" s="1">
        <v>743</v>
      </c>
      <c r="B745">
        <v>28815</v>
      </c>
      <c r="C745" t="s">
        <v>773</v>
      </c>
      <c r="D745" t="s">
        <v>1674</v>
      </c>
      <c r="E745" t="s">
        <v>2480</v>
      </c>
      <c r="G745">
        <f>"006124189X"</f>
        <v>0</v>
      </c>
      <c r="H745">
        <f>"9780061241895"</f>
        <v>0</v>
      </c>
      <c r="I745">
        <v>0</v>
      </c>
      <c r="J745">
        <v>4.2</v>
      </c>
      <c r="K745" t="s">
        <v>3026</v>
      </c>
      <c r="L745" t="s">
        <v>3491</v>
      </c>
      <c r="M745">
        <v>320</v>
      </c>
      <c r="N745">
        <v>2006</v>
      </c>
      <c r="O745">
        <v>1984</v>
      </c>
      <c r="Q745" t="s">
        <v>3830</v>
      </c>
      <c r="R745" t="s">
        <v>3863</v>
      </c>
      <c r="S745" t="s">
        <v>4417</v>
      </c>
      <c r="T745" t="s">
        <v>3863</v>
      </c>
      <c r="X745">
        <v>0</v>
      </c>
      <c r="AA745">
        <v>0</v>
      </c>
    </row>
    <row r="746" spans="1:27">
      <c r="A746" s="1">
        <v>744</v>
      </c>
      <c r="B746">
        <v>258860</v>
      </c>
      <c r="C746" t="s">
        <v>774</v>
      </c>
      <c r="D746" t="s">
        <v>1675</v>
      </c>
      <c r="E746" t="s">
        <v>2481</v>
      </c>
      <c r="G746">
        <f>"184018907X"</f>
        <v>0</v>
      </c>
      <c r="H746">
        <f>"9781840189070"</f>
        <v>0</v>
      </c>
      <c r="I746">
        <v>3</v>
      </c>
      <c r="J746">
        <v>4.05</v>
      </c>
      <c r="K746" t="s">
        <v>3377</v>
      </c>
      <c r="L746" t="s">
        <v>3491</v>
      </c>
      <c r="M746">
        <v>320</v>
      </c>
      <c r="N746">
        <v>2004</v>
      </c>
      <c r="P746" t="s">
        <v>3553</v>
      </c>
      <c r="Q746" t="s">
        <v>3593</v>
      </c>
      <c r="T746" t="s">
        <v>4621</v>
      </c>
      <c r="U746" t="s">
        <v>4673</v>
      </c>
      <c r="X746">
        <v>1</v>
      </c>
      <c r="AA746">
        <v>0</v>
      </c>
    </row>
    <row r="747" spans="1:27">
      <c r="A747" s="1">
        <v>745</v>
      </c>
      <c r="B747">
        <v>40163119</v>
      </c>
      <c r="C747" t="s">
        <v>775</v>
      </c>
      <c r="D747" t="s">
        <v>1658</v>
      </c>
      <c r="E747" t="s">
        <v>2464</v>
      </c>
      <c r="G747">
        <f>"0385521316"</f>
        <v>0</v>
      </c>
      <c r="H747">
        <f>"9780385521314"</f>
        <v>0</v>
      </c>
      <c r="I747">
        <v>4</v>
      </c>
      <c r="J747">
        <v>4.43</v>
      </c>
      <c r="K747" t="s">
        <v>3282</v>
      </c>
      <c r="L747" t="s">
        <v>3492</v>
      </c>
      <c r="M747">
        <v>441</v>
      </c>
      <c r="N747">
        <v>2019</v>
      </c>
      <c r="O747">
        <v>2018</v>
      </c>
      <c r="P747" t="s">
        <v>3554</v>
      </c>
      <c r="Q747" t="s">
        <v>3563</v>
      </c>
      <c r="T747" t="s">
        <v>4621</v>
      </c>
      <c r="U747" t="s">
        <v>4674</v>
      </c>
      <c r="X747">
        <v>1</v>
      </c>
      <c r="AA747">
        <v>0</v>
      </c>
    </row>
    <row r="748" spans="1:27">
      <c r="A748" s="1">
        <v>746</v>
      </c>
      <c r="B748">
        <v>289947</v>
      </c>
      <c r="C748" t="s">
        <v>776</v>
      </c>
      <c r="D748" t="s">
        <v>1676</v>
      </c>
      <c r="E748" t="s">
        <v>2482</v>
      </c>
      <c r="G748">
        <f>"0738206709"</f>
        <v>0</v>
      </c>
      <c r="H748">
        <f>"9780738206707"</f>
        <v>0</v>
      </c>
      <c r="I748">
        <v>3</v>
      </c>
      <c r="J748">
        <v>3.94</v>
      </c>
      <c r="K748" t="s">
        <v>3138</v>
      </c>
      <c r="L748" t="s">
        <v>3491</v>
      </c>
      <c r="M748">
        <v>344</v>
      </c>
      <c r="N748">
        <v>2002</v>
      </c>
      <c r="O748">
        <v>2000</v>
      </c>
      <c r="P748" t="s">
        <v>3555</v>
      </c>
      <c r="Q748" t="s">
        <v>3593</v>
      </c>
      <c r="T748" t="s">
        <v>4621</v>
      </c>
      <c r="U748" t="s">
        <v>4675</v>
      </c>
      <c r="X748">
        <v>1</v>
      </c>
      <c r="AA748">
        <v>0</v>
      </c>
    </row>
    <row r="749" spans="1:27">
      <c r="A749" s="1">
        <v>747</v>
      </c>
      <c r="B749">
        <v>16240481</v>
      </c>
      <c r="C749" t="s">
        <v>777</v>
      </c>
      <c r="D749" t="s">
        <v>1677</v>
      </c>
      <c r="E749" t="s">
        <v>2483</v>
      </c>
      <c r="G749">
        <f>"1848547528"</f>
        <v>0</v>
      </c>
      <c r="H749">
        <f>"9781848547520"</f>
        <v>0</v>
      </c>
      <c r="I749">
        <v>0</v>
      </c>
      <c r="J749">
        <v>4.22</v>
      </c>
      <c r="K749" t="s">
        <v>3378</v>
      </c>
      <c r="L749" t="s">
        <v>3492</v>
      </c>
      <c r="M749">
        <v>362</v>
      </c>
      <c r="N749">
        <v>2013</v>
      </c>
      <c r="O749">
        <v>2013</v>
      </c>
      <c r="Q749" t="s">
        <v>3831</v>
      </c>
      <c r="R749" t="s">
        <v>3863</v>
      </c>
      <c r="S749" t="s">
        <v>4418</v>
      </c>
      <c r="T749" t="s">
        <v>3863</v>
      </c>
      <c r="X749">
        <v>0</v>
      </c>
      <c r="AA749">
        <v>0</v>
      </c>
    </row>
    <row r="750" spans="1:27">
      <c r="A750" s="1">
        <v>748</v>
      </c>
      <c r="B750">
        <v>293207</v>
      </c>
      <c r="C750" t="s">
        <v>778</v>
      </c>
      <c r="D750" t="s">
        <v>1677</v>
      </c>
      <c r="E750" t="s">
        <v>2483</v>
      </c>
      <c r="F750" t="s">
        <v>2914</v>
      </c>
      <c r="G750">
        <f>"1590171667"</f>
        <v>0</v>
      </c>
      <c r="H750">
        <f>"9781590171660"</f>
        <v>0</v>
      </c>
      <c r="I750">
        <v>0</v>
      </c>
      <c r="J750">
        <v>4.29</v>
      </c>
      <c r="K750" t="s">
        <v>3003</v>
      </c>
      <c r="L750" t="s">
        <v>3491</v>
      </c>
      <c r="M750">
        <v>280</v>
      </c>
      <c r="N750">
        <v>2005</v>
      </c>
      <c r="O750">
        <v>1986</v>
      </c>
      <c r="Q750" t="s">
        <v>3831</v>
      </c>
      <c r="R750" t="s">
        <v>3863</v>
      </c>
      <c r="S750" t="s">
        <v>4419</v>
      </c>
      <c r="T750" t="s">
        <v>3863</v>
      </c>
      <c r="X750">
        <v>0</v>
      </c>
      <c r="AA750">
        <v>0</v>
      </c>
    </row>
    <row r="751" spans="1:27">
      <c r="A751" s="1">
        <v>749</v>
      </c>
      <c r="B751">
        <v>7190</v>
      </c>
      <c r="C751" t="s">
        <v>779</v>
      </c>
      <c r="D751" t="s">
        <v>1581</v>
      </c>
      <c r="E751" t="s">
        <v>2387</v>
      </c>
      <c r="F751" t="s">
        <v>2915</v>
      </c>
      <c r="G751">
        <f>""</f>
        <v>0</v>
      </c>
      <c r="H751">
        <f>""</f>
        <v>0</v>
      </c>
      <c r="I751">
        <v>0</v>
      </c>
      <c r="J751">
        <v>4.08</v>
      </c>
      <c r="K751" t="s">
        <v>3157</v>
      </c>
      <c r="L751" t="s">
        <v>3491</v>
      </c>
      <c r="M751">
        <v>625</v>
      </c>
      <c r="N751">
        <v>2001</v>
      </c>
      <c r="O751">
        <v>1844</v>
      </c>
      <c r="Q751" t="s">
        <v>3822</v>
      </c>
      <c r="R751" t="s">
        <v>3863</v>
      </c>
      <c r="S751" t="s">
        <v>4420</v>
      </c>
      <c r="T751" t="s">
        <v>3863</v>
      </c>
      <c r="X751">
        <v>0</v>
      </c>
      <c r="AA751">
        <v>0</v>
      </c>
    </row>
    <row r="752" spans="1:27">
      <c r="A752" s="1">
        <v>750</v>
      </c>
      <c r="B752">
        <v>1381</v>
      </c>
      <c r="C752" t="s">
        <v>780</v>
      </c>
      <c r="D752" t="s">
        <v>1678</v>
      </c>
      <c r="E752" t="s">
        <v>2484</v>
      </c>
      <c r="F752" t="s">
        <v>2916</v>
      </c>
      <c r="G752">
        <f>"0143039954"</f>
        <v>0</v>
      </c>
      <c r="H752">
        <f>"9780143039952"</f>
        <v>0</v>
      </c>
      <c r="I752">
        <v>0</v>
      </c>
      <c r="J752">
        <v>3.79</v>
      </c>
      <c r="K752" t="s">
        <v>3379</v>
      </c>
      <c r="L752" t="s">
        <v>3491</v>
      </c>
      <c r="M752">
        <v>541</v>
      </c>
      <c r="N752">
        <v>2006</v>
      </c>
      <c r="O752">
        <v>-800</v>
      </c>
      <c r="Q752" t="s">
        <v>3822</v>
      </c>
      <c r="T752" t="s">
        <v>4621</v>
      </c>
      <c r="X752">
        <v>1</v>
      </c>
      <c r="AA752">
        <v>0</v>
      </c>
    </row>
    <row r="753" spans="1:27">
      <c r="A753" s="1">
        <v>751</v>
      </c>
      <c r="B753">
        <v>344860</v>
      </c>
      <c r="C753" t="s">
        <v>781</v>
      </c>
      <c r="D753" t="s">
        <v>1658</v>
      </c>
      <c r="E753" t="s">
        <v>2464</v>
      </c>
      <c r="G753">
        <f>"1400060346"</f>
        <v>0</v>
      </c>
      <c r="H753">
        <f>"9781400060344"</f>
        <v>0</v>
      </c>
      <c r="I753">
        <v>0</v>
      </c>
      <c r="J753">
        <v>3.61</v>
      </c>
      <c r="K753" t="s">
        <v>3039</v>
      </c>
      <c r="L753" t="s">
        <v>3492</v>
      </c>
      <c r="M753">
        <v>300</v>
      </c>
      <c r="N753">
        <v>2005</v>
      </c>
      <c r="O753">
        <v>2005</v>
      </c>
      <c r="Q753" t="s">
        <v>3822</v>
      </c>
      <c r="R753" t="s">
        <v>3863</v>
      </c>
      <c r="S753" t="s">
        <v>4421</v>
      </c>
      <c r="T753" t="s">
        <v>3863</v>
      </c>
      <c r="X753">
        <v>0</v>
      </c>
      <c r="AA753">
        <v>0</v>
      </c>
    </row>
    <row r="754" spans="1:27">
      <c r="A754" s="1">
        <v>752</v>
      </c>
      <c r="B754">
        <v>50489112</v>
      </c>
      <c r="C754" t="s">
        <v>782</v>
      </c>
      <c r="D754" t="s">
        <v>1062</v>
      </c>
      <c r="E754" t="s">
        <v>1868</v>
      </c>
      <c r="F754" t="s">
        <v>2917</v>
      </c>
      <c r="G754">
        <f>""</f>
        <v>0</v>
      </c>
      <c r="H754">
        <f>"9781733518055"</f>
        <v>0</v>
      </c>
      <c r="I754">
        <v>4</v>
      </c>
      <c r="J754">
        <v>3.75</v>
      </c>
      <c r="K754" t="s">
        <v>3380</v>
      </c>
      <c r="L754" t="s">
        <v>3491</v>
      </c>
      <c r="M754">
        <v>196</v>
      </c>
      <c r="N754">
        <v>2019</v>
      </c>
      <c r="P754" t="s">
        <v>3556</v>
      </c>
      <c r="Q754" t="s">
        <v>3832</v>
      </c>
      <c r="T754" t="s">
        <v>4621</v>
      </c>
      <c r="U754" t="s">
        <v>4676</v>
      </c>
      <c r="X754">
        <v>1</v>
      </c>
      <c r="AA754">
        <v>0</v>
      </c>
    </row>
    <row r="755" spans="1:27">
      <c r="A755" s="1">
        <v>753</v>
      </c>
      <c r="B755">
        <v>764165</v>
      </c>
      <c r="C755" t="s">
        <v>783</v>
      </c>
      <c r="D755" t="s">
        <v>1679</v>
      </c>
      <c r="E755" t="s">
        <v>2485</v>
      </c>
      <c r="G755">
        <f>"0140255087"</f>
        <v>0</v>
      </c>
      <c r="H755">
        <f>"9780140255089"</f>
        <v>0</v>
      </c>
      <c r="I755">
        <v>0</v>
      </c>
      <c r="J755">
        <v>4.06</v>
      </c>
      <c r="K755" t="s">
        <v>3010</v>
      </c>
      <c r="L755" t="s">
        <v>3491</v>
      </c>
      <c r="M755">
        <v>352</v>
      </c>
      <c r="N755">
        <v>1987</v>
      </c>
      <c r="O755">
        <v>1978</v>
      </c>
      <c r="Q755" t="s">
        <v>3755</v>
      </c>
      <c r="R755" t="s">
        <v>3863</v>
      </c>
      <c r="S755" t="s">
        <v>4422</v>
      </c>
      <c r="T755" t="s">
        <v>3863</v>
      </c>
      <c r="X755">
        <v>0</v>
      </c>
      <c r="AA755">
        <v>0</v>
      </c>
    </row>
    <row r="756" spans="1:27">
      <c r="A756" s="1">
        <v>754</v>
      </c>
      <c r="B756">
        <v>5306</v>
      </c>
      <c r="C756" t="s">
        <v>784</v>
      </c>
      <c r="D756" t="s">
        <v>1092</v>
      </c>
      <c r="E756" t="s">
        <v>1899</v>
      </c>
      <c r="G756">
        <f>"0142000701"</f>
        <v>0</v>
      </c>
      <c r="H756">
        <f>"9780142000700"</f>
        <v>0</v>
      </c>
      <c r="I756">
        <v>0</v>
      </c>
      <c r="J756">
        <v>4.06</v>
      </c>
      <c r="K756" t="s">
        <v>3072</v>
      </c>
      <c r="L756" t="s">
        <v>3491</v>
      </c>
      <c r="M756">
        <v>214</v>
      </c>
      <c r="N756">
        <v>2002</v>
      </c>
      <c r="O756">
        <v>1961</v>
      </c>
      <c r="Q756" t="s">
        <v>3755</v>
      </c>
      <c r="R756" t="s">
        <v>3863</v>
      </c>
      <c r="S756" t="s">
        <v>4423</v>
      </c>
      <c r="T756" t="s">
        <v>3863</v>
      </c>
      <c r="X756">
        <v>0</v>
      </c>
      <c r="AA756">
        <v>0</v>
      </c>
    </row>
    <row r="757" spans="1:27">
      <c r="A757" s="1">
        <v>755</v>
      </c>
      <c r="B757">
        <v>899949</v>
      </c>
      <c r="C757" t="s">
        <v>785</v>
      </c>
      <c r="D757" t="s">
        <v>1680</v>
      </c>
      <c r="E757" t="s">
        <v>2486</v>
      </c>
      <c r="G757">
        <f>"0810959402"</f>
        <v>0</v>
      </c>
      <c r="H757">
        <f>"9780810959408"</f>
        <v>0</v>
      </c>
      <c r="I757">
        <v>0</v>
      </c>
      <c r="J757">
        <v>4.62</v>
      </c>
      <c r="K757" t="s">
        <v>3376</v>
      </c>
      <c r="L757" t="s">
        <v>3492</v>
      </c>
      <c r="M757">
        <v>180</v>
      </c>
      <c r="N757">
        <v>2006</v>
      </c>
      <c r="O757">
        <v>2006</v>
      </c>
      <c r="Q757" t="s">
        <v>3755</v>
      </c>
      <c r="R757" t="s">
        <v>3863</v>
      </c>
      <c r="S757" t="s">
        <v>4424</v>
      </c>
      <c r="T757" t="s">
        <v>3863</v>
      </c>
      <c r="X757">
        <v>0</v>
      </c>
      <c r="AA757">
        <v>0</v>
      </c>
    </row>
    <row r="758" spans="1:27">
      <c r="A758" s="1">
        <v>756</v>
      </c>
      <c r="B758">
        <v>5759</v>
      </c>
      <c r="C758" t="s">
        <v>786</v>
      </c>
      <c r="D758" t="s">
        <v>1681</v>
      </c>
      <c r="E758" t="s">
        <v>2487</v>
      </c>
      <c r="G758">
        <f>"0393327345"</f>
        <v>0</v>
      </c>
      <c r="H758">
        <f>"9780393327342"</f>
        <v>0</v>
      </c>
      <c r="I758">
        <v>0</v>
      </c>
      <c r="J758">
        <v>4.19</v>
      </c>
      <c r="K758" t="s">
        <v>3381</v>
      </c>
      <c r="L758" t="s">
        <v>3491</v>
      </c>
      <c r="M758">
        <v>218</v>
      </c>
      <c r="N758">
        <v>2005</v>
      </c>
      <c r="O758">
        <v>1996</v>
      </c>
      <c r="Q758" t="s">
        <v>3755</v>
      </c>
      <c r="R758" t="s">
        <v>3863</v>
      </c>
      <c r="S758" t="s">
        <v>4425</v>
      </c>
      <c r="T758" t="s">
        <v>3863</v>
      </c>
      <c r="X758">
        <v>0</v>
      </c>
      <c r="AA758">
        <v>0</v>
      </c>
    </row>
    <row r="759" spans="1:27">
      <c r="A759" s="1">
        <v>757</v>
      </c>
      <c r="B759">
        <v>24194340</v>
      </c>
      <c r="C759" t="s">
        <v>787</v>
      </c>
      <c r="D759" t="s">
        <v>1682</v>
      </c>
      <c r="E759" t="s">
        <v>2488</v>
      </c>
      <c r="G759">
        <f>""</f>
        <v>0</v>
      </c>
      <c r="H759">
        <f>""</f>
        <v>0</v>
      </c>
      <c r="I759">
        <v>0</v>
      </c>
      <c r="J759">
        <v>4.12</v>
      </c>
      <c r="K759" t="s">
        <v>3021</v>
      </c>
      <c r="L759" t="s">
        <v>3493</v>
      </c>
      <c r="M759">
        <v>310</v>
      </c>
      <c r="N759">
        <v>2013</v>
      </c>
      <c r="O759">
        <v>2013</v>
      </c>
      <c r="Q759" t="s">
        <v>3755</v>
      </c>
      <c r="R759" t="s">
        <v>3863</v>
      </c>
      <c r="S759" t="s">
        <v>4426</v>
      </c>
      <c r="T759" t="s">
        <v>3863</v>
      </c>
      <c r="X759">
        <v>0</v>
      </c>
      <c r="AA759">
        <v>0</v>
      </c>
    </row>
    <row r="760" spans="1:27">
      <c r="A760" s="1">
        <v>758</v>
      </c>
      <c r="B760">
        <v>32603496</v>
      </c>
      <c r="C760" t="s">
        <v>788</v>
      </c>
      <c r="D760" t="s">
        <v>1683</v>
      </c>
      <c r="E760" t="s">
        <v>2489</v>
      </c>
      <c r="G760">
        <f>"0593078411"</f>
        <v>0</v>
      </c>
      <c r="H760">
        <f>"9780593078419"</f>
        <v>0</v>
      </c>
      <c r="I760">
        <v>0</v>
      </c>
      <c r="J760">
        <v>3.89</v>
      </c>
      <c r="K760" t="s">
        <v>3254</v>
      </c>
      <c r="L760" t="s">
        <v>3491</v>
      </c>
      <c r="M760">
        <v>416</v>
      </c>
      <c r="N760">
        <v>2017</v>
      </c>
      <c r="O760">
        <v>2017</v>
      </c>
      <c r="Q760" t="s">
        <v>3755</v>
      </c>
      <c r="R760" t="s">
        <v>3863</v>
      </c>
      <c r="S760" t="s">
        <v>4427</v>
      </c>
      <c r="T760" t="s">
        <v>3863</v>
      </c>
      <c r="X760">
        <v>0</v>
      </c>
      <c r="AA760">
        <v>0</v>
      </c>
    </row>
    <row r="761" spans="1:27">
      <c r="A761" s="1">
        <v>759</v>
      </c>
      <c r="B761">
        <v>33864783</v>
      </c>
      <c r="C761" t="s">
        <v>789</v>
      </c>
      <c r="D761" t="s">
        <v>1684</v>
      </c>
      <c r="E761" t="s">
        <v>2490</v>
      </c>
      <c r="G761">
        <f>"1101984430"</f>
        <v>0</v>
      </c>
      <c r="H761">
        <f>"9781101984437"</f>
        <v>0</v>
      </c>
      <c r="I761">
        <v>0</v>
      </c>
      <c r="J761">
        <v>4.18</v>
      </c>
      <c r="K761" t="s">
        <v>3014</v>
      </c>
      <c r="L761" t="s">
        <v>3492</v>
      </c>
      <c r="M761">
        <v>384</v>
      </c>
      <c r="N761">
        <v>2017</v>
      </c>
      <c r="O761">
        <v>2017</v>
      </c>
      <c r="Q761" t="s">
        <v>3755</v>
      </c>
      <c r="R761" t="s">
        <v>3863</v>
      </c>
      <c r="S761" t="s">
        <v>4428</v>
      </c>
      <c r="T761" t="s">
        <v>3863</v>
      </c>
      <c r="X761">
        <v>0</v>
      </c>
      <c r="AA761">
        <v>0</v>
      </c>
    </row>
    <row r="762" spans="1:27">
      <c r="A762" s="1">
        <v>760</v>
      </c>
      <c r="B762">
        <v>637044</v>
      </c>
      <c r="C762" t="s">
        <v>790</v>
      </c>
      <c r="D762" t="s">
        <v>1685</v>
      </c>
      <c r="E762" t="s">
        <v>2491</v>
      </c>
      <c r="G762">
        <f>"1850434034"</f>
        <v>0</v>
      </c>
      <c r="H762">
        <f>"9781850434030"</f>
        <v>0</v>
      </c>
      <c r="I762">
        <v>0</v>
      </c>
      <c r="J762">
        <v>4.2</v>
      </c>
      <c r="K762" t="s">
        <v>3382</v>
      </c>
      <c r="L762" t="s">
        <v>3491</v>
      </c>
      <c r="M762">
        <v>512</v>
      </c>
      <c r="N762">
        <v>2004</v>
      </c>
      <c r="O762">
        <v>1960</v>
      </c>
      <c r="Q762" t="s">
        <v>3755</v>
      </c>
      <c r="R762" t="s">
        <v>3863</v>
      </c>
      <c r="S762" t="s">
        <v>4429</v>
      </c>
      <c r="T762" t="s">
        <v>3863</v>
      </c>
      <c r="X762">
        <v>0</v>
      </c>
      <c r="AA762">
        <v>0</v>
      </c>
    </row>
    <row r="763" spans="1:27">
      <c r="A763" s="1">
        <v>761</v>
      </c>
      <c r="B763">
        <v>3769306</v>
      </c>
      <c r="C763" t="s">
        <v>791</v>
      </c>
      <c r="D763" t="s">
        <v>1686</v>
      </c>
      <c r="E763" t="s">
        <v>2492</v>
      </c>
      <c r="F763" t="s">
        <v>2918</v>
      </c>
      <c r="G763">
        <f>"0345030982"</f>
        <v>0</v>
      </c>
      <c r="H763">
        <f>"9780345030986"</f>
        <v>0</v>
      </c>
      <c r="I763">
        <v>0</v>
      </c>
      <c r="J763">
        <v>4.2</v>
      </c>
      <c r="K763" t="s">
        <v>3383</v>
      </c>
      <c r="L763" t="s">
        <v>3491</v>
      </c>
      <c r="M763">
        <v>127</v>
      </c>
      <c r="N763">
        <v>1972</v>
      </c>
      <c r="O763">
        <v>1972</v>
      </c>
      <c r="Q763" t="s">
        <v>3833</v>
      </c>
      <c r="R763" t="s">
        <v>3863</v>
      </c>
      <c r="S763" t="s">
        <v>4430</v>
      </c>
      <c r="T763" t="s">
        <v>3863</v>
      </c>
      <c r="X763">
        <v>0</v>
      </c>
      <c r="AA763">
        <v>0</v>
      </c>
    </row>
    <row r="764" spans="1:27">
      <c r="A764" s="1">
        <v>762</v>
      </c>
      <c r="B764">
        <v>23814</v>
      </c>
      <c r="C764" t="s">
        <v>792</v>
      </c>
      <c r="D764" t="s">
        <v>1687</v>
      </c>
      <c r="E764" t="s">
        <v>2493</v>
      </c>
      <c r="F764" t="s">
        <v>2919</v>
      </c>
      <c r="G764">
        <f>"0812966295"</f>
        <v>0</v>
      </c>
      <c r="H764">
        <f>"9780812966299"</f>
        <v>0</v>
      </c>
      <c r="I764">
        <v>4</v>
      </c>
      <c r="J764">
        <v>3.8</v>
      </c>
      <c r="K764" t="s">
        <v>3157</v>
      </c>
      <c r="L764" t="s">
        <v>3491</v>
      </c>
      <c r="M764">
        <v>264</v>
      </c>
      <c r="N764">
        <v>2002</v>
      </c>
      <c r="O764">
        <v>1885</v>
      </c>
      <c r="P764" t="s">
        <v>3557</v>
      </c>
      <c r="Q764" t="s">
        <v>3593</v>
      </c>
      <c r="T764" t="s">
        <v>4621</v>
      </c>
      <c r="U764" t="s">
        <v>4677</v>
      </c>
      <c r="X764">
        <v>1</v>
      </c>
      <c r="AA764">
        <v>0</v>
      </c>
    </row>
    <row r="765" spans="1:27">
      <c r="A765" s="1">
        <v>763</v>
      </c>
      <c r="B765">
        <v>206970</v>
      </c>
      <c r="C765" t="s">
        <v>793</v>
      </c>
      <c r="D765" t="s">
        <v>1363</v>
      </c>
      <c r="E765" t="s">
        <v>2169</v>
      </c>
      <c r="F765" t="s">
        <v>2920</v>
      </c>
      <c r="G765">
        <f>"0792238761"</f>
        <v>0</v>
      </c>
      <c r="H765">
        <f>"9780792238768"</f>
        <v>0</v>
      </c>
      <c r="I765">
        <v>0</v>
      </c>
      <c r="J765">
        <v>3.97</v>
      </c>
      <c r="K765" t="s">
        <v>3384</v>
      </c>
      <c r="L765" t="s">
        <v>3491</v>
      </c>
      <c r="M765">
        <v>472</v>
      </c>
      <c r="N765">
        <v>2005</v>
      </c>
      <c r="O765">
        <v>1897</v>
      </c>
      <c r="Q765" t="s">
        <v>3821</v>
      </c>
      <c r="R765" t="s">
        <v>3863</v>
      </c>
      <c r="S765" t="s">
        <v>4431</v>
      </c>
      <c r="T765" t="s">
        <v>3863</v>
      </c>
      <c r="X765">
        <v>0</v>
      </c>
      <c r="AA765">
        <v>0</v>
      </c>
    </row>
    <row r="766" spans="1:27">
      <c r="A766" s="1">
        <v>764</v>
      </c>
      <c r="B766">
        <v>1049517</v>
      </c>
      <c r="C766" t="s">
        <v>794</v>
      </c>
      <c r="D766" t="s">
        <v>1688</v>
      </c>
      <c r="E766" t="s">
        <v>2494</v>
      </c>
      <c r="G766">
        <f>"0792268903"</f>
        <v>0</v>
      </c>
      <c r="H766">
        <f>"9780792268901"</f>
        <v>0</v>
      </c>
      <c r="I766">
        <v>0</v>
      </c>
      <c r="J766">
        <v>4.2</v>
      </c>
      <c r="K766" t="s">
        <v>3384</v>
      </c>
      <c r="L766" t="s">
        <v>3491</v>
      </c>
      <c r="M766">
        <v>320</v>
      </c>
      <c r="N766">
        <v>2003</v>
      </c>
      <c r="O766">
        <v>1954</v>
      </c>
      <c r="Q766" t="s">
        <v>3821</v>
      </c>
      <c r="R766" t="s">
        <v>3863</v>
      </c>
      <c r="S766" t="s">
        <v>4432</v>
      </c>
      <c r="T766" t="s">
        <v>3863</v>
      </c>
      <c r="X766">
        <v>0</v>
      </c>
      <c r="AA766">
        <v>0</v>
      </c>
    </row>
    <row r="767" spans="1:27">
      <c r="A767" s="1">
        <v>765</v>
      </c>
      <c r="B767">
        <v>7841672</v>
      </c>
      <c r="C767" t="s">
        <v>795</v>
      </c>
      <c r="D767" t="s">
        <v>1689</v>
      </c>
      <c r="E767" t="s">
        <v>2495</v>
      </c>
      <c r="F767" t="s">
        <v>2921</v>
      </c>
      <c r="G767">
        <f>"1439108277"</f>
        <v>0</v>
      </c>
      <c r="H767">
        <f>"9781439108277"</f>
        <v>0</v>
      </c>
      <c r="I767">
        <v>0</v>
      </c>
      <c r="J767">
        <v>4.25</v>
      </c>
      <c r="K767" t="s">
        <v>3000</v>
      </c>
      <c r="L767" t="s">
        <v>3492</v>
      </c>
      <c r="M767">
        <v>301</v>
      </c>
      <c r="N767">
        <v>2011</v>
      </c>
      <c r="O767">
        <v>2011</v>
      </c>
      <c r="Q767" t="s">
        <v>3834</v>
      </c>
      <c r="R767" t="s">
        <v>3863</v>
      </c>
      <c r="S767" t="s">
        <v>4433</v>
      </c>
      <c r="T767" t="s">
        <v>3863</v>
      </c>
      <c r="X767">
        <v>0</v>
      </c>
      <c r="AA767">
        <v>0</v>
      </c>
    </row>
    <row r="768" spans="1:27">
      <c r="A768" s="1">
        <v>766</v>
      </c>
      <c r="B768">
        <v>568236</v>
      </c>
      <c r="C768" t="s">
        <v>796</v>
      </c>
      <c r="D768" t="s">
        <v>1196</v>
      </c>
      <c r="E768" t="s">
        <v>2002</v>
      </c>
      <c r="G768">
        <f>"0345349571"</f>
        <v>0</v>
      </c>
      <c r="H768">
        <f>"9780345349576"</f>
        <v>0</v>
      </c>
      <c r="I768">
        <v>0</v>
      </c>
      <c r="J768">
        <v>4.03</v>
      </c>
      <c r="K768" t="s">
        <v>3385</v>
      </c>
      <c r="L768" t="s">
        <v>3491</v>
      </c>
      <c r="M768">
        <v>714</v>
      </c>
      <c r="N768">
        <v>1987</v>
      </c>
      <c r="O768">
        <v>1978</v>
      </c>
      <c r="Q768" t="s">
        <v>3834</v>
      </c>
      <c r="R768" t="s">
        <v>3863</v>
      </c>
      <c r="S768" t="s">
        <v>4434</v>
      </c>
      <c r="T768" t="s">
        <v>3863</v>
      </c>
      <c r="X768">
        <v>0</v>
      </c>
      <c r="AA768">
        <v>0</v>
      </c>
    </row>
    <row r="769" spans="1:27">
      <c r="A769" s="1">
        <v>767</v>
      </c>
      <c r="B769">
        <v>42954943</v>
      </c>
      <c r="C769" t="s">
        <v>797</v>
      </c>
      <c r="D769" t="s">
        <v>1690</v>
      </c>
      <c r="E769" t="s">
        <v>2496</v>
      </c>
      <c r="F769" t="s">
        <v>2922</v>
      </c>
      <c r="G769">
        <f>"1642930474"</f>
        <v>0</v>
      </c>
      <c r="H769">
        <f>"9781642930474"</f>
        <v>0</v>
      </c>
      <c r="I769">
        <v>0</v>
      </c>
      <c r="J769">
        <v>4.1</v>
      </c>
      <c r="K769" t="s">
        <v>3386</v>
      </c>
      <c r="L769" t="s">
        <v>3492</v>
      </c>
      <c r="M769">
        <v>240</v>
      </c>
      <c r="N769">
        <v>2019</v>
      </c>
      <c r="O769">
        <v>2019</v>
      </c>
      <c r="Q769" t="s">
        <v>3835</v>
      </c>
      <c r="R769" t="s">
        <v>3863</v>
      </c>
      <c r="S769" t="s">
        <v>4435</v>
      </c>
      <c r="T769" t="s">
        <v>3863</v>
      </c>
      <c r="X769">
        <v>0</v>
      </c>
      <c r="AA769">
        <v>0</v>
      </c>
    </row>
    <row r="770" spans="1:27">
      <c r="A770" s="1">
        <v>768</v>
      </c>
      <c r="B770">
        <v>246041</v>
      </c>
      <c r="C770" t="s">
        <v>798</v>
      </c>
      <c r="D770" t="s">
        <v>1691</v>
      </c>
      <c r="E770" t="s">
        <v>2497</v>
      </c>
      <c r="F770" t="s">
        <v>2923</v>
      </c>
      <c r="G770">
        <f>"0609807072"</f>
        <v>0</v>
      </c>
      <c r="H770">
        <f>"9780609807071"</f>
        <v>0</v>
      </c>
      <c r="I770">
        <v>0</v>
      </c>
      <c r="J770">
        <v>4.12</v>
      </c>
      <c r="K770" t="s">
        <v>3109</v>
      </c>
      <c r="L770" t="s">
        <v>3491</v>
      </c>
      <c r="M770">
        <v>688</v>
      </c>
      <c r="N770">
        <v>2001</v>
      </c>
      <c r="O770">
        <v>2000</v>
      </c>
      <c r="Q770" t="s">
        <v>3836</v>
      </c>
      <c r="R770" t="s">
        <v>3863</v>
      </c>
      <c r="S770" t="s">
        <v>4436</v>
      </c>
      <c r="T770" t="s">
        <v>3863</v>
      </c>
      <c r="X770">
        <v>0</v>
      </c>
      <c r="AA770">
        <v>0</v>
      </c>
    </row>
    <row r="771" spans="1:27">
      <c r="A771" s="1">
        <v>769</v>
      </c>
      <c r="B771">
        <v>216363</v>
      </c>
      <c r="C771" t="s">
        <v>799</v>
      </c>
      <c r="D771" t="s">
        <v>1260</v>
      </c>
      <c r="E771" t="s">
        <v>2066</v>
      </c>
      <c r="G771">
        <f>"0679740678"</f>
        <v>0</v>
      </c>
      <c r="H771">
        <f>"9780679740674"</f>
        <v>0</v>
      </c>
      <c r="I771">
        <v>2</v>
      </c>
      <c r="J771">
        <v>3.61</v>
      </c>
      <c r="K771" t="s">
        <v>3029</v>
      </c>
      <c r="L771" t="s">
        <v>3491</v>
      </c>
      <c r="M771">
        <v>259</v>
      </c>
      <c r="N771">
        <v>1992</v>
      </c>
      <c r="O771">
        <v>1962</v>
      </c>
      <c r="P771" t="s">
        <v>3558</v>
      </c>
      <c r="Q771" t="s">
        <v>3812</v>
      </c>
      <c r="T771" t="s">
        <v>4621</v>
      </c>
      <c r="X771">
        <v>1</v>
      </c>
      <c r="AA771">
        <v>0</v>
      </c>
    </row>
    <row r="772" spans="1:27">
      <c r="A772" s="1">
        <v>770</v>
      </c>
      <c r="B772">
        <v>495954</v>
      </c>
      <c r="C772" t="s">
        <v>800</v>
      </c>
      <c r="D772" t="s">
        <v>1692</v>
      </c>
      <c r="E772" t="s">
        <v>2498</v>
      </c>
      <c r="F772" t="s">
        <v>2924</v>
      </c>
      <c r="G772">
        <f>"0880293934"</f>
        <v>0</v>
      </c>
      <c r="H772">
        <f>"9780880293938"</f>
        <v>0</v>
      </c>
      <c r="I772">
        <v>3</v>
      </c>
      <c r="J772">
        <v>3.6</v>
      </c>
      <c r="K772" t="s">
        <v>3387</v>
      </c>
      <c r="L772" t="s">
        <v>3492</v>
      </c>
      <c r="M772">
        <v>176</v>
      </c>
      <c r="N772">
        <v>1993</v>
      </c>
      <c r="O772">
        <v>1988</v>
      </c>
      <c r="P772" t="s">
        <v>3559</v>
      </c>
      <c r="Q772" t="s">
        <v>3751</v>
      </c>
      <c r="T772" t="s">
        <v>4621</v>
      </c>
      <c r="U772" t="s">
        <v>4678</v>
      </c>
      <c r="X772">
        <v>1</v>
      </c>
      <c r="AA772">
        <v>0</v>
      </c>
    </row>
    <row r="773" spans="1:27">
      <c r="A773" s="1">
        <v>771</v>
      </c>
      <c r="B773">
        <v>7071759</v>
      </c>
      <c r="C773" t="s">
        <v>801</v>
      </c>
      <c r="D773" t="s">
        <v>1693</v>
      </c>
      <c r="E773" t="s">
        <v>2499</v>
      </c>
      <c r="F773" t="s">
        <v>2925</v>
      </c>
      <c r="G773">
        <f>"1402766513"</f>
        <v>0</v>
      </c>
      <c r="H773">
        <f>"9781402766510"</f>
        <v>0</v>
      </c>
      <c r="I773">
        <v>3</v>
      </c>
      <c r="J773">
        <v>3.87</v>
      </c>
      <c r="K773" t="s">
        <v>3388</v>
      </c>
      <c r="L773" t="s">
        <v>3492</v>
      </c>
      <c r="M773">
        <v>336</v>
      </c>
      <c r="N773">
        <v>2010</v>
      </c>
      <c r="O773">
        <v>2010</v>
      </c>
      <c r="P773" t="s">
        <v>3560</v>
      </c>
      <c r="Q773" t="s">
        <v>3785</v>
      </c>
      <c r="T773" t="s">
        <v>4621</v>
      </c>
      <c r="U773" t="s">
        <v>4679</v>
      </c>
      <c r="X773">
        <v>1</v>
      </c>
      <c r="AA773">
        <v>0</v>
      </c>
    </row>
    <row r="774" spans="1:27">
      <c r="A774" s="1">
        <v>772</v>
      </c>
      <c r="B774">
        <v>37415</v>
      </c>
      <c r="C774" t="s">
        <v>802</v>
      </c>
      <c r="D774" t="s">
        <v>1694</v>
      </c>
      <c r="E774" t="s">
        <v>2500</v>
      </c>
      <c r="G774">
        <f>"0061120065"</f>
        <v>0</v>
      </c>
      <c r="H774">
        <f>"9780061120060"</f>
        <v>0</v>
      </c>
      <c r="I774">
        <v>0</v>
      </c>
      <c r="J774">
        <v>3.97</v>
      </c>
      <c r="K774" t="s">
        <v>3389</v>
      </c>
      <c r="L774" t="s">
        <v>3491</v>
      </c>
      <c r="M774">
        <v>238</v>
      </c>
      <c r="N774">
        <v>2006</v>
      </c>
      <c r="O774">
        <v>1937</v>
      </c>
      <c r="Q774" t="s">
        <v>3837</v>
      </c>
      <c r="T774" t="s">
        <v>4621</v>
      </c>
      <c r="X774">
        <v>1</v>
      </c>
      <c r="AA774">
        <v>0</v>
      </c>
    </row>
    <row r="775" spans="1:27">
      <c r="A775" s="1">
        <v>773</v>
      </c>
      <c r="B775">
        <v>1898</v>
      </c>
      <c r="C775" t="s">
        <v>803</v>
      </c>
      <c r="D775" t="s">
        <v>1695</v>
      </c>
      <c r="E775" t="s">
        <v>2501</v>
      </c>
      <c r="G775">
        <f>""</f>
        <v>0</v>
      </c>
      <c r="H775">
        <f>""</f>
        <v>0</v>
      </c>
      <c r="I775">
        <v>4</v>
      </c>
      <c r="J775">
        <v>4.21</v>
      </c>
      <c r="K775" t="s">
        <v>3283</v>
      </c>
      <c r="L775" t="s">
        <v>3491</v>
      </c>
      <c r="M775">
        <v>368</v>
      </c>
      <c r="N775">
        <v>1999</v>
      </c>
      <c r="O775">
        <v>1997</v>
      </c>
      <c r="P775" t="s">
        <v>3561</v>
      </c>
      <c r="Q775" t="s">
        <v>3838</v>
      </c>
      <c r="T775" t="s">
        <v>4621</v>
      </c>
      <c r="U775" t="s">
        <v>4680</v>
      </c>
      <c r="X775">
        <v>1</v>
      </c>
      <c r="AA775">
        <v>0</v>
      </c>
    </row>
    <row r="776" spans="1:27">
      <c r="A776" s="1">
        <v>774</v>
      </c>
      <c r="B776">
        <v>828890</v>
      </c>
      <c r="C776" t="s">
        <v>804</v>
      </c>
      <c r="D776" t="s">
        <v>1696</v>
      </c>
      <c r="E776" t="s">
        <v>2502</v>
      </c>
      <c r="G776">
        <f>"0684869683"</f>
        <v>0</v>
      </c>
      <c r="H776">
        <f>"9780684869681"</f>
        <v>0</v>
      </c>
      <c r="I776">
        <v>3</v>
      </c>
      <c r="J776">
        <v>3.48</v>
      </c>
      <c r="K776" t="s">
        <v>3356</v>
      </c>
      <c r="L776" t="s">
        <v>3491</v>
      </c>
      <c r="M776">
        <v>336</v>
      </c>
      <c r="N776">
        <v>2000</v>
      </c>
      <c r="O776">
        <v>1999</v>
      </c>
      <c r="P776" t="s">
        <v>3562</v>
      </c>
      <c r="Q776" t="s">
        <v>3751</v>
      </c>
      <c r="T776" t="s">
        <v>4621</v>
      </c>
      <c r="U776" t="s">
        <v>4681</v>
      </c>
      <c r="X776">
        <v>1</v>
      </c>
      <c r="AA776">
        <v>0</v>
      </c>
    </row>
    <row r="777" spans="1:27">
      <c r="A777" s="1">
        <v>775</v>
      </c>
      <c r="B777">
        <v>843923</v>
      </c>
      <c r="C777" t="s">
        <v>805</v>
      </c>
      <c r="D777" t="s">
        <v>1697</v>
      </c>
      <c r="E777" t="s">
        <v>2503</v>
      </c>
      <c r="F777" t="s">
        <v>2926</v>
      </c>
      <c r="G777">
        <f>"0896892972"</f>
        <v>0</v>
      </c>
      <c r="H777">
        <f>"9780896892972"</f>
        <v>0</v>
      </c>
      <c r="I777">
        <v>0</v>
      </c>
      <c r="J777">
        <v>4.33</v>
      </c>
      <c r="K777" t="s">
        <v>3390</v>
      </c>
      <c r="L777" t="s">
        <v>3491</v>
      </c>
      <c r="M777">
        <v>552</v>
      </c>
      <c r="N777">
        <v>2006</v>
      </c>
      <c r="O777">
        <v>1969</v>
      </c>
      <c r="Q777" t="s">
        <v>3839</v>
      </c>
      <c r="R777" t="s">
        <v>3863</v>
      </c>
      <c r="S777" t="s">
        <v>4437</v>
      </c>
      <c r="T777" t="s">
        <v>3863</v>
      </c>
      <c r="X777">
        <v>0</v>
      </c>
      <c r="AA777">
        <v>0</v>
      </c>
    </row>
    <row r="778" spans="1:27">
      <c r="A778" s="1">
        <v>776</v>
      </c>
      <c r="B778">
        <v>54479</v>
      </c>
      <c r="C778" t="s">
        <v>806</v>
      </c>
      <c r="D778" t="s">
        <v>1522</v>
      </c>
      <c r="E778" t="s">
        <v>2328</v>
      </c>
      <c r="F778" t="s">
        <v>2927</v>
      </c>
      <c r="G778">
        <f>"014044906X"</f>
        <v>0</v>
      </c>
      <c r="H778">
        <f>"9780140449068"</f>
        <v>0</v>
      </c>
      <c r="I778">
        <v>2</v>
      </c>
      <c r="J778">
        <v>3.94</v>
      </c>
      <c r="K778" t="s">
        <v>3264</v>
      </c>
      <c r="L778" t="s">
        <v>3491</v>
      </c>
      <c r="M778">
        <v>252</v>
      </c>
      <c r="N778">
        <v>2004</v>
      </c>
      <c r="O778">
        <v>1872</v>
      </c>
      <c r="P778" t="s">
        <v>3563</v>
      </c>
      <c r="Q778" t="s">
        <v>3593</v>
      </c>
      <c r="T778" t="s">
        <v>4621</v>
      </c>
      <c r="X778">
        <v>1</v>
      </c>
      <c r="AA778">
        <v>0</v>
      </c>
    </row>
    <row r="779" spans="1:27">
      <c r="A779" s="1">
        <v>777</v>
      </c>
      <c r="B779">
        <v>687930</v>
      </c>
      <c r="C779" t="s">
        <v>807</v>
      </c>
      <c r="D779" t="s">
        <v>1698</v>
      </c>
      <c r="E779" t="s">
        <v>2504</v>
      </c>
      <c r="G779">
        <f>"0571221777"</f>
        <v>0</v>
      </c>
      <c r="H779">
        <f>"9780571221776"</f>
        <v>0</v>
      </c>
      <c r="I779">
        <v>0</v>
      </c>
      <c r="J779">
        <v>3.47</v>
      </c>
      <c r="K779" t="s">
        <v>3391</v>
      </c>
      <c r="L779" t="s">
        <v>3491</v>
      </c>
      <c r="M779">
        <v>233</v>
      </c>
      <c r="N779">
        <v>2004</v>
      </c>
      <c r="O779">
        <v>1995</v>
      </c>
      <c r="Q779" t="s">
        <v>3563</v>
      </c>
      <c r="R779" t="s">
        <v>3863</v>
      </c>
      <c r="S779" t="s">
        <v>4438</v>
      </c>
      <c r="T779" t="s">
        <v>3863</v>
      </c>
      <c r="X779">
        <v>0</v>
      </c>
      <c r="AA779">
        <v>0</v>
      </c>
    </row>
    <row r="780" spans="1:27">
      <c r="A780" s="1">
        <v>778</v>
      </c>
      <c r="B780">
        <v>42343</v>
      </c>
      <c r="C780" t="s">
        <v>808</v>
      </c>
      <c r="D780" t="s">
        <v>1699</v>
      </c>
      <c r="E780" t="s">
        <v>2505</v>
      </c>
      <c r="F780" t="s">
        <v>2928</v>
      </c>
      <c r="G780">
        <f>"006097771X"</f>
        <v>0</v>
      </c>
      <c r="H780">
        <f>"9780060977719"</f>
        <v>0</v>
      </c>
      <c r="I780">
        <v>0</v>
      </c>
      <c r="J780">
        <v>4.21</v>
      </c>
      <c r="K780" t="s">
        <v>3392</v>
      </c>
      <c r="L780" t="s">
        <v>3491</v>
      </c>
      <c r="M780">
        <v>432</v>
      </c>
      <c r="N780">
        <v>2000</v>
      </c>
      <c r="O780">
        <v>1998</v>
      </c>
      <c r="Q780" t="s">
        <v>3840</v>
      </c>
      <c r="R780" t="s">
        <v>3863</v>
      </c>
      <c r="S780" t="s">
        <v>4439</v>
      </c>
      <c r="T780" t="s">
        <v>3863</v>
      </c>
      <c r="X780">
        <v>0</v>
      </c>
      <c r="AA780">
        <v>0</v>
      </c>
    </row>
    <row r="781" spans="1:27">
      <c r="A781" s="1">
        <v>779</v>
      </c>
      <c r="B781">
        <v>14568663</v>
      </c>
      <c r="C781" t="s">
        <v>809</v>
      </c>
      <c r="D781" t="s">
        <v>1700</v>
      </c>
      <c r="E781" t="s">
        <v>2506</v>
      </c>
      <c r="F781" t="s">
        <v>2929</v>
      </c>
      <c r="G781">
        <f>"1907677763"</f>
        <v>0</v>
      </c>
      <c r="H781">
        <f>"9781907677762"</f>
        <v>0</v>
      </c>
      <c r="I781">
        <v>0</v>
      </c>
      <c r="J781">
        <v>3.91</v>
      </c>
      <c r="K781" t="s">
        <v>3393</v>
      </c>
      <c r="L781" t="s">
        <v>3492</v>
      </c>
      <c r="M781">
        <v>256</v>
      </c>
      <c r="N781">
        <v>2012</v>
      </c>
      <c r="O781">
        <v>2012</v>
      </c>
      <c r="Q781" t="s">
        <v>3841</v>
      </c>
      <c r="R781" t="s">
        <v>3863</v>
      </c>
      <c r="S781" t="s">
        <v>4440</v>
      </c>
      <c r="T781" t="s">
        <v>3863</v>
      </c>
      <c r="X781">
        <v>0</v>
      </c>
      <c r="AA781">
        <v>0</v>
      </c>
    </row>
    <row r="782" spans="1:27">
      <c r="A782" s="1">
        <v>780</v>
      </c>
      <c r="B782">
        <v>17681595</v>
      </c>
      <c r="C782" t="s">
        <v>810</v>
      </c>
      <c r="D782" t="s">
        <v>1701</v>
      </c>
      <c r="E782" t="s">
        <v>2507</v>
      </c>
      <c r="F782" t="s">
        <v>2930</v>
      </c>
      <c r="G782">
        <f>"0988981440"</f>
        <v>0</v>
      </c>
      <c r="H782">
        <f>"9780988981447"</f>
        <v>0</v>
      </c>
      <c r="I782">
        <v>2</v>
      </c>
      <c r="J782">
        <v>4.04</v>
      </c>
      <c r="K782" t="s">
        <v>3394</v>
      </c>
      <c r="L782" t="s">
        <v>3491</v>
      </c>
      <c r="M782">
        <v>250</v>
      </c>
      <c r="N782">
        <v>2013</v>
      </c>
      <c r="O782">
        <v>1977</v>
      </c>
      <c r="P782" t="s">
        <v>3564</v>
      </c>
      <c r="Q782" t="s">
        <v>3592</v>
      </c>
      <c r="T782" t="s">
        <v>4621</v>
      </c>
      <c r="U782" t="s">
        <v>4682</v>
      </c>
      <c r="X782">
        <v>1</v>
      </c>
      <c r="AA782">
        <v>0</v>
      </c>
    </row>
    <row r="783" spans="1:27">
      <c r="A783" s="1">
        <v>781</v>
      </c>
      <c r="B783">
        <v>6693</v>
      </c>
      <c r="C783" t="s">
        <v>811</v>
      </c>
      <c r="D783" t="s">
        <v>1702</v>
      </c>
      <c r="E783" t="s">
        <v>2508</v>
      </c>
      <c r="F783" t="s">
        <v>2931</v>
      </c>
      <c r="G783">
        <f>"0375822070"</f>
        <v>0</v>
      </c>
      <c r="H783">
        <f>"9780375822070"</f>
        <v>0</v>
      </c>
      <c r="I783">
        <v>0</v>
      </c>
      <c r="J783">
        <v>4.07</v>
      </c>
      <c r="K783" t="s">
        <v>3395</v>
      </c>
      <c r="L783" t="s">
        <v>3492</v>
      </c>
      <c r="M783">
        <v>96</v>
      </c>
      <c r="N783">
        <v>2002</v>
      </c>
      <c r="O783">
        <v>1970</v>
      </c>
      <c r="Q783" t="s">
        <v>3754</v>
      </c>
      <c r="T783" t="s">
        <v>4621</v>
      </c>
      <c r="X783">
        <v>1</v>
      </c>
      <c r="AA783">
        <v>0</v>
      </c>
    </row>
    <row r="784" spans="1:27">
      <c r="A784" s="1">
        <v>782</v>
      </c>
      <c r="B784">
        <v>6689</v>
      </c>
      <c r="C784" t="s">
        <v>812</v>
      </c>
      <c r="D784" t="s">
        <v>1702</v>
      </c>
      <c r="E784" t="s">
        <v>2508</v>
      </c>
      <c r="F784" t="s">
        <v>2931</v>
      </c>
      <c r="G784">
        <f>"0375814248"</f>
        <v>0</v>
      </c>
      <c r="H784">
        <f>"9780375814242"</f>
        <v>0</v>
      </c>
      <c r="I784">
        <v>0</v>
      </c>
      <c r="J784">
        <v>4.02</v>
      </c>
      <c r="K784" t="s">
        <v>3396</v>
      </c>
      <c r="L784" t="s">
        <v>3492</v>
      </c>
      <c r="M784">
        <v>146</v>
      </c>
      <c r="N784">
        <v>2002</v>
      </c>
      <c r="O784">
        <v>1961</v>
      </c>
      <c r="Q784" t="s">
        <v>3754</v>
      </c>
      <c r="T784" t="s">
        <v>4621</v>
      </c>
      <c r="X784">
        <v>1</v>
      </c>
      <c r="AA784">
        <v>0</v>
      </c>
    </row>
    <row r="785" spans="1:27">
      <c r="A785" s="1">
        <v>783</v>
      </c>
      <c r="B785">
        <v>6319</v>
      </c>
      <c r="C785" t="s">
        <v>813</v>
      </c>
      <c r="D785" t="s">
        <v>1702</v>
      </c>
      <c r="E785" t="s">
        <v>2508</v>
      </c>
      <c r="F785" t="s">
        <v>2931</v>
      </c>
      <c r="G785">
        <f>"0141311371"</f>
        <v>0</v>
      </c>
      <c r="H785">
        <f>"9780141311371"</f>
        <v>0</v>
      </c>
      <c r="I785">
        <v>0</v>
      </c>
      <c r="J785">
        <v>4.22</v>
      </c>
      <c r="K785" t="s">
        <v>3397</v>
      </c>
      <c r="L785" t="s">
        <v>3491</v>
      </c>
      <c r="M785">
        <v>199</v>
      </c>
      <c r="N785">
        <v>2001</v>
      </c>
      <c r="O785">
        <v>1982</v>
      </c>
      <c r="Q785" t="s">
        <v>3754</v>
      </c>
      <c r="T785" t="s">
        <v>4621</v>
      </c>
      <c r="X785">
        <v>1</v>
      </c>
      <c r="AA785">
        <v>0</v>
      </c>
    </row>
    <row r="786" spans="1:27">
      <c r="A786" s="1">
        <v>784</v>
      </c>
      <c r="B786">
        <v>39988</v>
      </c>
      <c r="C786" t="s">
        <v>814</v>
      </c>
      <c r="D786" t="s">
        <v>1702</v>
      </c>
      <c r="E786" t="s">
        <v>2508</v>
      </c>
      <c r="F786" t="s">
        <v>2931</v>
      </c>
      <c r="G786">
        <f>"0141301066"</f>
        <v>0</v>
      </c>
      <c r="H786">
        <f>"9780141301068"</f>
        <v>0</v>
      </c>
      <c r="I786">
        <v>0</v>
      </c>
      <c r="J786">
        <v>4.33</v>
      </c>
      <c r="K786" t="s">
        <v>3397</v>
      </c>
      <c r="L786" t="s">
        <v>3491</v>
      </c>
      <c r="M786">
        <v>240</v>
      </c>
      <c r="N786">
        <v>1998</v>
      </c>
      <c r="O786">
        <v>1988</v>
      </c>
      <c r="Q786" t="s">
        <v>3754</v>
      </c>
      <c r="T786" t="s">
        <v>4621</v>
      </c>
      <c r="X786">
        <v>1</v>
      </c>
      <c r="AA786">
        <v>0</v>
      </c>
    </row>
    <row r="787" spans="1:27">
      <c r="A787" s="1">
        <v>785</v>
      </c>
      <c r="B787">
        <v>10176119</v>
      </c>
      <c r="C787" t="s">
        <v>815</v>
      </c>
      <c r="D787" t="s">
        <v>1703</v>
      </c>
      <c r="E787" t="s">
        <v>2509</v>
      </c>
      <c r="G787">
        <f>""</f>
        <v>0</v>
      </c>
      <c r="H787">
        <f>""</f>
        <v>0</v>
      </c>
      <c r="I787">
        <v>0</v>
      </c>
      <c r="J787">
        <v>4.18</v>
      </c>
      <c r="K787" t="s">
        <v>3398</v>
      </c>
      <c r="L787" t="s">
        <v>3494</v>
      </c>
      <c r="M787">
        <v>9</v>
      </c>
      <c r="N787">
        <v>1961</v>
      </c>
      <c r="O787">
        <v>1961</v>
      </c>
      <c r="Q787" t="s">
        <v>3565</v>
      </c>
      <c r="R787" t="s">
        <v>3863</v>
      </c>
      <c r="S787" t="s">
        <v>4441</v>
      </c>
      <c r="T787" t="s">
        <v>3863</v>
      </c>
      <c r="X787">
        <v>0</v>
      </c>
      <c r="AA787">
        <v>0</v>
      </c>
    </row>
    <row r="788" spans="1:27">
      <c r="A788" s="1">
        <v>786</v>
      </c>
      <c r="B788">
        <v>84981</v>
      </c>
      <c r="C788" t="s">
        <v>816</v>
      </c>
      <c r="D788" t="s">
        <v>1704</v>
      </c>
      <c r="E788" t="s">
        <v>2510</v>
      </c>
      <c r="G788">
        <f>"0374480095"</f>
        <v>0</v>
      </c>
      <c r="H788">
        <f>"9780374480097"</f>
        <v>0</v>
      </c>
      <c r="I788">
        <v>0</v>
      </c>
      <c r="J788">
        <v>3.89</v>
      </c>
      <c r="K788" t="s">
        <v>3352</v>
      </c>
      <c r="L788" t="s">
        <v>3491</v>
      </c>
      <c r="M788">
        <v>148</v>
      </c>
      <c r="N788">
        <v>1985</v>
      </c>
      <c r="O788">
        <v>1975</v>
      </c>
      <c r="Q788" t="s">
        <v>3565</v>
      </c>
      <c r="R788" t="s">
        <v>3863</v>
      </c>
      <c r="S788" t="s">
        <v>4442</v>
      </c>
      <c r="T788" t="s">
        <v>3863</v>
      </c>
      <c r="X788">
        <v>0</v>
      </c>
      <c r="AA788">
        <v>0</v>
      </c>
    </row>
    <row r="789" spans="1:27">
      <c r="A789" s="1">
        <v>787</v>
      </c>
      <c r="B789">
        <v>9938498</v>
      </c>
      <c r="C789" t="s">
        <v>817</v>
      </c>
      <c r="D789" t="s">
        <v>1326</v>
      </c>
      <c r="E789" t="s">
        <v>2132</v>
      </c>
      <c r="G789">
        <f>"0307408841"</f>
        <v>0</v>
      </c>
      <c r="H789">
        <f>"9780307408846"</f>
        <v>0</v>
      </c>
      <c r="I789">
        <v>5</v>
      </c>
      <c r="J789">
        <v>3.86</v>
      </c>
      <c r="K789" t="s">
        <v>3350</v>
      </c>
      <c r="L789" t="s">
        <v>3492</v>
      </c>
      <c r="M789">
        <v>448</v>
      </c>
      <c r="N789">
        <v>2011</v>
      </c>
      <c r="O789">
        <v>2011</v>
      </c>
      <c r="P789" t="s">
        <v>3565</v>
      </c>
      <c r="Q789" t="s">
        <v>3842</v>
      </c>
      <c r="T789" t="s">
        <v>4621</v>
      </c>
      <c r="U789" t="s">
        <v>4683</v>
      </c>
      <c r="X789">
        <v>1</v>
      </c>
      <c r="AA789">
        <v>0</v>
      </c>
    </row>
    <row r="790" spans="1:27">
      <c r="A790" s="1">
        <v>788</v>
      </c>
      <c r="B790">
        <v>133394</v>
      </c>
      <c r="C790" t="s">
        <v>818</v>
      </c>
      <c r="D790" t="s">
        <v>1076</v>
      </c>
      <c r="E790" t="s">
        <v>1883</v>
      </c>
      <c r="G790">
        <f>"0140184937"</f>
        <v>0</v>
      </c>
      <c r="H790">
        <f>"9780140184938"</f>
        <v>0</v>
      </c>
      <c r="I790">
        <v>0</v>
      </c>
      <c r="J790">
        <v>3.95</v>
      </c>
      <c r="K790" t="s">
        <v>3399</v>
      </c>
      <c r="L790" t="s">
        <v>3491</v>
      </c>
      <c r="M790">
        <v>220</v>
      </c>
      <c r="N790">
        <v>1991</v>
      </c>
      <c r="O790">
        <v>1958</v>
      </c>
      <c r="Q790" t="s">
        <v>3812</v>
      </c>
      <c r="R790" t="s">
        <v>3863</v>
      </c>
      <c r="S790" t="s">
        <v>4443</v>
      </c>
      <c r="T790" t="s">
        <v>3863</v>
      </c>
      <c r="X790">
        <v>0</v>
      </c>
      <c r="AA790">
        <v>0</v>
      </c>
    </row>
    <row r="791" spans="1:27">
      <c r="A791" s="1">
        <v>789</v>
      </c>
      <c r="B791">
        <v>12691</v>
      </c>
      <c r="C791" t="s">
        <v>819</v>
      </c>
      <c r="D791" t="s">
        <v>1705</v>
      </c>
      <c r="E791" t="s">
        <v>2511</v>
      </c>
      <c r="F791" t="s">
        <v>2932</v>
      </c>
      <c r="G791">
        <f>"0739461192"</f>
        <v>0</v>
      </c>
      <c r="H791">
        <f>"9780739461198"</f>
        <v>0</v>
      </c>
      <c r="I791">
        <v>0</v>
      </c>
      <c r="J791">
        <v>4.13</v>
      </c>
      <c r="K791" t="s">
        <v>3400</v>
      </c>
      <c r="L791" t="s">
        <v>3492</v>
      </c>
      <c r="M791">
        <v>291</v>
      </c>
      <c r="N791">
        <v>2005</v>
      </c>
      <c r="O791">
        <v>2005</v>
      </c>
      <c r="Q791" t="s">
        <v>3812</v>
      </c>
      <c r="T791" t="s">
        <v>4621</v>
      </c>
      <c r="X791">
        <v>1</v>
      </c>
      <c r="AA791">
        <v>0</v>
      </c>
    </row>
    <row r="792" spans="1:27">
      <c r="A792" s="1">
        <v>790</v>
      </c>
      <c r="B792">
        <v>21413662</v>
      </c>
      <c r="C792" t="s">
        <v>820</v>
      </c>
      <c r="D792" t="s">
        <v>1706</v>
      </c>
      <c r="E792" t="s">
        <v>2512</v>
      </c>
      <c r="G792">
        <f>"0544272994"</f>
        <v>0</v>
      </c>
      <c r="H792">
        <f>"9780544272996"</f>
        <v>0</v>
      </c>
      <c r="I792">
        <v>0</v>
      </c>
      <c r="J792">
        <v>4.14</v>
      </c>
      <c r="K792" t="s">
        <v>3107</v>
      </c>
      <c r="L792" t="s">
        <v>3492</v>
      </c>
      <c r="M792">
        <v>303</v>
      </c>
      <c r="N792">
        <v>2014</v>
      </c>
      <c r="O792">
        <v>2014</v>
      </c>
      <c r="Q792" t="s">
        <v>3812</v>
      </c>
      <c r="R792" t="s">
        <v>3863</v>
      </c>
      <c r="S792" t="s">
        <v>4444</v>
      </c>
      <c r="T792" t="s">
        <v>3863</v>
      </c>
      <c r="X792">
        <v>0</v>
      </c>
      <c r="AA792">
        <v>0</v>
      </c>
    </row>
    <row r="793" spans="1:27">
      <c r="A793" s="1">
        <v>791</v>
      </c>
      <c r="B793">
        <v>1845</v>
      </c>
      <c r="C793" t="s">
        <v>821</v>
      </c>
      <c r="D793" t="s">
        <v>1695</v>
      </c>
      <c r="E793" t="s">
        <v>2501</v>
      </c>
      <c r="G793">
        <f>"0385486804"</f>
        <v>0</v>
      </c>
      <c r="H793">
        <f>"9780385486804"</f>
        <v>0</v>
      </c>
      <c r="I793">
        <v>0</v>
      </c>
      <c r="J793">
        <v>4</v>
      </c>
      <c r="K793" t="s">
        <v>3283</v>
      </c>
      <c r="L793" t="s">
        <v>3491</v>
      </c>
      <c r="M793">
        <v>203</v>
      </c>
      <c r="N793">
        <v>1997</v>
      </c>
      <c r="O793">
        <v>1996</v>
      </c>
      <c r="Q793" t="s">
        <v>3812</v>
      </c>
      <c r="R793" t="s">
        <v>3863</v>
      </c>
      <c r="S793" t="s">
        <v>4445</v>
      </c>
      <c r="T793" t="s">
        <v>3863</v>
      </c>
      <c r="X793">
        <v>0</v>
      </c>
      <c r="AA793">
        <v>0</v>
      </c>
    </row>
    <row r="794" spans="1:27">
      <c r="A794" s="1">
        <v>792</v>
      </c>
      <c r="B794">
        <v>8664353</v>
      </c>
      <c r="C794" t="s">
        <v>822</v>
      </c>
      <c r="D794" t="s">
        <v>1707</v>
      </c>
      <c r="E794" t="s">
        <v>2513</v>
      </c>
      <c r="G794">
        <f>"1400064163"</f>
        <v>0</v>
      </c>
      <c r="H794">
        <f>"9781400064168"</f>
        <v>0</v>
      </c>
      <c r="I794">
        <v>0</v>
      </c>
      <c r="J794">
        <v>4.36</v>
      </c>
      <c r="K794" t="s">
        <v>3039</v>
      </c>
      <c r="L794" t="s">
        <v>3492</v>
      </c>
      <c r="M794">
        <v>492</v>
      </c>
      <c r="N794">
        <v>2010</v>
      </c>
      <c r="O794">
        <v>2010</v>
      </c>
      <c r="Q794" t="s">
        <v>3812</v>
      </c>
      <c r="R794" t="s">
        <v>3863</v>
      </c>
      <c r="S794" t="s">
        <v>4446</v>
      </c>
      <c r="T794" t="s">
        <v>3863</v>
      </c>
      <c r="X794">
        <v>0</v>
      </c>
      <c r="AA794">
        <v>0</v>
      </c>
    </row>
    <row r="795" spans="1:27">
      <c r="A795" s="1">
        <v>793</v>
      </c>
      <c r="B795">
        <v>2199</v>
      </c>
      <c r="C795" t="s">
        <v>823</v>
      </c>
      <c r="D795" t="s">
        <v>1708</v>
      </c>
      <c r="E795" t="s">
        <v>2514</v>
      </c>
      <c r="G795">
        <f>""</f>
        <v>0</v>
      </c>
      <c r="H795">
        <f>""</f>
        <v>0</v>
      </c>
      <c r="I795">
        <v>0</v>
      </c>
      <c r="J795">
        <v>4.25</v>
      </c>
      <c r="K795" t="s">
        <v>3097</v>
      </c>
      <c r="L795" t="s">
        <v>3491</v>
      </c>
      <c r="M795">
        <v>916</v>
      </c>
      <c r="N795">
        <v>2006</v>
      </c>
      <c r="O795">
        <v>2005</v>
      </c>
      <c r="Q795" t="s">
        <v>3812</v>
      </c>
      <c r="R795" t="s">
        <v>3863</v>
      </c>
      <c r="S795" t="s">
        <v>4447</v>
      </c>
      <c r="T795" t="s">
        <v>3863</v>
      </c>
      <c r="X795">
        <v>0</v>
      </c>
      <c r="AA795">
        <v>0</v>
      </c>
    </row>
    <row r="796" spans="1:27">
      <c r="A796" s="1">
        <v>794</v>
      </c>
      <c r="B796">
        <v>36794252</v>
      </c>
      <c r="C796" t="s">
        <v>824</v>
      </c>
      <c r="D796" t="s">
        <v>1709</v>
      </c>
      <c r="E796" t="s">
        <v>2515</v>
      </c>
      <c r="G796">
        <f>"0199646309"</f>
        <v>0</v>
      </c>
      <c r="H796">
        <f>"9780199646302"</f>
        <v>0</v>
      </c>
      <c r="I796">
        <v>0</v>
      </c>
      <c r="J796">
        <v>4</v>
      </c>
      <c r="K796" t="s">
        <v>3061</v>
      </c>
      <c r="L796" t="s">
        <v>3492</v>
      </c>
      <c r="M796">
        <v>432</v>
      </c>
      <c r="N796">
        <v>2018</v>
      </c>
      <c r="Q796" t="s">
        <v>3843</v>
      </c>
      <c r="R796" t="s">
        <v>3863</v>
      </c>
      <c r="S796" t="s">
        <v>4448</v>
      </c>
      <c r="T796" t="s">
        <v>3863</v>
      </c>
      <c r="X796">
        <v>0</v>
      </c>
      <c r="AA796">
        <v>0</v>
      </c>
    </row>
    <row r="797" spans="1:27">
      <c r="A797" s="1">
        <v>795</v>
      </c>
      <c r="B797">
        <v>153747</v>
      </c>
      <c r="C797" t="s">
        <v>825</v>
      </c>
      <c r="D797" t="s">
        <v>1710</v>
      </c>
      <c r="E797" t="s">
        <v>2516</v>
      </c>
      <c r="F797" t="s">
        <v>2933</v>
      </c>
      <c r="G797">
        <f>"0142437247"</f>
        <v>0</v>
      </c>
      <c r="H797">
        <f>"9780142437247"</f>
        <v>0</v>
      </c>
      <c r="I797">
        <v>0</v>
      </c>
      <c r="J797">
        <v>3.53</v>
      </c>
      <c r="K797" t="s">
        <v>3379</v>
      </c>
      <c r="L797" t="s">
        <v>3491</v>
      </c>
      <c r="M797">
        <v>654</v>
      </c>
      <c r="N797">
        <v>2003</v>
      </c>
      <c r="O797">
        <v>1851</v>
      </c>
      <c r="Q797" t="s">
        <v>3600</v>
      </c>
      <c r="R797" t="s">
        <v>3863</v>
      </c>
      <c r="S797" t="s">
        <v>4449</v>
      </c>
      <c r="T797" t="s">
        <v>3863</v>
      </c>
      <c r="X797">
        <v>0</v>
      </c>
      <c r="AA797">
        <v>0</v>
      </c>
    </row>
    <row r="798" spans="1:27">
      <c r="A798" s="1">
        <v>796</v>
      </c>
      <c r="B798">
        <v>46787</v>
      </c>
      <c r="C798" t="s">
        <v>826</v>
      </c>
      <c r="D798" t="s">
        <v>1711</v>
      </c>
      <c r="E798" t="s">
        <v>2517</v>
      </c>
      <c r="F798" t="s">
        <v>2934</v>
      </c>
      <c r="G798">
        <f>""</f>
        <v>0</v>
      </c>
      <c r="H798">
        <f>""</f>
        <v>0</v>
      </c>
      <c r="I798">
        <v>0</v>
      </c>
      <c r="J798">
        <v>3.89</v>
      </c>
      <c r="K798" t="s">
        <v>3401</v>
      </c>
      <c r="L798" t="s">
        <v>3491</v>
      </c>
      <c r="M798">
        <v>438</v>
      </c>
      <c r="N798">
        <v>1999</v>
      </c>
      <c r="O798">
        <v>1852</v>
      </c>
      <c r="Q798" t="s">
        <v>3600</v>
      </c>
      <c r="R798" t="s">
        <v>3863</v>
      </c>
      <c r="S798" t="s">
        <v>4450</v>
      </c>
      <c r="T798" t="s">
        <v>3863</v>
      </c>
      <c r="X798">
        <v>0</v>
      </c>
      <c r="AA798">
        <v>0</v>
      </c>
    </row>
    <row r="799" spans="1:27">
      <c r="A799" s="1">
        <v>797</v>
      </c>
      <c r="B799">
        <v>70535</v>
      </c>
      <c r="C799" t="s">
        <v>827</v>
      </c>
      <c r="D799" t="s">
        <v>1476</v>
      </c>
      <c r="E799" t="s">
        <v>2282</v>
      </c>
      <c r="G799">
        <f>"0451457994"</f>
        <v>0</v>
      </c>
      <c r="H799">
        <f>"9780451457998"</f>
        <v>0</v>
      </c>
      <c r="I799">
        <v>0</v>
      </c>
      <c r="J799">
        <v>4.16</v>
      </c>
      <c r="K799" t="s">
        <v>3402</v>
      </c>
      <c r="L799" t="s">
        <v>3491</v>
      </c>
      <c r="M799">
        <v>297</v>
      </c>
      <c r="N799">
        <v>2000</v>
      </c>
      <c r="O799">
        <v>1968</v>
      </c>
      <c r="Q799" t="s">
        <v>3600</v>
      </c>
      <c r="R799" t="s">
        <v>3863</v>
      </c>
      <c r="S799" t="s">
        <v>4451</v>
      </c>
      <c r="T799" t="s">
        <v>3863</v>
      </c>
      <c r="X799">
        <v>0</v>
      </c>
      <c r="AA799">
        <v>0</v>
      </c>
    </row>
    <row r="800" spans="1:27">
      <c r="A800" s="1">
        <v>798</v>
      </c>
      <c r="B800">
        <v>18007564</v>
      </c>
      <c r="C800" t="s">
        <v>828</v>
      </c>
      <c r="D800" t="s">
        <v>1069</v>
      </c>
      <c r="E800" t="s">
        <v>1875</v>
      </c>
      <c r="G800">
        <f>"0804139024"</f>
        <v>0</v>
      </c>
      <c r="H800">
        <f>"9780804139021"</f>
        <v>0</v>
      </c>
      <c r="I800">
        <v>0</v>
      </c>
      <c r="J800">
        <v>4.41</v>
      </c>
      <c r="K800" t="s">
        <v>3350</v>
      </c>
      <c r="L800" t="s">
        <v>3492</v>
      </c>
      <c r="M800">
        <v>384</v>
      </c>
      <c r="N800">
        <v>2014</v>
      </c>
      <c r="O800">
        <v>2011</v>
      </c>
      <c r="Q800" t="s">
        <v>3600</v>
      </c>
      <c r="R800" t="s">
        <v>3863</v>
      </c>
      <c r="S800" t="s">
        <v>4452</v>
      </c>
      <c r="T800" t="s">
        <v>3863</v>
      </c>
      <c r="X800">
        <v>0</v>
      </c>
      <c r="AA800">
        <v>0</v>
      </c>
    </row>
    <row r="801" spans="1:27">
      <c r="A801" s="1">
        <v>799</v>
      </c>
      <c r="B801">
        <v>77270</v>
      </c>
      <c r="C801" t="s">
        <v>829</v>
      </c>
      <c r="D801" t="s">
        <v>1712</v>
      </c>
      <c r="E801" t="s">
        <v>2518</v>
      </c>
      <c r="G801">
        <f>"0812504690"</f>
        <v>0</v>
      </c>
      <c r="H801">
        <f>"9780812504699"</f>
        <v>0</v>
      </c>
      <c r="I801">
        <v>0</v>
      </c>
      <c r="J801">
        <v>3.91</v>
      </c>
      <c r="K801" t="s">
        <v>3403</v>
      </c>
      <c r="L801" t="s">
        <v>3491</v>
      </c>
      <c r="M801">
        <v>277</v>
      </c>
      <c r="N801">
        <v>1992</v>
      </c>
      <c r="O801">
        <v>1894</v>
      </c>
      <c r="Q801" t="s">
        <v>3600</v>
      </c>
      <c r="R801" t="s">
        <v>3863</v>
      </c>
      <c r="S801" t="s">
        <v>4453</v>
      </c>
      <c r="T801" t="s">
        <v>3863</v>
      </c>
      <c r="X801">
        <v>0</v>
      </c>
      <c r="AA801">
        <v>0</v>
      </c>
    </row>
    <row r="802" spans="1:27">
      <c r="A802" s="1">
        <v>800</v>
      </c>
      <c r="B802">
        <v>43171395</v>
      </c>
      <c r="C802" t="s">
        <v>830</v>
      </c>
      <c r="D802" t="s">
        <v>1713</v>
      </c>
      <c r="E802" t="s">
        <v>2519</v>
      </c>
      <c r="F802" t="s">
        <v>2935</v>
      </c>
      <c r="G802">
        <f>"9056918184"</f>
        <v>0</v>
      </c>
      <c r="H802">
        <f>"9789056918187"</f>
        <v>0</v>
      </c>
      <c r="I802">
        <v>0</v>
      </c>
      <c r="J802">
        <v>4.22</v>
      </c>
      <c r="K802" t="s">
        <v>3404</v>
      </c>
      <c r="L802" t="s">
        <v>3491</v>
      </c>
      <c r="M802">
        <v>416</v>
      </c>
      <c r="N802">
        <v>2019</v>
      </c>
      <c r="O802">
        <v>2019</v>
      </c>
      <c r="Q802" t="s">
        <v>3600</v>
      </c>
      <c r="R802" t="s">
        <v>3863</v>
      </c>
      <c r="S802" t="s">
        <v>4454</v>
      </c>
      <c r="T802" t="s">
        <v>3863</v>
      </c>
      <c r="X802">
        <v>0</v>
      </c>
      <c r="AA802">
        <v>0</v>
      </c>
    </row>
    <row r="803" spans="1:27">
      <c r="A803" s="1">
        <v>801</v>
      </c>
      <c r="B803">
        <v>11468377</v>
      </c>
      <c r="C803" t="s">
        <v>831</v>
      </c>
      <c r="D803" t="s">
        <v>1714</v>
      </c>
      <c r="E803" t="s">
        <v>2520</v>
      </c>
      <c r="G803">
        <f>"0374275637"</f>
        <v>0</v>
      </c>
      <c r="H803">
        <f>"9780374275631"</f>
        <v>0</v>
      </c>
      <c r="I803">
        <v>0</v>
      </c>
      <c r="J803">
        <v>4.17</v>
      </c>
      <c r="K803" t="s">
        <v>3098</v>
      </c>
      <c r="L803" t="s">
        <v>3492</v>
      </c>
      <c r="M803">
        <v>499</v>
      </c>
      <c r="N803">
        <v>2011</v>
      </c>
      <c r="O803">
        <v>2011</v>
      </c>
      <c r="Q803" t="s">
        <v>3600</v>
      </c>
      <c r="R803" t="s">
        <v>3863</v>
      </c>
      <c r="S803" t="s">
        <v>4455</v>
      </c>
      <c r="T803" t="s">
        <v>3863</v>
      </c>
      <c r="X803">
        <v>0</v>
      </c>
      <c r="AA803">
        <v>0</v>
      </c>
    </row>
    <row r="804" spans="1:27">
      <c r="A804" s="1">
        <v>802</v>
      </c>
      <c r="B804">
        <v>544564</v>
      </c>
      <c r="C804" t="s">
        <v>832</v>
      </c>
      <c r="D804" t="s">
        <v>1062</v>
      </c>
      <c r="E804" t="s">
        <v>1868</v>
      </c>
      <c r="G804">
        <f>"0898868874"</f>
        <v>0</v>
      </c>
      <c r="H804">
        <f>"9780898868876"</f>
        <v>0</v>
      </c>
      <c r="I804">
        <v>4</v>
      </c>
      <c r="J804">
        <v>4.18</v>
      </c>
      <c r="K804" t="s">
        <v>3363</v>
      </c>
      <c r="L804" t="s">
        <v>3491</v>
      </c>
      <c r="M804">
        <v>192</v>
      </c>
      <c r="N804">
        <v>2002</v>
      </c>
      <c r="O804">
        <v>2001</v>
      </c>
      <c r="P804" t="s">
        <v>3566</v>
      </c>
      <c r="Q804" t="s">
        <v>3753</v>
      </c>
      <c r="T804" t="s">
        <v>4621</v>
      </c>
      <c r="U804" t="s">
        <v>4684</v>
      </c>
      <c r="X804">
        <v>1</v>
      </c>
      <c r="AA804">
        <v>0</v>
      </c>
    </row>
    <row r="805" spans="1:27">
      <c r="A805" s="1">
        <v>803</v>
      </c>
      <c r="B805">
        <v>761935</v>
      </c>
      <c r="C805" t="s">
        <v>833</v>
      </c>
      <c r="D805" t="s">
        <v>1715</v>
      </c>
      <c r="E805" t="s">
        <v>2521</v>
      </c>
      <c r="G805">
        <f>"0498016641"</f>
        <v>0</v>
      </c>
      <c r="H805">
        <f>"9780498016646"</f>
        <v>0</v>
      </c>
      <c r="I805">
        <v>0</v>
      </c>
      <c r="J805">
        <v>4.13</v>
      </c>
      <c r="K805" t="s">
        <v>3257</v>
      </c>
      <c r="L805" t="s">
        <v>3492</v>
      </c>
      <c r="M805">
        <v>166</v>
      </c>
      <c r="N805">
        <v>1975</v>
      </c>
      <c r="O805">
        <v>1958</v>
      </c>
      <c r="Q805" t="s">
        <v>3566</v>
      </c>
      <c r="R805" t="s">
        <v>3863</v>
      </c>
      <c r="S805" t="s">
        <v>4456</v>
      </c>
      <c r="T805" t="s">
        <v>3863</v>
      </c>
      <c r="X805">
        <v>0</v>
      </c>
      <c r="AA805">
        <v>0</v>
      </c>
    </row>
    <row r="806" spans="1:27">
      <c r="A806" s="1">
        <v>804</v>
      </c>
      <c r="B806">
        <v>51782</v>
      </c>
      <c r="C806" t="s">
        <v>834</v>
      </c>
      <c r="D806" t="s">
        <v>1716</v>
      </c>
      <c r="E806" t="s">
        <v>2522</v>
      </c>
      <c r="F806" t="s">
        <v>2936</v>
      </c>
      <c r="G806">
        <f>"0415325102"</f>
        <v>0</v>
      </c>
      <c r="H806">
        <f>"9780415325103"</f>
        <v>0</v>
      </c>
      <c r="I806">
        <v>0</v>
      </c>
      <c r="J806">
        <v>4.02</v>
      </c>
      <c r="K806" t="s">
        <v>3155</v>
      </c>
      <c r="L806" t="s">
        <v>3491</v>
      </c>
      <c r="M806">
        <v>223</v>
      </c>
      <c r="N806">
        <v>2004</v>
      </c>
      <c r="O806">
        <v>1957</v>
      </c>
      <c r="Q806" t="s">
        <v>3566</v>
      </c>
      <c r="R806" t="s">
        <v>3863</v>
      </c>
      <c r="S806" t="s">
        <v>4457</v>
      </c>
      <c r="T806" t="s">
        <v>3863</v>
      </c>
      <c r="X806">
        <v>0</v>
      </c>
      <c r="AA806">
        <v>0</v>
      </c>
    </row>
    <row r="807" spans="1:27">
      <c r="A807" s="1">
        <v>805</v>
      </c>
      <c r="B807">
        <v>94578</v>
      </c>
      <c r="C807" t="s">
        <v>835</v>
      </c>
      <c r="D807" t="s">
        <v>1565</v>
      </c>
      <c r="E807" t="s">
        <v>2371</v>
      </c>
      <c r="F807" t="s">
        <v>2937</v>
      </c>
      <c r="G807">
        <f>"0394719859"</f>
        <v>0</v>
      </c>
      <c r="H807">
        <f>"9780394719856"</f>
        <v>0</v>
      </c>
      <c r="I807">
        <v>0</v>
      </c>
      <c r="J807">
        <v>4.26</v>
      </c>
      <c r="K807" t="s">
        <v>3039</v>
      </c>
      <c r="L807" t="s">
        <v>3495</v>
      </c>
      <c r="M807">
        <v>396</v>
      </c>
      <c r="N807">
        <v>1974</v>
      </c>
      <c r="O807">
        <v>1882</v>
      </c>
      <c r="Q807" t="s">
        <v>3566</v>
      </c>
      <c r="R807" t="s">
        <v>3863</v>
      </c>
      <c r="S807" t="s">
        <v>4458</v>
      </c>
      <c r="T807" t="s">
        <v>3863</v>
      </c>
      <c r="X807">
        <v>0</v>
      </c>
      <c r="AA807">
        <v>0</v>
      </c>
    </row>
    <row r="808" spans="1:27">
      <c r="A808" s="1">
        <v>806</v>
      </c>
      <c r="B808">
        <v>3876</v>
      </c>
      <c r="C808" t="s">
        <v>836</v>
      </c>
      <c r="D808" t="s">
        <v>1269</v>
      </c>
      <c r="E808" t="s">
        <v>2075</v>
      </c>
      <c r="G808">
        <f>""</f>
        <v>0</v>
      </c>
      <c r="H808">
        <f>""</f>
        <v>0</v>
      </c>
      <c r="I808">
        <v>0</v>
      </c>
      <c r="J808">
        <v>3.81</v>
      </c>
      <c r="K808" t="s">
        <v>3405</v>
      </c>
      <c r="L808" t="s">
        <v>3491</v>
      </c>
      <c r="M808">
        <v>189</v>
      </c>
      <c r="N808">
        <v>1957</v>
      </c>
      <c r="O808">
        <v>1926</v>
      </c>
      <c r="Q808" t="s">
        <v>3844</v>
      </c>
      <c r="R808" t="s">
        <v>3863</v>
      </c>
      <c r="S808" t="s">
        <v>4459</v>
      </c>
      <c r="T808" t="s">
        <v>3863</v>
      </c>
      <c r="X808">
        <v>0</v>
      </c>
      <c r="AA808">
        <v>0</v>
      </c>
    </row>
    <row r="809" spans="1:27">
      <c r="A809" s="1">
        <v>807</v>
      </c>
      <c r="B809">
        <v>10799</v>
      </c>
      <c r="C809" t="s">
        <v>837</v>
      </c>
      <c r="D809" t="s">
        <v>1269</v>
      </c>
      <c r="E809" t="s">
        <v>2075</v>
      </c>
      <c r="F809" t="s">
        <v>1646</v>
      </c>
      <c r="G809">
        <f>"0099910101"</f>
        <v>0</v>
      </c>
      <c r="H809">
        <f>"9780099910107"</f>
        <v>0</v>
      </c>
      <c r="I809">
        <v>0</v>
      </c>
      <c r="J809">
        <v>3.81</v>
      </c>
      <c r="K809" t="s">
        <v>3406</v>
      </c>
      <c r="L809" t="s">
        <v>3491</v>
      </c>
      <c r="M809">
        <v>293</v>
      </c>
      <c r="N809">
        <v>2004</v>
      </c>
      <c r="O809">
        <v>1929</v>
      </c>
      <c r="Q809" t="s">
        <v>3844</v>
      </c>
      <c r="R809" t="s">
        <v>3863</v>
      </c>
      <c r="S809" t="s">
        <v>4460</v>
      </c>
      <c r="T809" t="s">
        <v>3863</v>
      </c>
      <c r="X809">
        <v>0</v>
      </c>
      <c r="AA809">
        <v>0</v>
      </c>
    </row>
    <row r="810" spans="1:27">
      <c r="A810" s="1">
        <v>808</v>
      </c>
      <c r="B810">
        <v>46170</v>
      </c>
      <c r="C810" t="s">
        <v>838</v>
      </c>
      <c r="D810" t="s">
        <v>1269</v>
      </c>
      <c r="E810" t="s">
        <v>2075</v>
      </c>
      <c r="G810">
        <f>""</f>
        <v>0</v>
      </c>
      <c r="H810">
        <f>""</f>
        <v>0</v>
      </c>
      <c r="I810">
        <v>0</v>
      </c>
      <c r="J810">
        <v>3.97</v>
      </c>
      <c r="K810" t="s">
        <v>3064</v>
      </c>
      <c r="L810" t="s">
        <v>3491</v>
      </c>
      <c r="M810">
        <v>471</v>
      </c>
      <c r="N810">
        <v>1995</v>
      </c>
      <c r="O810">
        <v>1940</v>
      </c>
      <c r="Q810" t="s">
        <v>3844</v>
      </c>
      <c r="R810" t="s">
        <v>3863</v>
      </c>
      <c r="S810" t="s">
        <v>4461</v>
      </c>
      <c r="T810" t="s">
        <v>3863</v>
      </c>
      <c r="X810">
        <v>0</v>
      </c>
      <c r="AA810">
        <v>0</v>
      </c>
    </row>
    <row r="811" spans="1:27">
      <c r="A811" s="1">
        <v>809</v>
      </c>
      <c r="B811">
        <v>191413</v>
      </c>
      <c r="C811" t="s">
        <v>839</v>
      </c>
      <c r="D811" t="s">
        <v>1717</v>
      </c>
      <c r="E811" t="s">
        <v>2523</v>
      </c>
      <c r="G811">
        <f>"0805076174"</f>
        <v>0</v>
      </c>
      <c r="H811">
        <f>"9780805076172"</f>
        <v>0</v>
      </c>
      <c r="I811">
        <v>0</v>
      </c>
      <c r="J811">
        <v>4.16</v>
      </c>
      <c r="K811" t="s">
        <v>3407</v>
      </c>
      <c r="L811" t="s">
        <v>3491</v>
      </c>
      <c r="M811">
        <v>688</v>
      </c>
      <c r="N811">
        <v>2004</v>
      </c>
      <c r="O811">
        <v>1994</v>
      </c>
      <c r="Q811" t="s">
        <v>3553</v>
      </c>
      <c r="R811" t="s">
        <v>3863</v>
      </c>
      <c r="S811" t="s">
        <v>4462</v>
      </c>
      <c r="T811" t="s">
        <v>3863</v>
      </c>
      <c r="X811">
        <v>0</v>
      </c>
      <c r="AA811">
        <v>0</v>
      </c>
    </row>
    <row r="812" spans="1:27">
      <c r="A812" s="1">
        <v>810</v>
      </c>
      <c r="B812">
        <v>8642478</v>
      </c>
      <c r="C812" t="s">
        <v>840</v>
      </c>
      <c r="D812" t="s">
        <v>1718</v>
      </c>
      <c r="E812" t="s">
        <v>2524</v>
      </c>
      <c r="G812">
        <f>"0810870649"</f>
        <v>0</v>
      </c>
      <c r="H812">
        <f>"9780810870642"</f>
        <v>0</v>
      </c>
      <c r="I812">
        <v>4</v>
      </c>
      <c r="J812">
        <v>3.33</v>
      </c>
      <c r="K812" t="s">
        <v>3408</v>
      </c>
      <c r="L812" t="s">
        <v>3494</v>
      </c>
      <c r="M812">
        <v>402</v>
      </c>
      <c r="N812">
        <v>2009</v>
      </c>
      <c r="O812">
        <v>2009</v>
      </c>
      <c r="Q812" t="s">
        <v>3845</v>
      </c>
      <c r="T812" t="s">
        <v>4621</v>
      </c>
      <c r="U812" t="s">
        <v>4685</v>
      </c>
      <c r="X812">
        <v>1</v>
      </c>
      <c r="AA812">
        <v>0</v>
      </c>
    </row>
    <row r="813" spans="1:27">
      <c r="A813" s="1">
        <v>811</v>
      </c>
      <c r="B813">
        <v>694886</v>
      </c>
      <c r="C813" t="s">
        <v>841</v>
      </c>
      <c r="D813" t="s">
        <v>1719</v>
      </c>
      <c r="E813" t="s">
        <v>2525</v>
      </c>
      <c r="F813" t="s">
        <v>2938</v>
      </c>
      <c r="G813">
        <f>"0684855720"</f>
        <v>0</v>
      </c>
      <c r="H813">
        <f>"9780684855721"</f>
        <v>0</v>
      </c>
      <c r="I813">
        <v>0</v>
      </c>
      <c r="J813">
        <v>3.84</v>
      </c>
      <c r="K813" t="s">
        <v>3280</v>
      </c>
      <c r="L813" t="s">
        <v>3491</v>
      </c>
      <c r="M813">
        <v>1151</v>
      </c>
      <c r="N813">
        <v>2000</v>
      </c>
      <c r="O813">
        <v>1998</v>
      </c>
      <c r="Q813" t="s">
        <v>3842</v>
      </c>
      <c r="R813" t="s">
        <v>3863</v>
      </c>
      <c r="S813" t="s">
        <v>4463</v>
      </c>
      <c r="T813" t="s">
        <v>3863</v>
      </c>
      <c r="X813">
        <v>0</v>
      </c>
      <c r="AA813">
        <v>0</v>
      </c>
    </row>
    <row r="814" spans="1:27">
      <c r="A814" s="1">
        <v>812</v>
      </c>
      <c r="B814">
        <v>259657</v>
      </c>
      <c r="C814" t="s">
        <v>842</v>
      </c>
      <c r="D814" t="s">
        <v>1719</v>
      </c>
      <c r="E814" t="s">
        <v>2525</v>
      </c>
      <c r="G814">
        <f>"0517639114"</f>
        <v>0</v>
      </c>
      <c r="H814">
        <f>"9780517639115"</f>
        <v>0</v>
      </c>
      <c r="I814">
        <v>0</v>
      </c>
      <c r="J814">
        <v>3.87</v>
      </c>
      <c r="K814" t="s">
        <v>3152</v>
      </c>
      <c r="L814" t="s">
        <v>3492</v>
      </c>
      <c r="M814">
        <v>1298</v>
      </c>
      <c r="N814">
        <v>1987</v>
      </c>
      <c r="O814">
        <v>1979</v>
      </c>
      <c r="Q814" t="s">
        <v>3842</v>
      </c>
      <c r="R814" t="s">
        <v>3863</v>
      </c>
      <c r="S814" t="s">
        <v>4464</v>
      </c>
      <c r="T814" t="s">
        <v>3863</v>
      </c>
      <c r="X814">
        <v>0</v>
      </c>
      <c r="AA814">
        <v>0</v>
      </c>
    </row>
    <row r="815" spans="1:27">
      <c r="A815" s="1">
        <v>813</v>
      </c>
      <c r="B815">
        <v>1414134</v>
      </c>
      <c r="C815" t="s">
        <v>843</v>
      </c>
      <c r="D815" t="s">
        <v>1719</v>
      </c>
      <c r="E815" t="s">
        <v>2525</v>
      </c>
      <c r="G815">
        <f>"0718118685"</f>
        <v>0</v>
      </c>
      <c r="H815">
        <f>"9780718118686"</f>
        <v>0</v>
      </c>
      <c r="I815">
        <v>0</v>
      </c>
      <c r="J815">
        <v>3.87</v>
      </c>
      <c r="K815" t="s">
        <v>3409</v>
      </c>
      <c r="L815" t="s">
        <v>3492</v>
      </c>
      <c r="M815">
        <v>1521</v>
      </c>
      <c r="N815">
        <v>1979</v>
      </c>
      <c r="O815">
        <v>1979</v>
      </c>
      <c r="Q815" t="s">
        <v>3842</v>
      </c>
      <c r="R815" t="s">
        <v>3863</v>
      </c>
      <c r="S815" t="s">
        <v>4465</v>
      </c>
      <c r="T815" t="s">
        <v>3863</v>
      </c>
      <c r="X815">
        <v>0</v>
      </c>
      <c r="AA815">
        <v>0</v>
      </c>
    </row>
    <row r="816" spans="1:27">
      <c r="A816" s="1">
        <v>814</v>
      </c>
      <c r="B816">
        <v>35031085</v>
      </c>
      <c r="C816" t="s">
        <v>844</v>
      </c>
      <c r="D816" t="s">
        <v>1720</v>
      </c>
      <c r="E816" t="s">
        <v>2526</v>
      </c>
      <c r="F816" t="s">
        <v>2939</v>
      </c>
      <c r="G816">
        <f>""</f>
        <v>0</v>
      </c>
      <c r="H816">
        <f>""</f>
        <v>0</v>
      </c>
      <c r="I816">
        <v>0</v>
      </c>
      <c r="J816">
        <v>3.84</v>
      </c>
      <c r="K816" t="s">
        <v>3146</v>
      </c>
      <c r="L816" t="s">
        <v>3491</v>
      </c>
      <c r="M816">
        <v>260</v>
      </c>
      <c r="N816">
        <v>2018</v>
      </c>
      <c r="O816">
        <v>1818</v>
      </c>
      <c r="Q816" t="s">
        <v>3753</v>
      </c>
      <c r="T816" t="s">
        <v>4621</v>
      </c>
      <c r="X816">
        <v>1</v>
      </c>
      <c r="AA816">
        <v>0</v>
      </c>
    </row>
    <row r="817" spans="1:27">
      <c r="A817" s="1">
        <v>815</v>
      </c>
      <c r="B817">
        <v>39334805</v>
      </c>
      <c r="C817" t="s">
        <v>845</v>
      </c>
      <c r="D817" t="s">
        <v>1721</v>
      </c>
      <c r="E817" t="s">
        <v>2527</v>
      </c>
      <c r="G817">
        <f>""</f>
        <v>0</v>
      </c>
      <c r="H817">
        <f>""</f>
        <v>0</v>
      </c>
      <c r="I817">
        <v>0</v>
      </c>
      <c r="J817">
        <v>4.15</v>
      </c>
      <c r="K817" t="s">
        <v>3016</v>
      </c>
      <c r="L817" t="s">
        <v>3493</v>
      </c>
      <c r="M817">
        <v>281</v>
      </c>
      <c r="N817">
        <v>2018</v>
      </c>
      <c r="Q817" t="s">
        <v>3753</v>
      </c>
      <c r="R817" t="s">
        <v>3863</v>
      </c>
      <c r="S817" t="s">
        <v>4466</v>
      </c>
      <c r="T817" t="s">
        <v>3863</v>
      </c>
      <c r="X817">
        <v>0</v>
      </c>
      <c r="AA817">
        <v>0</v>
      </c>
    </row>
    <row r="818" spans="1:27">
      <c r="A818" s="1">
        <v>816</v>
      </c>
      <c r="B818">
        <v>42585634</v>
      </c>
      <c r="C818" t="s">
        <v>846</v>
      </c>
      <c r="D818" t="s">
        <v>1722</v>
      </c>
      <c r="E818" t="s">
        <v>2528</v>
      </c>
      <c r="G818">
        <f>"1786995352"</f>
        <v>0</v>
      </c>
      <c r="H818">
        <f>"9781786995353"</f>
        <v>0</v>
      </c>
      <c r="I818">
        <v>0</v>
      </c>
      <c r="J818">
        <v>4.11</v>
      </c>
      <c r="K818" t="s">
        <v>3410</v>
      </c>
      <c r="L818" t="s">
        <v>3492</v>
      </c>
      <c r="M818">
        <v>400</v>
      </c>
      <c r="N818">
        <v>2019</v>
      </c>
      <c r="O818">
        <v>2019</v>
      </c>
      <c r="Q818" t="s">
        <v>3753</v>
      </c>
      <c r="R818" t="s">
        <v>3863</v>
      </c>
      <c r="S818" t="s">
        <v>4467</v>
      </c>
      <c r="T818" t="s">
        <v>3863</v>
      </c>
      <c r="X818">
        <v>0</v>
      </c>
      <c r="AA818">
        <v>0</v>
      </c>
    </row>
    <row r="819" spans="1:27">
      <c r="A819" s="1">
        <v>817</v>
      </c>
      <c r="B819">
        <v>28862</v>
      </c>
      <c r="C819" t="s">
        <v>847</v>
      </c>
      <c r="D819" t="s">
        <v>1723</v>
      </c>
      <c r="E819" t="s">
        <v>2529</v>
      </c>
      <c r="F819" t="s">
        <v>2940</v>
      </c>
      <c r="G819">
        <f>"0937832383"</f>
        <v>0</v>
      </c>
      <c r="H819">
        <f>"9780937832387"</f>
        <v>0</v>
      </c>
      <c r="I819">
        <v>0</v>
      </c>
      <c r="J819">
        <v>3.83</v>
      </c>
      <c r="K819" t="s">
        <v>3411</v>
      </c>
      <c r="L819" t="s">
        <v>3491</v>
      </c>
      <c r="M819">
        <v>140</v>
      </c>
      <c r="N819">
        <v>2003</v>
      </c>
      <c r="O819">
        <v>1531</v>
      </c>
      <c r="Q819" t="s">
        <v>3567</v>
      </c>
      <c r="R819" t="s">
        <v>3863</v>
      </c>
      <c r="S819" t="s">
        <v>4468</v>
      </c>
      <c r="T819" t="s">
        <v>3863</v>
      </c>
      <c r="X819">
        <v>0</v>
      </c>
      <c r="AA819">
        <v>0</v>
      </c>
    </row>
    <row r="820" spans="1:27">
      <c r="A820" s="1">
        <v>818</v>
      </c>
      <c r="B820">
        <v>8707112</v>
      </c>
      <c r="C820" t="s">
        <v>848</v>
      </c>
      <c r="D820" t="s">
        <v>1724</v>
      </c>
      <c r="E820" t="s">
        <v>2530</v>
      </c>
      <c r="F820" t="s">
        <v>2941</v>
      </c>
      <c r="G820">
        <f>"1887368019"</f>
        <v>0</v>
      </c>
      <c r="H820">
        <f>"9781887368018"</f>
        <v>0</v>
      </c>
      <c r="I820">
        <v>0</v>
      </c>
      <c r="J820">
        <v>4.06</v>
      </c>
      <c r="K820" t="s">
        <v>3412</v>
      </c>
      <c r="L820" t="s">
        <v>3496</v>
      </c>
      <c r="M820">
        <v>258</v>
      </c>
      <c r="N820">
        <v>1995</v>
      </c>
      <c r="O820">
        <v>1954</v>
      </c>
      <c r="Q820" t="s">
        <v>3567</v>
      </c>
      <c r="R820" t="s">
        <v>3863</v>
      </c>
      <c r="S820" t="s">
        <v>4469</v>
      </c>
      <c r="T820" t="s">
        <v>3863</v>
      </c>
      <c r="X820">
        <v>0</v>
      </c>
      <c r="AA820">
        <v>0</v>
      </c>
    </row>
    <row r="821" spans="1:27">
      <c r="A821" s="1">
        <v>819</v>
      </c>
      <c r="B821">
        <v>83596</v>
      </c>
      <c r="C821" t="s">
        <v>849</v>
      </c>
      <c r="D821" t="s">
        <v>1576</v>
      </c>
      <c r="E821" t="s">
        <v>2382</v>
      </c>
      <c r="F821" t="s">
        <v>2942</v>
      </c>
      <c r="G821">
        <f>"0385199732"</f>
        <v>0</v>
      </c>
      <c r="H821">
        <f>"9780385199735"</f>
        <v>0</v>
      </c>
      <c r="I821">
        <v>0</v>
      </c>
      <c r="J821">
        <v>4.17</v>
      </c>
      <c r="K821" t="s">
        <v>3112</v>
      </c>
      <c r="L821" t="s">
        <v>3491</v>
      </c>
      <c r="M821">
        <v>299</v>
      </c>
      <c r="N821">
        <v>1987</v>
      </c>
      <c r="O821">
        <v>1986</v>
      </c>
      <c r="Q821" t="s">
        <v>3567</v>
      </c>
      <c r="R821" t="s">
        <v>3863</v>
      </c>
      <c r="S821" t="s">
        <v>4470</v>
      </c>
      <c r="T821" t="s">
        <v>3863</v>
      </c>
      <c r="X821">
        <v>0</v>
      </c>
      <c r="AA821">
        <v>0</v>
      </c>
    </row>
    <row r="822" spans="1:27">
      <c r="A822" s="1">
        <v>820</v>
      </c>
      <c r="B822">
        <v>16343</v>
      </c>
      <c r="C822" t="s">
        <v>850</v>
      </c>
      <c r="D822" t="s">
        <v>1673</v>
      </c>
      <c r="E822" t="s">
        <v>2479</v>
      </c>
      <c r="G822">
        <f>"0646418432"</f>
        <v>0</v>
      </c>
      <c r="H822">
        <f>"9780646418438"</f>
        <v>0</v>
      </c>
      <c r="I822">
        <v>0</v>
      </c>
      <c r="J822">
        <v>3.99</v>
      </c>
      <c r="K822" t="s">
        <v>3413</v>
      </c>
      <c r="L822" t="s">
        <v>3491</v>
      </c>
      <c r="M822">
        <v>121</v>
      </c>
      <c r="N822">
        <v>2002</v>
      </c>
      <c r="O822">
        <v>1920</v>
      </c>
      <c r="Q822" t="s">
        <v>3567</v>
      </c>
      <c r="R822" t="s">
        <v>3863</v>
      </c>
      <c r="S822" t="s">
        <v>4471</v>
      </c>
      <c r="T822" t="s">
        <v>3863</v>
      </c>
      <c r="X822">
        <v>0</v>
      </c>
      <c r="AA822">
        <v>0</v>
      </c>
    </row>
    <row r="823" spans="1:27">
      <c r="A823" s="1">
        <v>821</v>
      </c>
      <c r="B823">
        <v>88431</v>
      </c>
      <c r="C823" t="s">
        <v>851</v>
      </c>
      <c r="D823" t="s">
        <v>1523</v>
      </c>
      <c r="E823" t="s">
        <v>2329</v>
      </c>
      <c r="F823" t="s">
        <v>2943</v>
      </c>
      <c r="G823">
        <f>"0964920514"</f>
        <v>0</v>
      </c>
      <c r="H823">
        <f>"9780964920514"</f>
        <v>0</v>
      </c>
      <c r="I823">
        <v>0</v>
      </c>
      <c r="J823">
        <v>4.3</v>
      </c>
      <c r="K823" t="s">
        <v>3414</v>
      </c>
      <c r="L823" t="s">
        <v>3491</v>
      </c>
      <c r="M823">
        <v>395</v>
      </c>
      <c r="N823">
        <v>2004</v>
      </c>
      <c r="O823">
        <v>2004</v>
      </c>
      <c r="Q823" t="s">
        <v>3567</v>
      </c>
      <c r="R823" t="s">
        <v>3863</v>
      </c>
      <c r="S823" t="s">
        <v>4472</v>
      </c>
      <c r="T823" t="s">
        <v>3863</v>
      </c>
      <c r="X823">
        <v>0</v>
      </c>
      <c r="AA823">
        <v>0</v>
      </c>
    </row>
    <row r="824" spans="1:27">
      <c r="A824" s="1">
        <v>822</v>
      </c>
      <c r="B824">
        <v>6178648</v>
      </c>
      <c r="C824" t="s">
        <v>852</v>
      </c>
      <c r="D824" t="s">
        <v>1725</v>
      </c>
      <c r="E824" t="s">
        <v>2531</v>
      </c>
      <c r="G824">
        <f>"0385523904"</f>
        <v>0</v>
      </c>
      <c r="H824">
        <f>"9780385523905"</f>
        <v>0</v>
      </c>
      <c r="I824">
        <v>5</v>
      </c>
      <c r="J824">
        <v>4.43</v>
      </c>
      <c r="K824" t="s">
        <v>3415</v>
      </c>
      <c r="L824" t="s">
        <v>3492</v>
      </c>
      <c r="M824">
        <v>316</v>
      </c>
      <c r="N824">
        <v>2009</v>
      </c>
      <c r="O824">
        <v>2009</v>
      </c>
      <c r="P824" t="s">
        <v>3567</v>
      </c>
      <c r="Q824" t="s">
        <v>3846</v>
      </c>
      <c r="T824" t="s">
        <v>4621</v>
      </c>
      <c r="U824" t="s">
        <v>4686</v>
      </c>
      <c r="X824">
        <v>1</v>
      </c>
      <c r="AA824">
        <v>0</v>
      </c>
    </row>
    <row r="825" spans="1:27">
      <c r="A825" s="1">
        <v>823</v>
      </c>
      <c r="B825">
        <v>6900</v>
      </c>
      <c r="C825" t="s">
        <v>853</v>
      </c>
      <c r="D825" t="s">
        <v>1726</v>
      </c>
      <c r="E825" t="s">
        <v>2532</v>
      </c>
      <c r="G825">
        <f>""</f>
        <v>0</v>
      </c>
      <c r="H825">
        <f>""</f>
        <v>0</v>
      </c>
      <c r="I825">
        <v>1</v>
      </c>
      <c r="J825">
        <v>4.14</v>
      </c>
      <c r="K825" t="s">
        <v>3416</v>
      </c>
      <c r="L825" t="s">
        <v>3491</v>
      </c>
      <c r="M825">
        <v>210</v>
      </c>
      <c r="N825">
        <v>2000</v>
      </c>
      <c r="O825">
        <v>1997</v>
      </c>
      <c r="P825" t="s">
        <v>3567</v>
      </c>
      <c r="Q825" t="s">
        <v>3752</v>
      </c>
      <c r="T825" t="s">
        <v>4621</v>
      </c>
      <c r="X825">
        <v>1</v>
      </c>
      <c r="AA825">
        <v>0</v>
      </c>
    </row>
    <row r="826" spans="1:27">
      <c r="A826" s="1">
        <v>824</v>
      </c>
      <c r="B826">
        <v>57981</v>
      </c>
      <c r="C826" t="s">
        <v>854</v>
      </c>
      <c r="D826" t="s">
        <v>1727</v>
      </c>
      <c r="E826" t="s">
        <v>2533</v>
      </c>
      <c r="G826">
        <f>"0743284550"</f>
        <v>0</v>
      </c>
      <c r="H826">
        <f>"9780743284554"</f>
        <v>0</v>
      </c>
      <c r="I826">
        <v>0</v>
      </c>
      <c r="J826">
        <v>3.57</v>
      </c>
      <c r="K826" t="s">
        <v>3000</v>
      </c>
      <c r="L826" t="s">
        <v>3491</v>
      </c>
      <c r="M826">
        <v>464</v>
      </c>
      <c r="N826">
        <v>2006</v>
      </c>
      <c r="O826">
        <v>1992</v>
      </c>
      <c r="Q826" t="s">
        <v>3752</v>
      </c>
      <c r="R826" t="s">
        <v>3863</v>
      </c>
      <c r="S826" t="s">
        <v>4473</v>
      </c>
      <c r="T826" t="s">
        <v>3863</v>
      </c>
      <c r="X826">
        <v>0</v>
      </c>
      <c r="AA826">
        <v>0</v>
      </c>
    </row>
    <row r="827" spans="1:27">
      <c r="A827" s="1">
        <v>825</v>
      </c>
      <c r="B827">
        <v>475</v>
      </c>
      <c r="C827" t="s">
        <v>855</v>
      </c>
      <c r="D827" t="s">
        <v>1728</v>
      </c>
      <c r="E827" t="s">
        <v>2534</v>
      </c>
      <c r="G827">
        <f>"0143036556"</f>
        <v>0</v>
      </c>
      <c r="H827">
        <f>"9780143036555"</f>
        <v>0</v>
      </c>
      <c r="I827">
        <v>0</v>
      </c>
      <c r="J827">
        <v>3.92</v>
      </c>
      <c r="K827" t="s">
        <v>3417</v>
      </c>
      <c r="L827" t="s">
        <v>3491</v>
      </c>
      <c r="M827">
        <v>608</v>
      </c>
      <c r="N827">
        <v>2005</v>
      </c>
      <c r="O827">
        <v>2004</v>
      </c>
      <c r="Q827" t="s">
        <v>3752</v>
      </c>
      <c r="R827" t="s">
        <v>3863</v>
      </c>
      <c r="S827" t="s">
        <v>4474</v>
      </c>
      <c r="T827" t="s">
        <v>3863</v>
      </c>
      <c r="X827">
        <v>0</v>
      </c>
      <c r="AA827">
        <v>0</v>
      </c>
    </row>
    <row r="828" spans="1:27">
      <c r="A828" s="1">
        <v>826</v>
      </c>
      <c r="B828">
        <v>35133922</v>
      </c>
      <c r="C828" t="s">
        <v>856</v>
      </c>
      <c r="D828" t="s">
        <v>1729</v>
      </c>
      <c r="E828" t="s">
        <v>2535</v>
      </c>
      <c r="G828">
        <f>""</f>
        <v>0</v>
      </c>
      <c r="H828">
        <f>""</f>
        <v>0</v>
      </c>
      <c r="I828">
        <v>0</v>
      </c>
      <c r="J828">
        <v>4.47</v>
      </c>
      <c r="K828" t="s">
        <v>3039</v>
      </c>
      <c r="L828" t="s">
        <v>3492</v>
      </c>
      <c r="M828">
        <v>352</v>
      </c>
      <c r="N828">
        <v>2018</v>
      </c>
      <c r="O828">
        <v>2018</v>
      </c>
      <c r="Q828" t="s">
        <v>3752</v>
      </c>
      <c r="R828" t="s">
        <v>3863</v>
      </c>
      <c r="S828" t="s">
        <v>4475</v>
      </c>
      <c r="T828" t="s">
        <v>3863</v>
      </c>
      <c r="X828">
        <v>0</v>
      </c>
      <c r="AA828">
        <v>0</v>
      </c>
    </row>
    <row r="829" spans="1:27">
      <c r="A829" s="1">
        <v>827</v>
      </c>
      <c r="B829">
        <v>1842</v>
      </c>
      <c r="C829" t="s">
        <v>857</v>
      </c>
      <c r="D829" t="s">
        <v>1728</v>
      </c>
      <c r="E829" t="s">
        <v>2534</v>
      </c>
      <c r="F829" t="s">
        <v>2944</v>
      </c>
      <c r="G829">
        <f>"0739467352"</f>
        <v>0</v>
      </c>
      <c r="H829">
        <f>"9780739467350"</f>
        <v>0</v>
      </c>
      <c r="I829">
        <v>0</v>
      </c>
      <c r="J829">
        <v>4.04</v>
      </c>
      <c r="K829" t="s">
        <v>3313</v>
      </c>
      <c r="L829" t="s">
        <v>3491</v>
      </c>
      <c r="M829">
        <v>498</v>
      </c>
      <c r="N829">
        <v>2005</v>
      </c>
      <c r="O829">
        <v>1997</v>
      </c>
      <c r="Q829" t="s">
        <v>3752</v>
      </c>
      <c r="R829" t="s">
        <v>3863</v>
      </c>
      <c r="S829" t="s">
        <v>4476</v>
      </c>
      <c r="T829" t="s">
        <v>3863</v>
      </c>
      <c r="X829">
        <v>0</v>
      </c>
      <c r="AA829">
        <v>0</v>
      </c>
    </row>
    <row r="830" spans="1:27">
      <c r="A830" s="1">
        <v>828</v>
      </c>
      <c r="B830">
        <v>1202</v>
      </c>
      <c r="C830" t="s">
        <v>858</v>
      </c>
      <c r="D830" t="s">
        <v>1432</v>
      </c>
      <c r="E830" t="s">
        <v>2238</v>
      </c>
      <c r="F830" t="s">
        <v>2790</v>
      </c>
      <c r="G830">
        <f>"0061234001"</f>
        <v>0</v>
      </c>
      <c r="H830">
        <f>"9780061234002"</f>
        <v>0</v>
      </c>
      <c r="I830">
        <v>0</v>
      </c>
      <c r="J830">
        <v>4</v>
      </c>
      <c r="K830" t="s">
        <v>3351</v>
      </c>
      <c r="L830" t="s">
        <v>3492</v>
      </c>
      <c r="M830">
        <v>268</v>
      </c>
      <c r="N830">
        <v>2006</v>
      </c>
      <c r="O830">
        <v>2005</v>
      </c>
      <c r="Q830" t="s">
        <v>3752</v>
      </c>
      <c r="R830" t="s">
        <v>3863</v>
      </c>
      <c r="S830" t="s">
        <v>4477</v>
      </c>
      <c r="T830" t="s">
        <v>3863</v>
      </c>
      <c r="X830">
        <v>0</v>
      </c>
      <c r="AA830">
        <v>0</v>
      </c>
    </row>
    <row r="831" spans="1:27">
      <c r="A831" s="1">
        <v>829</v>
      </c>
      <c r="B831">
        <v>168668</v>
      </c>
      <c r="C831" t="s">
        <v>859</v>
      </c>
      <c r="D831" t="s">
        <v>1730</v>
      </c>
      <c r="E831" t="s">
        <v>2536</v>
      </c>
      <c r="G831">
        <f>"0684833395"</f>
        <v>0</v>
      </c>
      <c r="H831">
        <f>"9780684833392"</f>
        <v>0</v>
      </c>
      <c r="I831">
        <v>1</v>
      </c>
      <c r="J831">
        <v>3.98</v>
      </c>
      <c r="K831" t="s">
        <v>3418</v>
      </c>
      <c r="L831" t="s">
        <v>3491</v>
      </c>
      <c r="M831">
        <v>453</v>
      </c>
      <c r="N831">
        <v>2004</v>
      </c>
      <c r="O831">
        <v>1961</v>
      </c>
      <c r="Q831" t="s">
        <v>3583</v>
      </c>
      <c r="T831" t="s">
        <v>4621</v>
      </c>
      <c r="X831">
        <v>1</v>
      </c>
      <c r="AA831">
        <v>0</v>
      </c>
    </row>
    <row r="832" spans="1:27">
      <c r="A832" s="1">
        <v>830</v>
      </c>
      <c r="B832">
        <v>6772577</v>
      </c>
      <c r="C832" t="s">
        <v>860</v>
      </c>
      <c r="D832" t="s">
        <v>1731</v>
      </c>
      <c r="E832" t="s">
        <v>2537</v>
      </c>
      <c r="G832">
        <f>"1933633913"</f>
        <v>0</v>
      </c>
      <c r="H832">
        <f>"9781933633916"</f>
        <v>0</v>
      </c>
      <c r="I832">
        <v>0</v>
      </c>
      <c r="J832">
        <v>3.91</v>
      </c>
      <c r="K832" t="s">
        <v>3419</v>
      </c>
      <c r="L832" t="s">
        <v>3492</v>
      </c>
      <c r="M832">
        <v>208</v>
      </c>
      <c r="N832">
        <v>2010</v>
      </c>
      <c r="O832">
        <v>2010</v>
      </c>
      <c r="Q832" t="s">
        <v>3846</v>
      </c>
      <c r="R832" t="s">
        <v>3863</v>
      </c>
      <c r="S832" t="s">
        <v>4478</v>
      </c>
      <c r="T832" t="s">
        <v>3863</v>
      </c>
      <c r="X832">
        <v>0</v>
      </c>
      <c r="AA832">
        <v>0</v>
      </c>
    </row>
    <row r="833" spans="1:27">
      <c r="A833" s="1">
        <v>831</v>
      </c>
      <c r="B833">
        <v>18122</v>
      </c>
      <c r="C833" t="s">
        <v>861</v>
      </c>
      <c r="D833" t="s">
        <v>1732</v>
      </c>
      <c r="E833" t="s">
        <v>2538</v>
      </c>
      <c r="F833" t="s">
        <v>1732</v>
      </c>
      <c r="G833">
        <f>"0440238153"</f>
        <v>0</v>
      </c>
      <c r="H833">
        <f>"9780440238157"</f>
        <v>0</v>
      </c>
      <c r="I833">
        <v>0</v>
      </c>
      <c r="J833">
        <v>4.09</v>
      </c>
      <c r="K833" t="s">
        <v>3420</v>
      </c>
      <c r="L833" t="s">
        <v>3495</v>
      </c>
      <c r="M833">
        <v>465</v>
      </c>
      <c r="N833">
        <v>2003</v>
      </c>
      <c r="O833">
        <v>2000</v>
      </c>
      <c r="Q833" t="s">
        <v>3568</v>
      </c>
      <c r="T833" t="s">
        <v>4621</v>
      </c>
      <c r="X833">
        <v>1</v>
      </c>
      <c r="AA833">
        <v>0</v>
      </c>
    </row>
    <row r="834" spans="1:27">
      <c r="A834" s="1">
        <v>832</v>
      </c>
      <c r="B834">
        <v>119322</v>
      </c>
      <c r="C834" t="s">
        <v>862</v>
      </c>
      <c r="D834" t="s">
        <v>1732</v>
      </c>
      <c r="E834" t="s">
        <v>2538</v>
      </c>
      <c r="F834" t="s">
        <v>2945</v>
      </c>
      <c r="G834">
        <f>"0679879242"</f>
        <v>0</v>
      </c>
      <c r="H834">
        <f>"9780679879244"</f>
        <v>0</v>
      </c>
      <c r="I834">
        <v>0</v>
      </c>
      <c r="J834">
        <v>4.01</v>
      </c>
      <c r="K834" t="s">
        <v>3421</v>
      </c>
      <c r="L834" t="s">
        <v>3492</v>
      </c>
      <c r="M834">
        <v>399</v>
      </c>
      <c r="N834">
        <v>1996</v>
      </c>
      <c r="O834">
        <v>1995</v>
      </c>
      <c r="Q834" t="s">
        <v>3568</v>
      </c>
      <c r="T834" t="s">
        <v>4621</v>
      </c>
      <c r="X834">
        <v>1</v>
      </c>
      <c r="AA834">
        <v>0</v>
      </c>
    </row>
    <row r="835" spans="1:27">
      <c r="A835" s="1">
        <v>833</v>
      </c>
      <c r="B835">
        <v>13324841</v>
      </c>
      <c r="C835" t="s">
        <v>863</v>
      </c>
      <c r="D835" t="s">
        <v>1733</v>
      </c>
      <c r="E835" t="s">
        <v>2539</v>
      </c>
      <c r="G835">
        <f>"0547887205"</f>
        <v>0</v>
      </c>
      <c r="H835">
        <f>"9780547887203"</f>
        <v>0</v>
      </c>
      <c r="I835">
        <v>3</v>
      </c>
      <c r="J835">
        <v>3.99</v>
      </c>
      <c r="K835" t="s">
        <v>3272</v>
      </c>
      <c r="L835" t="s">
        <v>3492</v>
      </c>
      <c r="M835">
        <v>393</v>
      </c>
      <c r="N835">
        <v>2012</v>
      </c>
      <c r="O835">
        <v>2012</v>
      </c>
      <c r="P835" t="s">
        <v>3568</v>
      </c>
      <c r="Q835" t="s">
        <v>3751</v>
      </c>
      <c r="T835" t="s">
        <v>4621</v>
      </c>
      <c r="X835">
        <v>1</v>
      </c>
      <c r="AA835">
        <v>0</v>
      </c>
    </row>
    <row r="836" spans="1:27">
      <c r="A836" s="1">
        <v>834</v>
      </c>
      <c r="B836">
        <v>12931</v>
      </c>
      <c r="C836" t="s">
        <v>864</v>
      </c>
      <c r="D836" t="s">
        <v>1733</v>
      </c>
      <c r="E836" t="s">
        <v>2539</v>
      </c>
      <c r="G836">
        <f>"0618685502"</f>
        <v>0</v>
      </c>
      <c r="H836">
        <f>"9780618685509"</f>
        <v>0</v>
      </c>
      <c r="I836">
        <v>0</v>
      </c>
      <c r="J836">
        <v>3.92</v>
      </c>
      <c r="K836" t="s">
        <v>3272</v>
      </c>
      <c r="L836" t="s">
        <v>3492</v>
      </c>
      <c r="M836">
        <v>144</v>
      </c>
      <c r="N836">
        <v>2006</v>
      </c>
      <c r="O836">
        <v>2006</v>
      </c>
      <c r="Q836" t="s">
        <v>3568</v>
      </c>
      <c r="T836" t="s">
        <v>4621</v>
      </c>
      <c r="X836">
        <v>1</v>
      </c>
      <c r="AA836">
        <v>0</v>
      </c>
    </row>
    <row r="837" spans="1:27">
      <c r="A837" s="1">
        <v>835</v>
      </c>
      <c r="B837">
        <v>37486540</v>
      </c>
      <c r="C837" t="s">
        <v>865</v>
      </c>
      <c r="D837" t="s">
        <v>1734</v>
      </c>
      <c r="E837" t="s">
        <v>2540</v>
      </c>
      <c r="G837">
        <f>"0316523178"</f>
        <v>0</v>
      </c>
      <c r="H837">
        <f>"9780316523172"</f>
        <v>0</v>
      </c>
      <c r="I837">
        <v>0</v>
      </c>
      <c r="J837">
        <v>4.09</v>
      </c>
      <c r="K837" t="s">
        <v>3258</v>
      </c>
      <c r="L837" t="s">
        <v>3492</v>
      </c>
      <c r="M837">
        <v>384</v>
      </c>
      <c r="N837">
        <v>2018</v>
      </c>
      <c r="O837">
        <v>2018</v>
      </c>
      <c r="Q837" t="s">
        <v>3847</v>
      </c>
      <c r="R837" t="s">
        <v>3863</v>
      </c>
      <c r="S837" t="s">
        <v>4479</v>
      </c>
      <c r="T837" t="s">
        <v>3863</v>
      </c>
      <c r="X837">
        <v>0</v>
      </c>
      <c r="AA837">
        <v>0</v>
      </c>
    </row>
    <row r="838" spans="1:27">
      <c r="A838" s="1">
        <v>836</v>
      </c>
      <c r="B838">
        <v>2467227</v>
      </c>
      <c r="C838" t="s">
        <v>866</v>
      </c>
      <c r="D838" t="s">
        <v>1735</v>
      </c>
      <c r="E838" t="s">
        <v>2541</v>
      </c>
      <c r="G838">
        <f>"0151010811"</f>
        <v>0</v>
      </c>
      <c r="H838">
        <f>"9780151010813"</f>
        <v>0</v>
      </c>
      <c r="I838">
        <v>3</v>
      </c>
      <c r="J838">
        <v>3.56</v>
      </c>
      <c r="K838" t="s">
        <v>3422</v>
      </c>
      <c r="L838" t="s">
        <v>3492</v>
      </c>
      <c r="M838">
        <v>388</v>
      </c>
      <c r="N838">
        <v>2008</v>
      </c>
      <c r="O838">
        <v>2008</v>
      </c>
      <c r="P838" t="s">
        <v>3569</v>
      </c>
      <c r="Q838" t="s">
        <v>3592</v>
      </c>
      <c r="T838" t="s">
        <v>4621</v>
      </c>
      <c r="U838" t="s">
        <v>4687</v>
      </c>
      <c r="X838">
        <v>1</v>
      </c>
      <c r="AA838">
        <v>0</v>
      </c>
    </row>
    <row r="839" spans="1:27">
      <c r="A839" s="1">
        <v>837</v>
      </c>
      <c r="B839">
        <v>11472345</v>
      </c>
      <c r="C839" t="s">
        <v>867</v>
      </c>
      <c r="D839" t="s">
        <v>1736</v>
      </c>
      <c r="E839" t="s">
        <v>2542</v>
      </c>
      <c r="G839">
        <f>"0674055446"</f>
        <v>0</v>
      </c>
      <c r="H839">
        <f>"9780674055445"</f>
        <v>0</v>
      </c>
      <c r="I839">
        <v>0</v>
      </c>
      <c r="J839">
        <v>4.45</v>
      </c>
      <c r="K839" t="s">
        <v>3065</v>
      </c>
      <c r="L839" t="s">
        <v>3492</v>
      </c>
      <c r="M839">
        <v>928</v>
      </c>
      <c r="N839">
        <v>2011</v>
      </c>
      <c r="O839">
        <v>2011</v>
      </c>
      <c r="Q839" t="s">
        <v>3848</v>
      </c>
      <c r="R839" t="s">
        <v>3863</v>
      </c>
      <c r="S839" t="s">
        <v>4480</v>
      </c>
      <c r="T839" t="s">
        <v>3863</v>
      </c>
      <c r="X839">
        <v>0</v>
      </c>
      <c r="AA839">
        <v>0</v>
      </c>
    </row>
    <row r="840" spans="1:27">
      <c r="A840" s="1">
        <v>838</v>
      </c>
      <c r="B840">
        <v>18465875</v>
      </c>
      <c r="C840" t="s">
        <v>868</v>
      </c>
      <c r="D840" t="s">
        <v>1737</v>
      </c>
      <c r="E840" t="s">
        <v>2543</v>
      </c>
      <c r="G840">
        <f>"077043617X"</f>
        <v>0</v>
      </c>
      <c r="H840">
        <f>"9780770436179"</f>
        <v>0</v>
      </c>
      <c r="I840">
        <v>5</v>
      </c>
      <c r="J840">
        <v>4.16</v>
      </c>
      <c r="K840" t="s">
        <v>3350</v>
      </c>
      <c r="L840" t="s">
        <v>3492</v>
      </c>
      <c r="M840">
        <v>406</v>
      </c>
      <c r="N840">
        <v>2014</v>
      </c>
      <c r="O840">
        <v>2014</v>
      </c>
      <c r="P840" t="s">
        <v>3570</v>
      </c>
      <c r="Q840" t="s">
        <v>3592</v>
      </c>
      <c r="T840" t="s">
        <v>4621</v>
      </c>
      <c r="U840" t="s">
        <v>4688</v>
      </c>
      <c r="X840">
        <v>1</v>
      </c>
      <c r="AA840">
        <v>0</v>
      </c>
    </row>
    <row r="841" spans="1:27">
      <c r="A841" s="1">
        <v>839</v>
      </c>
      <c r="B841">
        <v>25159062</v>
      </c>
      <c r="C841" t="s">
        <v>869</v>
      </c>
      <c r="D841" t="s">
        <v>1738</v>
      </c>
      <c r="E841" t="s">
        <v>2544</v>
      </c>
      <c r="G841">
        <f>"1610395832"</f>
        <v>0</v>
      </c>
      <c r="H841">
        <f>"9781610395830"</f>
        <v>0</v>
      </c>
      <c r="I841">
        <v>0</v>
      </c>
      <c r="J841">
        <v>4.15</v>
      </c>
      <c r="K841" t="s">
        <v>3047</v>
      </c>
      <c r="L841" t="s">
        <v>3492</v>
      </c>
      <c r="M841">
        <v>288</v>
      </c>
      <c r="N841">
        <v>2016</v>
      </c>
      <c r="O841">
        <v>2016</v>
      </c>
      <c r="Q841" t="s">
        <v>3849</v>
      </c>
      <c r="R841" t="s">
        <v>3863</v>
      </c>
      <c r="S841" t="s">
        <v>4481</v>
      </c>
      <c r="T841" t="s">
        <v>3863</v>
      </c>
      <c r="X841">
        <v>0</v>
      </c>
      <c r="AA841">
        <v>0</v>
      </c>
    </row>
    <row r="842" spans="1:27">
      <c r="A842" s="1">
        <v>840</v>
      </c>
      <c r="B842">
        <v>1769709</v>
      </c>
      <c r="C842" t="s">
        <v>870</v>
      </c>
      <c r="D842" t="s">
        <v>1739</v>
      </c>
      <c r="E842" t="s">
        <v>2545</v>
      </c>
      <c r="G842">
        <f>"1565843584"</f>
        <v>0</v>
      </c>
      <c r="H842">
        <f>"9781565843585"</f>
        <v>0</v>
      </c>
      <c r="I842">
        <v>0</v>
      </c>
      <c r="J842">
        <v>3.83</v>
      </c>
      <c r="K842" t="s">
        <v>3423</v>
      </c>
      <c r="L842" t="s">
        <v>3491</v>
      </c>
      <c r="M842">
        <v>978</v>
      </c>
      <c r="N842">
        <v>1997</v>
      </c>
      <c r="O842">
        <v>1947</v>
      </c>
      <c r="Q842" t="s">
        <v>3850</v>
      </c>
      <c r="R842" t="s">
        <v>3863</v>
      </c>
      <c r="S842" t="s">
        <v>4482</v>
      </c>
      <c r="T842" t="s">
        <v>3863</v>
      </c>
      <c r="X842">
        <v>0</v>
      </c>
      <c r="AA842">
        <v>0</v>
      </c>
    </row>
    <row r="843" spans="1:27">
      <c r="A843" s="1">
        <v>841</v>
      </c>
      <c r="B843">
        <v>849480</v>
      </c>
      <c r="C843" t="s">
        <v>871</v>
      </c>
      <c r="D843" t="s">
        <v>1739</v>
      </c>
      <c r="E843" t="s">
        <v>2545</v>
      </c>
      <c r="G843">
        <f>"0060116889"</f>
        <v>0</v>
      </c>
      <c r="H843">
        <f>"9780060116880"</f>
        <v>0</v>
      </c>
      <c r="I843">
        <v>0</v>
      </c>
      <c r="J843">
        <v>3.9</v>
      </c>
      <c r="K843" t="s">
        <v>3424</v>
      </c>
      <c r="L843" t="s">
        <v>3492</v>
      </c>
      <c r="M843">
        <v>610</v>
      </c>
      <c r="N843">
        <v>1967</v>
      </c>
      <c r="O843">
        <v>1967</v>
      </c>
      <c r="Q843" t="s">
        <v>3850</v>
      </c>
      <c r="R843" t="s">
        <v>3863</v>
      </c>
      <c r="S843" t="s">
        <v>4483</v>
      </c>
      <c r="T843" t="s">
        <v>3863</v>
      </c>
      <c r="X843">
        <v>0</v>
      </c>
      <c r="AA843">
        <v>0</v>
      </c>
    </row>
    <row r="844" spans="1:27">
      <c r="A844" s="1">
        <v>842</v>
      </c>
      <c r="B844">
        <v>2968922</v>
      </c>
      <c r="C844" t="s">
        <v>872</v>
      </c>
      <c r="D844" t="s">
        <v>1739</v>
      </c>
      <c r="E844" t="s">
        <v>2545</v>
      </c>
      <c r="G844">
        <f>"0836981979"</f>
        <v>0</v>
      </c>
      <c r="H844">
        <f>"9780836981971"</f>
        <v>0</v>
      </c>
      <c r="I844">
        <v>0</v>
      </c>
      <c r="J844">
        <v>3.81</v>
      </c>
      <c r="K844" t="s">
        <v>3425</v>
      </c>
      <c r="L844" t="s">
        <v>3492</v>
      </c>
      <c r="M844">
        <v>952</v>
      </c>
      <c r="N844">
        <v>1987</v>
      </c>
      <c r="O844">
        <v>1955</v>
      </c>
      <c r="Q844" t="s">
        <v>3850</v>
      </c>
      <c r="R844" t="s">
        <v>3863</v>
      </c>
      <c r="S844" t="s">
        <v>4484</v>
      </c>
      <c r="T844" t="s">
        <v>3863</v>
      </c>
      <c r="X844">
        <v>0</v>
      </c>
      <c r="AA844">
        <v>0</v>
      </c>
    </row>
    <row r="845" spans="1:27">
      <c r="A845" s="1">
        <v>843</v>
      </c>
      <c r="B845">
        <v>1868892</v>
      </c>
      <c r="C845" t="s">
        <v>873</v>
      </c>
      <c r="D845" t="s">
        <v>1739</v>
      </c>
      <c r="E845" t="s">
        <v>2545</v>
      </c>
      <c r="G845">
        <f>""</f>
        <v>0</v>
      </c>
      <c r="H845">
        <f>""</f>
        <v>0</v>
      </c>
      <c r="I845">
        <v>0</v>
      </c>
      <c r="J845">
        <v>4.13</v>
      </c>
      <c r="K845" t="s">
        <v>3426</v>
      </c>
      <c r="L845" t="s">
        <v>3492</v>
      </c>
      <c r="M845">
        <v>606</v>
      </c>
      <c r="N845">
        <v>1940</v>
      </c>
      <c r="O845">
        <v>1933</v>
      </c>
      <c r="Q845" t="s">
        <v>3850</v>
      </c>
      <c r="R845" t="s">
        <v>3863</v>
      </c>
      <c r="S845" t="s">
        <v>4485</v>
      </c>
      <c r="T845" t="s">
        <v>3863</v>
      </c>
      <c r="X845">
        <v>0</v>
      </c>
      <c r="AA845">
        <v>0</v>
      </c>
    </row>
    <row r="846" spans="1:27">
      <c r="A846" s="1">
        <v>844</v>
      </c>
      <c r="B846">
        <v>2232250</v>
      </c>
      <c r="C846" t="s">
        <v>874</v>
      </c>
      <c r="D846" t="s">
        <v>1739</v>
      </c>
      <c r="E846" t="s">
        <v>2545</v>
      </c>
      <c r="G846">
        <f>"1931541094"</f>
        <v>0</v>
      </c>
      <c r="H846">
        <f>"9781931541091"</f>
        <v>0</v>
      </c>
      <c r="I846">
        <v>0</v>
      </c>
      <c r="J846">
        <v>3.63</v>
      </c>
      <c r="K846" t="s">
        <v>3427</v>
      </c>
      <c r="L846" t="s">
        <v>3491</v>
      </c>
      <c r="M846">
        <v>659</v>
      </c>
      <c r="N846">
        <v>2001</v>
      </c>
      <c r="O846">
        <v>1939</v>
      </c>
      <c r="Q846" t="s">
        <v>3850</v>
      </c>
      <c r="R846" t="s">
        <v>3863</v>
      </c>
      <c r="S846" t="s">
        <v>4486</v>
      </c>
      <c r="T846" t="s">
        <v>3863</v>
      </c>
      <c r="X846">
        <v>0</v>
      </c>
      <c r="AA846">
        <v>0</v>
      </c>
    </row>
    <row r="847" spans="1:27">
      <c r="A847" s="1">
        <v>845</v>
      </c>
      <c r="B847">
        <v>5635849</v>
      </c>
      <c r="C847" t="s">
        <v>875</v>
      </c>
      <c r="D847" t="s">
        <v>1740</v>
      </c>
      <c r="E847" t="s">
        <v>2546</v>
      </c>
      <c r="F847" t="s">
        <v>2946</v>
      </c>
      <c r="G847">
        <f>"0702233102"</f>
        <v>0</v>
      </c>
      <c r="H847">
        <f>"9780702233104"</f>
        <v>0</v>
      </c>
      <c r="I847">
        <v>0</v>
      </c>
      <c r="J847">
        <v>3.89</v>
      </c>
      <c r="K847" t="s">
        <v>3428</v>
      </c>
      <c r="L847" t="s">
        <v>3491</v>
      </c>
      <c r="M847">
        <v>186</v>
      </c>
      <c r="N847">
        <v>2002</v>
      </c>
      <c r="O847">
        <v>1958</v>
      </c>
      <c r="Q847" t="s">
        <v>3851</v>
      </c>
      <c r="R847" t="s">
        <v>3863</v>
      </c>
      <c r="S847" t="s">
        <v>4487</v>
      </c>
      <c r="T847" t="s">
        <v>3863</v>
      </c>
      <c r="X847">
        <v>0</v>
      </c>
      <c r="AA847">
        <v>0</v>
      </c>
    </row>
    <row r="848" spans="1:27">
      <c r="A848" s="1">
        <v>846</v>
      </c>
      <c r="B848">
        <v>544053</v>
      </c>
      <c r="C848" t="s">
        <v>876</v>
      </c>
      <c r="D848" t="s">
        <v>1741</v>
      </c>
      <c r="E848" t="s">
        <v>2547</v>
      </c>
      <c r="G848">
        <f>"0156180359"</f>
        <v>0</v>
      </c>
      <c r="H848">
        <f>"9780156180351"</f>
        <v>0</v>
      </c>
      <c r="I848">
        <v>0</v>
      </c>
      <c r="J848">
        <v>4.11</v>
      </c>
      <c r="K848" t="s">
        <v>3107</v>
      </c>
      <c r="L848" t="s">
        <v>3491</v>
      </c>
      <c r="M848">
        <v>784</v>
      </c>
      <c r="N848">
        <v>1968</v>
      </c>
      <c r="O848">
        <v>1961</v>
      </c>
      <c r="Q848" t="s">
        <v>3852</v>
      </c>
      <c r="R848" t="s">
        <v>3863</v>
      </c>
      <c r="S848" t="s">
        <v>4488</v>
      </c>
      <c r="T848" t="s">
        <v>3863</v>
      </c>
      <c r="X848">
        <v>0</v>
      </c>
      <c r="AA848">
        <v>0</v>
      </c>
    </row>
    <row r="849" spans="1:27">
      <c r="A849" s="1">
        <v>847</v>
      </c>
      <c r="B849">
        <v>44142112</v>
      </c>
      <c r="C849" t="s">
        <v>877</v>
      </c>
      <c r="D849" t="s">
        <v>1742</v>
      </c>
      <c r="E849" t="s">
        <v>2548</v>
      </c>
      <c r="G849">
        <f>"1119564816"</f>
        <v>0</v>
      </c>
      <c r="H849">
        <f>"9781119564812"</f>
        <v>0</v>
      </c>
      <c r="I849">
        <v>0</v>
      </c>
      <c r="J849">
        <v>4.28</v>
      </c>
      <c r="K849" t="s">
        <v>3127</v>
      </c>
      <c r="L849" t="s">
        <v>3492</v>
      </c>
      <c r="M849">
        <v>256</v>
      </c>
      <c r="N849">
        <v>2019</v>
      </c>
      <c r="Q849" t="s">
        <v>3852</v>
      </c>
      <c r="R849" t="s">
        <v>3863</v>
      </c>
      <c r="S849" t="s">
        <v>4489</v>
      </c>
      <c r="T849" t="s">
        <v>3863</v>
      </c>
      <c r="X849">
        <v>0</v>
      </c>
      <c r="AA849">
        <v>0</v>
      </c>
    </row>
    <row r="850" spans="1:27">
      <c r="A850" s="1">
        <v>848</v>
      </c>
      <c r="B850">
        <v>47281</v>
      </c>
      <c r="C850" t="s">
        <v>878</v>
      </c>
      <c r="D850" t="s">
        <v>1733</v>
      </c>
      <c r="E850" t="s">
        <v>2539</v>
      </c>
      <c r="G850">
        <f>"0440227534"</f>
        <v>0</v>
      </c>
      <c r="H850">
        <f>"9780440227533"</f>
        <v>0</v>
      </c>
      <c r="I850">
        <v>0</v>
      </c>
      <c r="J850">
        <v>4.17</v>
      </c>
      <c r="K850" t="s">
        <v>3420</v>
      </c>
      <c r="L850" t="s">
        <v>3495</v>
      </c>
      <c r="M850">
        <v>137</v>
      </c>
      <c r="N850">
        <v>1998</v>
      </c>
      <c r="O850">
        <v>1989</v>
      </c>
      <c r="Q850" t="s">
        <v>3853</v>
      </c>
      <c r="T850" t="s">
        <v>4621</v>
      </c>
      <c r="X850">
        <v>1</v>
      </c>
      <c r="AA850">
        <v>0</v>
      </c>
    </row>
    <row r="851" spans="1:27">
      <c r="A851" s="1">
        <v>849</v>
      </c>
      <c r="B851">
        <v>37190</v>
      </c>
      <c r="C851" t="s">
        <v>879</v>
      </c>
      <c r="D851" t="s">
        <v>1743</v>
      </c>
      <c r="E851" t="s">
        <v>2549</v>
      </c>
      <c r="F851" t="s">
        <v>2947</v>
      </c>
      <c r="G851">
        <f>"0763625299"</f>
        <v>0</v>
      </c>
      <c r="H851">
        <f>"9780763625290"</f>
        <v>0</v>
      </c>
      <c r="I851">
        <v>0</v>
      </c>
      <c r="J851">
        <v>4.05</v>
      </c>
      <c r="K851" t="s">
        <v>3429</v>
      </c>
      <c r="L851" t="s">
        <v>3491</v>
      </c>
      <c r="M851">
        <v>267</v>
      </c>
      <c r="N851">
        <v>2008</v>
      </c>
      <c r="O851">
        <v>2003</v>
      </c>
      <c r="Q851" t="s">
        <v>3853</v>
      </c>
      <c r="T851" t="s">
        <v>4621</v>
      </c>
      <c r="X851">
        <v>1</v>
      </c>
      <c r="AA851">
        <v>0</v>
      </c>
    </row>
    <row r="852" spans="1:27">
      <c r="A852" s="1">
        <v>850</v>
      </c>
      <c r="B852">
        <v>307791</v>
      </c>
      <c r="C852" t="s">
        <v>880</v>
      </c>
      <c r="D852" t="s">
        <v>1744</v>
      </c>
      <c r="E852" t="s">
        <v>2550</v>
      </c>
      <c r="G852">
        <f>"0375822747"</f>
        <v>0</v>
      </c>
      <c r="H852">
        <f>"9780375822742"</f>
        <v>0</v>
      </c>
      <c r="I852">
        <v>0</v>
      </c>
      <c r="J852">
        <v>3.88</v>
      </c>
      <c r="K852" t="s">
        <v>3430</v>
      </c>
      <c r="L852" t="s">
        <v>3491</v>
      </c>
      <c r="M852">
        <v>270</v>
      </c>
      <c r="N852">
        <v>2003</v>
      </c>
      <c r="O852">
        <v>2003</v>
      </c>
      <c r="Q852" t="s">
        <v>3853</v>
      </c>
      <c r="T852" t="s">
        <v>4621</v>
      </c>
      <c r="X852">
        <v>1</v>
      </c>
      <c r="AA852">
        <v>0</v>
      </c>
    </row>
    <row r="853" spans="1:27">
      <c r="A853" s="1">
        <v>851</v>
      </c>
      <c r="B853">
        <v>10264047</v>
      </c>
      <c r="C853" t="s">
        <v>881</v>
      </c>
      <c r="D853" t="s">
        <v>1745</v>
      </c>
      <c r="E853" t="s">
        <v>2551</v>
      </c>
      <c r="G853">
        <f>""</f>
        <v>0</v>
      </c>
      <c r="H853">
        <f>""</f>
        <v>0</v>
      </c>
      <c r="I853">
        <v>0</v>
      </c>
      <c r="J853">
        <v>3.74</v>
      </c>
      <c r="K853" t="s">
        <v>3431</v>
      </c>
      <c r="N853">
        <v>1979</v>
      </c>
      <c r="O853">
        <v>1979</v>
      </c>
      <c r="Q853" t="s">
        <v>3854</v>
      </c>
      <c r="R853" t="s">
        <v>3863</v>
      </c>
      <c r="S853" t="s">
        <v>4490</v>
      </c>
      <c r="T853" t="s">
        <v>3863</v>
      </c>
      <c r="X853">
        <v>0</v>
      </c>
      <c r="AA853">
        <v>0</v>
      </c>
    </row>
    <row r="854" spans="1:27">
      <c r="A854" s="1">
        <v>852</v>
      </c>
      <c r="B854">
        <v>64280</v>
      </c>
      <c r="C854" t="s">
        <v>882</v>
      </c>
      <c r="D854" t="s">
        <v>1746</v>
      </c>
      <c r="E854" t="s">
        <v>2552</v>
      </c>
      <c r="F854" t="s">
        <v>2948</v>
      </c>
      <c r="G854">
        <f>"0877854769"</f>
        <v>0</v>
      </c>
      <c r="H854">
        <f>"9780877854760"</f>
        <v>0</v>
      </c>
      <c r="I854">
        <v>0</v>
      </c>
      <c r="J854">
        <v>4</v>
      </c>
      <c r="K854" t="s">
        <v>3432</v>
      </c>
      <c r="L854" t="s">
        <v>3491</v>
      </c>
      <c r="M854">
        <v>544</v>
      </c>
      <c r="N854">
        <v>2000</v>
      </c>
      <c r="O854">
        <v>1758</v>
      </c>
      <c r="Q854" t="s">
        <v>3855</v>
      </c>
      <c r="R854" t="s">
        <v>3863</v>
      </c>
      <c r="S854" t="s">
        <v>4491</v>
      </c>
      <c r="T854" t="s">
        <v>3863</v>
      </c>
      <c r="X854">
        <v>0</v>
      </c>
      <c r="AA854">
        <v>0</v>
      </c>
    </row>
    <row r="855" spans="1:27">
      <c r="A855" s="1">
        <v>853</v>
      </c>
      <c r="B855">
        <v>11294070</v>
      </c>
      <c r="C855" t="s">
        <v>883</v>
      </c>
      <c r="D855" t="s">
        <v>1747</v>
      </c>
      <c r="E855" t="s">
        <v>2553</v>
      </c>
      <c r="G855">
        <f>"1442204796"</f>
        <v>0</v>
      </c>
      <c r="H855">
        <f>"9781442204799"</f>
        <v>0</v>
      </c>
      <c r="I855">
        <v>0</v>
      </c>
      <c r="J855">
        <v>3.96</v>
      </c>
      <c r="K855" t="s">
        <v>3339</v>
      </c>
      <c r="L855" t="s">
        <v>3492</v>
      </c>
      <c r="M855">
        <v>232</v>
      </c>
      <c r="N855">
        <v>2011</v>
      </c>
      <c r="O855">
        <v>2011</v>
      </c>
      <c r="Q855" t="s">
        <v>3855</v>
      </c>
      <c r="R855" t="s">
        <v>3863</v>
      </c>
      <c r="S855" t="s">
        <v>4492</v>
      </c>
      <c r="T855" t="s">
        <v>3863</v>
      </c>
      <c r="X855">
        <v>0</v>
      </c>
      <c r="AA855">
        <v>0</v>
      </c>
    </row>
    <row r="856" spans="1:27">
      <c r="A856" s="1">
        <v>854</v>
      </c>
      <c r="B856">
        <v>18693910</v>
      </c>
      <c r="C856" t="s">
        <v>884</v>
      </c>
      <c r="D856" t="s">
        <v>1748</v>
      </c>
      <c r="E856" t="s">
        <v>2554</v>
      </c>
      <c r="G856">
        <f>"1594203474"</f>
        <v>0</v>
      </c>
      <c r="H856">
        <f>"9781594203473"</f>
        <v>0</v>
      </c>
      <c r="I856">
        <v>0</v>
      </c>
      <c r="J856">
        <v>4.25</v>
      </c>
      <c r="K856" t="s">
        <v>3050</v>
      </c>
      <c r="L856" t="s">
        <v>3492</v>
      </c>
      <c r="M856">
        <v>447</v>
      </c>
      <c r="N856">
        <v>2015</v>
      </c>
      <c r="O856">
        <v>2015</v>
      </c>
      <c r="Q856" t="s">
        <v>3855</v>
      </c>
      <c r="R856" t="s">
        <v>3863</v>
      </c>
      <c r="S856" t="s">
        <v>4493</v>
      </c>
      <c r="T856" t="s">
        <v>3863</v>
      </c>
      <c r="X856">
        <v>0</v>
      </c>
      <c r="AA856">
        <v>0</v>
      </c>
    </row>
    <row r="857" spans="1:27">
      <c r="A857" s="1">
        <v>855</v>
      </c>
      <c r="B857">
        <v>91360</v>
      </c>
      <c r="C857" t="s">
        <v>885</v>
      </c>
      <c r="D857" t="s">
        <v>1749</v>
      </c>
      <c r="E857" t="s">
        <v>2555</v>
      </c>
      <c r="G857">
        <f>"0452281806"</f>
        <v>0</v>
      </c>
      <c r="H857">
        <f>"9780452281806"</f>
        <v>0</v>
      </c>
      <c r="I857">
        <v>0</v>
      </c>
      <c r="J857">
        <v>3.97</v>
      </c>
      <c r="K857" t="s">
        <v>3433</v>
      </c>
      <c r="L857" t="s">
        <v>3491</v>
      </c>
      <c r="M857">
        <v>400</v>
      </c>
      <c r="N857">
        <v>2000</v>
      </c>
      <c r="O857">
        <v>1996</v>
      </c>
      <c r="Q857" t="s">
        <v>3855</v>
      </c>
      <c r="R857" t="s">
        <v>3863</v>
      </c>
      <c r="S857" t="s">
        <v>4494</v>
      </c>
      <c r="T857" t="s">
        <v>3863</v>
      </c>
      <c r="X857">
        <v>0</v>
      </c>
      <c r="AA857">
        <v>0</v>
      </c>
    </row>
    <row r="858" spans="1:27">
      <c r="A858" s="1">
        <v>856</v>
      </c>
      <c r="B858">
        <v>17125</v>
      </c>
      <c r="C858" t="s">
        <v>886</v>
      </c>
      <c r="D858" t="s">
        <v>1293</v>
      </c>
      <c r="E858" t="s">
        <v>2099</v>
      </c>
      <c r="F858" t="s">
        <v>2949</v>
      </c>
      <c r="G858">
        <f>""</f>
        <v>0</v>
      </c>
      <c r="H858">
        <f>""</f>
        <v>0</v>
      </c>
      <c r="I858">
        <v>5</v>
      </c>
      <c r="J858">
        <v>3.97</v>
      </c>
      <c r="K858" t="s">
        <v>3098</v>
      </c>
      <c r="L858" t="s">
        <v>3491</v>
      </c>
      <c r="M858">
        <v>182</v>
      </c>
      <c r="N858">
        <v>2005</v>
      </c>
      <c r="O858">
        <v>1962</v>
      </c>
      <c r="P858" t="s">
        <v>3571</v>
      </c>
      <c r="Q858" t="s">
        <v>3592</v>
      </c>
      <c r="T858" t="s">
        <v>4621</v>
      </c>
      <c r="U858" t="s">
        <v>4689</v>
      </c>
      <c r="X858">
        <v>1</v>
      </c>
      <c r="AA858">
        <v>0</v>
      </c>
    </row>
    <row r="859" spans="1:27">
      <c r="A859" s="1">
        <v>857</v>
      </c>
      <c r="B859">
        <v>146274</v>
      </c>
      <c r="C859" t="s">
        <v>887</v>
      </c>
      <c r="D859" t="s">
        <v>1750</v>
      </c>
      <c r="E859" t="s">
        <v>2556</v>
      </c>
      <c r="G859">
        <f>"0060518502"</f>
        <v>0</v>
      </c>
      <c r="H859">
        <f>"9780060518509"</f>
        <v>0</v>
      </c>
      <c r="I859">
        <v>0</v>
      </c>
      <c r="J859">
        <v>4.14</v>
      </c>
      <c r="K859" t="s">
        <v>3392</v>
      </c>
      <c r="L859" t="s">
        <v>3491</v>
      </c>
      <c r="M859">
        <v>444</v>
      </c>
      <c r="N859">
        <v>2007</v>
      </c>
      <c r="O859">
        <v>2006</v>
      </c>
      <c r="Q859" t="s">
        <v>3856</v>
      </c>
      <c r="R859" t="s">
        <v>3863</v>
      </c>
      <c r="S859" t="s">
        <v>4495</v>
      </c>
      <c r="T859" t="s">
        <v>3863</v>
      </c>
      <c r="X859">
        <v>0</v>
      </c>
      <c r="AA859">
        <v>0</v>
      </c>
    </row>
    <row r="860" spans="1:27">
      <c r="A860" s="1">
        <v>858</v>
      </c>
      <c r="B860">
        <v>331344</v>
      </c>
      <c r="C860" t="s">
        <v>888</v>
      </c>
      <c r="D860" t="s">
        <v>1459</v>
      </c>
      <c r="E860" t="s">
        <v>2265</v>
      </c>
      <c r="F860" t="s">
        <v>2950</v>
      </c>
      <c r="G860">
        <f>"0938077007"</f>
        <v>0</v>
      </c>
      <c r="H860">
        <f>"9780938077008"</f>
        <v>0</v>
      </c>
      <c r="I860">
        <v>2</v>
      </c>
      <c r="J860">
        <v>4.29</v>
      </c>
      <c r="K860" t="s">
        <v>3434</v>
      </c>
      <c r="L860" t="s">
        <v>3491</v>
      </c>
      <c r="M860">
        <v>115</v>
      </c>
      <c r="N860">
        <v>1988</v>
      </c>
      <c r="O860">
        <v>1987</v>
      </c>
      <c r="Q860" t="s">
        <v>3751</v>
      </c>
      <c r="T860" t="s">
        <v>4621</v>
      </c>
      <c r="X860">
        <v>1</v>
      </c>
      <c r="AA860">
        <v>0</v>
      </c>
    </row>
    <row r="861" spans="1:27">
      <c r="A861" s="1">
        <v>859</v>
      </c>
      <c r="B861">
        <v>10975</v>
      </c>
      <c r="C861" t="s">
        <v>889</v>
      </c>
      <c r="D861" t="s">
        <v>1751</v>
      </c>
      <c r="E861" t="s">
        <v>2557</v>
      </c>
      <c r="F861" t="s">
        <v>2951</v>
      </c>
      <c r="G861">
        <f>""</f>
        <v>0</v>
      </c>
      <c r="H861">
        <f>""</f>
        <v>0</v>
      </c>
      <c r="I861">
        <v>3</v>
      </c>
      <c r="J861">
        <v>3.86</v>
      </c>
      <c r="K861" t="s">
        <v>3262</v>
      </c>
      <c r="L861" t="s">
        <v>3491</v>
      </c>
      <c r="M861">
        <v>366</v>
      </c>
      <c r="N861">
        <v>1990</v>
      </c>
      <c r="O861">
        <v>1929</v>
      </c>
      <c r="Q861" t="s">
        <v>3751</v>
      </c>
      <c r="T861" t="s">
        <v>4621</v>
      </c>
      <c r="X861">
        <v>1</v>
      </c>
      <c r="AA861">
        <v>0</v>
      </c>
    </row>
    <row r="862" spans="1:27">
      <c r="A862" s="1">
        <v>860</v>
      </c>
      <c r="B862">
        <v>5129</v>
      </c>
      <c r="C862" t="s">
        <v>890</v>
      </c>
      <c r="D862" t="s">
        <v>1399</v>
      </c>
      <c r="E862" t="s">
        <v>2205</v>
      </c>
      <c r="G862">
        <f>"0060929871"</f>
        <v>0</v>
      </c>
      <c r="H862">
        <f>"9780060929879"</f>
        <v>0</v>
      </c>
      <c r="I862">
        <v>4</v>
      </c>
      <c r="J862">
        <v>3.99</v>
      </c>
      <c r="K862" t="s">
        <v>3435</v>
      </c>
      <c r="L862" t="s">
        <v>3491</v>
      </c>
      <c r="M862">
        <v>268</v>
      </c>
      <c r="N862">
        <v>1998</v>
      </c>
      <c r="O862">
        <v>1932</v>
      </c>
      <c r="Q862" t="s">
        <v>3857</v>
      </c>
      <c r="T862" t="s">
        <v>4621</v>
      </c>
      <c r="X862">
        <v>1</v>
      </c>
      <c r="AA862">
        <v>0</v>
      </c>
    </row>
    <row r="863" spans="1:27">
      <c r="A863" s="1">
        <v>861</v>
      </c>
      <c r="B863">
        <v>711901</v>
      </c>
      <c r="C863" t="s">
        <v>891</v>
      </c>
      <c r="D863" t="s">
        <v>1752</v>
      </c>
      <c r="E863" t="s">
        <v>2558</v>
      </c>
      <c r="F863" t="s">
        <v>2952</v>
      </c>
      <c r="G863">
        <f>"0316067598"</f>
        <v>0</v>
      </c>
      <c r="H863">
        <f>"9780316067591"</f>
        <v>0</v>
      </c>
      <c r="I863">
        <v>3</v>
      </c>
      <c r="J863">
        <v>4.32</v>
      </c>
      <c r="K863" t="s">
        <v>3258</v>
      </c>
      <c r="L863" t="s">
        <v>3492</v>
      </c>
      <c r="M863">
        <v>390</v>
      </c>
      <c r="N863">
        <v>2007</v>
      </c>
      <c r="O863">
        <v>2006</v>
      </c>
      <c r="Q863" t="s">
        <v>3751</v>
      </c>
      <c r="T863" t="s">
        <v>4621</v>
      </c>
      <c r="X863">
        <v>1</v>
      </c>
      <c r="AA863">
        <v>0</v>
      </c>
    </row>
    <row r="864" spans="1:27">
      <c r="A864" s="1">
        <v>862</v>
      </c>
      <c r="B864">
        <v>22034</v>
      </c>
      <c r="C864" t="s">
        <v>892</v>
      </c>
      <c r="D864" t="s">
        <v>1753</v>
      </c>
      <c r="E864" t="s">
        <v>2559</v>
      </c>
      <c r="F864" t="s">
        <v>2953</v>
      </c>
      <c r="G864">
        <f>""</f>
        <v>0</v>
      </c>
      <c r="H864">
        <f>""</f>
        <v>0</v>
      </c>
      <c r="I864">
        <v>5</v>
      </c>
      <c r="J864">
        <v>4.37</v>
      </c>
      <c r="K864" t="s">
        <v>3289</v>
      </c>
      <c r="L864" t="s">
        <v>3491</v>
      </c>
      <c r="M864">
        <v>448</v>
      </c>
      <c r="N864">
        <v>2002</v>
      </c>
      <c r="O864">
        <v>1969</v>
      </c>
      <c r="Q864" t="s">
        <v>3751</v>
      </c>
      <c r="T864" t="s">
        <v>4621</v>
      </c>
      <c r="X864">
        <v>1</v>
      </c>
      <c r="AA864">
        <v>0</v>
      </c>
    </row>
    <row r="865" spans="1:27">
      <c r="A865" s="1">
        <v>863</v>
      </c>
      <c r="B865">
        <v>12067799</v>
      </c>
      <c r="C865" t="s">
        <v>893</v>
      </c>
      <c r="D865" t="s">
        <v>1754</v>
      </c>
      <c r="E865" t="s">
        <v>2560</v>
      </c>
      <c r="G865">
        <f>"019976641X"</f>
        <v>0</v>
      </c>
      <c r="H865">
        <f>"9780199766413"</f>
        <v>0</v>
      </c>
      <c r="I865">
        <v>4</v>
      </c>
      <c r="J865">
        <v>3.58</v>
      </c>
      <c r="K865" t="s">
        <v>3061</v>
      </c>
      <c r="L865" t="s">
        <v>3492</v>
      </c>
      <c r="M865">
        <v>280</v>
      </c>
      <c r="N865">
        <v>2011</v>
      </c>
      <c r="O865">
        <v>2011</v>
      </c>
      <c r="Q865" t="s">
        <v>3751</v>
      </c>
      <c r="T865" t="s">
        <v>4621</v>
      </c>
      <c r="X865">
        <v>1</v>
      </c>
      <c r="AA865">
        <v>0</v>
      </c>
    </row>
    <row r="866" spans="1:27">
      <c r="A866" s="1">
        <v>864</v>
      </c>
      <c r="B866">
        <v>13030270</v>
      </c>
      <c r="C866" t="s">
        <v>894</v>
      </c>
      <c r="D866" t="s">
        <v>1755</v>
      </c>
      <c r="E866" t="s">
        <v>2561</v>
      </c>
      <c r="G866">
        <f>""</f>
        <v>0</v>
      </c>
      <c r="H866">
        <f>""</f>
        <v>0</v>
      </c>
      <c r="I866">
        <v>4</v>
      </c>
      <c r="J866">
        <v>4.02</v>
      </c>
      <c r="K866" t="s">
        <v>3436</v>
      </c>
      <c r="L866" t="s">
        <v>3491</v>
      </c>
      <c r="M866">
        <v>199</v>
      </c>
      <c r="N866">
        <v>2011</v>
      </c>
      <c r="O866">
        <v>2011</v>
      </c>
      <c r="Q866" t="s">
        <v>3751</v>
      </c>
      <c r="T866" t="s">
        <v>4621</v>
      </c>
      <c r="X866">
        <v>1</v>
      </c>
      <c r="AA866">
        <v>0</v>
      </c>
    </row>
    <row r="867" spans="1:27">
      <c r="A867" s="1">
        <v>865</v>
      </c>
      <c r="B867">
        <v>2956</v>
      </c>
      <c r="C867" t="s">
        <v>895</v>
      </c>
      <c r="D867" t="s">
        <v>1363</v>
      </c>
      <c r="E867" t="s">
        <v>2169</v>
      </c>
      <c r="F867" t="s">
        <v>2954</v>
      </c>
      <c r="G867">
        <f>"0142437174"</f>
        <v>0</v>
      </c>
      <c r="H867">
        <f>"9780142437179"</f>
        <v>0</v>
      </c>
      <c r="I867">
        <v>4</v>
      </c>
      <c r="J867">
        <v>3.82</v>
      </c>
      <c r="K867" t="s">
        <v>3146</v>
      </c>
      <c r="L867" t="s">
        <v>3491</v>
      </c>
      <c r="M867">
        <v>327</v>
      </c>
      <c r="N867">
        <v>2002</v>
      </c>
      <c r="O867">
        <v>1884</v>
      </c>
      <c r="Q867" t="s">
        <v>3751</v>
      </c>
      <c r="T867" t="s">
        <v>4621</v>
      </c>
      <c r="X867">
        <v>1</v>
      </c>
      <c r="AA867">
        <v>0</v>
      </c>
    </row>
    <row r="868" spans="1:27">
      <c r="A868" s="1">
        <v>866</v>
      </c>
      <c r="B868">
        <v>40604658</v>
      </c>
      <c r="C868" t="s">
        <v>896</v>
      </c>
      <c r="D868" t="s">
        <v>1756</v>
      </c>
      <c r="E868" t="s">
        <v>2562</v>
      </c>
      <c r="G868">
        <f>""</f>
        <v>0</v>
      </c>
      <c r="H868">
        <f>""</f>
        <v>0</v>
      </c>
      <c r="I868">
        <v>4</v>
      </c>
      <c r="J868">
        <v>4.07</v>
      </c>
      <c r="K868" t="s">
        <v>3001</v>
      </c>
      <c r="L868" t="s">
        <v>3493</v>
      </c>
      <c r="M868">
        <v>466</v>
      </c>
      <c r="N868">
        <v>2012</v>
      </c>
      <c r="O868">
        <v>1990</v>
      </c>
      <c r="Q868" t="s">
        <v>3751</v>
      </c>
      <c r="T868" t="s">
        <v>4621</v>
      </c>
      <c r="X868">
        <v>1</v>
      </c>
      <c r="AA868">
        <v>0</v>
      </c>
    </row>
    <row r="869" spans="1:27">
      <c r="A869" s="1">
        <v>867</v>
      </c>
      <c r="B869">
        <v>8650</v>
      </c>
      <c r="C869" t="s">
        <v>897</v>
      </c>
      <c r="D869" t="s">
        <v>1756</v>
      </c>
      <c r="E869" t="s">
        <v>2562</v>
      </c>
      <c r="G869">
        <f>"0752224417"</f>
        <v>0</v>
      </c>
      <c r="H869">
        <f>"9780752224411"</f>
        <v>0</v>
      </c>
      <c r="I869">
        <v>4</v>
      </c>
      <c r="J869">
        <v>3.82</v>
      </c>
      <c r="K869" t="s">
        <v>3437</v>
      </c>
      <c r="L869" t="s">
        <v>3495</v>
      </c>
      <c r="M869">
        <v>448</v>
      </c>
      <c r="N869">
        <v>1995</v>
      </c>
      <c r="O869">
        <v>1995</v>
      </c>
      <c r="Q869" t="s">
        <v>3751</v>
      </c>
      <c r="T869" t="s">
        <v>4621</v>
      </c>
      <c r="X869">
        <v>1</v>
      </c>
      <c r="AA869">
        <v>0</v>
      </c>
    </row>
    <row r="870" spans="1:27">
      <c r="A870" s="1">
        <v>868</v>
      </c>
      <c r="B870">
        <v>229281</v>
      </c>
      <c r="C870" t="s">
        <v>898</v>
      </c>
      <c r="D870" t="s">
        <v>1757</v>
      </c>
      <c r="E870" t="s">
        <v>2563</v>
      </c>
      <c r="G870">
        <f>"0486296725"</f>
        <v>0</v>
      </c>
      <c r="H870">
        <f>"9780486296722"</f>
        <v>0</v>
      </c>
      <c r="I870">
        <v>2</v>
      </c>
      <c r="J870">
        <v>3.58</v>
      </c>
      <c r="K870" t="s">
        <v>3045</v>
      </c>
      <c r="L870" t="s">
        <v>3491</v>
      </c>
      <c r="M870">
        <v>288</v>
      </c>
      <c r="N870">
        <v>1997</v>
      </c>
      <c r="O870">
        <v>1970</v>
      </c>
      <c r="Q870" t="s">
        <v>3751</v>
      </c>
      <c r="T870" t="s">
        <v>4621</v>
      </c>
      <c r="X870">
        <v>1</v>
      </c>
      <c r="AA870">
        <v>0</v>
      </c>
    </row>
    <row r="871" spans="1:27">
      <c r="A871" s="1">
        <v>869</v>
      </c>
      <c r="B871">
        <v>36064445</v>
      </c>
      <c r="C871" t="s">
        <v>899</v>
      </c>
      <c r="D871" t="s">
        <v>1473</v>
      </c>
      <c r="E871" t="s">
        <v>2279</v>
      </c>
      <c r="G871">
        <f>"0241300657"</f>
        <v>0</v>
      </c>
      <c r="H871">
        <f>"9780241300657"</f>
        <v>0</v>
      </c>
      <c r="I871">
        <v>5</v>
      </c>
      <c r="J871">
        <v>3.89</v>
      </c>
      <c r="K871" t="s">
        <v>3184</v>
      </c>
      <c r="L871" t="s">
        <v>3491</v>
      </c>
      <c r="M871">
        <v>272</v>
      </c>
      <c r="N871">
        <v>2018</v>
      </c>
      <c r="O871">
        <v>2018</v>
      </c>
      <c r="Q871" t="s">
        <v>3751</v>
      </c>
      <c r="T871" t="s">
        <v>4621</v>
      </c>
      <c r="X871">
        <v>1</v>
      </c>
      <c r="AA871">
        <v>0</v>
      </c>
    </row>
    <row r="872" spans="1:27">
      <c r="A872" s="1">
        <v>870</v>
      </c>
      <c r="B872">
        <v>4778436</v>
      </c>
      <c r="C872" t="s">
        <v>900</v>
      </c>
      <c r="D872" t="s">
        <v>1758</v>
      </c>
      <c r="E872" t="s">
        <v>2564</v>
      </c>
      <c r="G872">
        <f>"0618858679"</f>
        <v>0</v>
      </c>
      <c r="H872">
        <f>"9780618858675"</f>
        <v>0</v>
      </c>
      <c r="I872">
        <v>4</v>
      </c>
      <c r="J872">
        <v>4.23</v>
      </c>
      <c r="K872" t="s">
        <v>3300</v>
      </c>
      <c r="L872" t="s">
        <v>3492</v>
      </c>
      <c r="M872">
        <v>390</v>
      </c>
      <c r="N872">
        <v>2009</v>
      </c>
      <c r="O872">
        <v>2009</v>
      </c>
      <c r="Q872" t="s">
        <v>3751</v>
      </c>
      <c r="T872" t="s">
        <v>4621</v>
      </c>
      <c r="X872">
        <v>1</v>
      </c>
      <c r="AA872">
        <v>0</v>
      </c>
    </row>
    <row r="873" spans="1:27">
      <c r="A873" s="1">
        <v>871</v>
      </c>
      <c r="B873">
        <v>28381</v>
      </c>
      <c r="C873" t="s">
        <v>901</v>
      </c>
      <c r="D873" t="s">
        <v>1759</v>
      </c>
      <c r="E873" t="s">
        <v>2565</v>
      </c>
      <c r="F873" t="s">
        <v>2955</v>
      </c>
      <c r="G873">
        <f>"0140448071"</f>
        <v>0</v>
      </c>
      <c r="H873">
        <f>"9780140448078"</f>
        <v>0</v>
      </c>
      <c r="I873">
        <v>3</v>
      </c>
      <c r="J873">
        <v>3.98</v>
      </c>
      <c r="K873" t="s">
        <v>3146</v>
      </c>
      <c r="L873" t="s">
        <v>3491</v>
      </c>
      <c r="M873">
        <v>464</v>
      </c>
      <c r="N873">
        <v>2004</v>
      </c>
      <c r="O873">
        <v>1842</v>
      </c>
      <c r="Q873" t="s">
        <v>3751</v>
      </c>
      <c r="T873" t="s">
        <v>4621</v>
      </c>
      <c r="X873">
        <v>1</v>
      </c>
      <c r="AA873">
        <v>0</v>
      </c>
    </row>
    <row r="874" spans="1:27">
      <c r="A874" s="1">
        <v>872</v>
      </c>
      <c r="B874">
        <v>253984</v>
      </c>
      <c r="C874" t="s">
        <v>902</v>
      </c>
      <c r="D874" t="s">
        <v>1677</v>
      </c>
      <c r="E874" t="s">
        <v>2483</v>
      </c>
      <c r="F874" t="s">
        <v>2914</v>
      </c>
      <c r="G874">
        <f>"1590171659"</f>
        <v>0</v>
      </c>
      <c r="H874">
        <f>"9781590171653"</f>
        <v>0</v>
      </c>
      <c r="I874">
        <v>3</v>
      </c>
      <c r="J874">
        <v>4.05</v>
      </c>
      <c r="K874" t="s">
        <v>3003</v>
      </c>
      <c r="L874" t="s">
        <v>3491</v>
      </c>
      <c r="M874">
        <v>321</v>
      </c>
      <c r="N874">
        <v>2005</v>
      </c>
      <c r="O874">
        <v>1977</v>
      </c>
      <c r="Q874" t="s">
        <v>3751</v>
      </c>
      <c r="T874" t="s">
        <v>4621</v>
      </c>
      <c r="X874">
        <v>1</v>
      </c>
      <c r="AA874">
        <v>0</v>
      </c>
    </row>
    <row r="875" spans="1:27">
      <c r="A875" s="1">
        <v>873</v>
      </c>
      <c r="B875">
        <v>39644250</v>
      </c>
      <c r="C875" t="s">
        <v>903</v>
      </c>
      <c r="D875" t="s">
        <v>1760</v>
      </c>
      <c r="E875" t="s">
        <v>2566</v>
      </c>
      <c r="G875">
        <f>"0262535955"</f>
        <v>0</v>
      </c>
      <c r="H875">
        <f>"9780262535953"</f>
        <v>0</v>
      </c>
      <c r="I875">
        <v>3</v>
      </c>
      <c r="J875">
        <v>3.64</v>
      </c>
      <c r="K875" t="s">
        <v>3031</v>
      </c>
      <c r="L875" t="s">
        <v>3491</v>
      </c>
      <c r="M875">
        <v>228</v>
      </c>
      <c r="N875">
        <v>2018</v>
      </c>
      <c r="Q875" t="s">
        <v>3751</v>
      </c>
      <c r="T875" t="s">
        <v>4621</v>
      </c>
      <c r="X875">
        <v>1</v>
      </c>
      <c r="AA875">
        <v>0</v>
      </c>
    </row>
    <row r="876" spans="1:27">
      <c r="A876" s="1">
        <v>874</v>
      </c>
      <c r="B876">
        <v>7713461</v>
      </c>
      <c r="C876" t="s">
        <v>904</v>
      </c>
      <c r="D876" t="s">
        <v>1761</v>
      </c>
      <c r="E876" t="s">
        <v>2567</v>
      </c>
      <c r="G876">
        <f>"143918903X"</f>
        <v>0</v>
      </c>
      <c r="H876">
        <f>"9781439189030"</f>
        <v>0</v>
      </c>
      <c r="I876">
        <v>3</v>
      </c>
      <c r="J876">
        <v>4.16</v>
      </c>
      <c r="K876" t="s">
        <v>3438</v>
      </c>
      <c r="L876" t="s">
        <v>3492</v>
      </c>
      <c r="M876">
        <v>352</v>
      </c>
      <c r="N876">
        <v>2010</v>
      </c>
      <c r="O876">
        <v>2010</v>
      </c>
      <c r="Q876" t="s">
        <v>3751</v>
      </c>
      <c r="T876" t="s">
        <v>4621</v>
      </c>
      <c r="X876">
        <v>1</v>
      </c>
      <c r="AA876">
        <v>0</v>
      </c>
    </row>
    <row r="877" spans="1:27">
      <c r="A877" s="1">
        <v>875</v>
      </c>
      <c r="B877">
        <v>21192565</v>
      </c>
      <c r="C877" t="s">
        <v>905</v>
      </c>
      <c r="D877" t="s">
        <v>1454</v>
      </c>
      <c r="E877" t="s">
        <v>2260</v>
      </c>
      <c r="G877">
        <f>""</f>
        <v>0</v>
      </c>
      <c r="H877">
        <f>""</f>
        <v>0</v>
      </c>
      <c r="I877">
        <v>3</v>
      </c>
      <c r="J877">
        <v>4.37</v>
      </c>
      <c r="K877" t="s">
        <v>3439</v>
      </c>
      <c r="L877" t="s">
        <v>3493</v>
      </c>
      <c r="M877">
        <v>208</v>
      </c>
      <c r="N877">
        <v>2014</v>
      </c>
      <c r="O877">
        <v>2014</v>
      </c>
      <c r="Q877" t="s">
        <v>3751</v>
      </c>
      <c r="T877" t="s">
        <v>4621</v>
      </c>
      <c r="X877">
        <v>1</v>
      </c>
      <c r="AA877">
        <v>0</v>
      </c>
    </row>
    <row r="878" spans="1:27">
      <c r="A878" s="1">
        <v>876</v>
      </c>
      <c r="B878">
        <v>295</v>
      </c>
      <c r="C878" t="s">
        <v>906</v>
      </c>
      <c r="D878" t="s">
        <v>1762</v>
      </c>
      <c r="E878" t="s">
        <v>2568</v>
      </c>
      <c r="F878" t="s">
        <v>2956</v>
      </c>
      <c r="G878">
        <f>"0753453800"</f>
        <v>0</v>
      </c>
      <c r="H878">
        <f>"9780753453803"</f>
        <v>0</v>
      </c>
      <c r="I878">
        <v>5</v>
      </c>
      <c r="J878">
        <v>3.84</v>
      </c>
      <c r="K878" t="s">
        <v>3440</v>
      </c>
      <c r="L878" t="s">
        <v>3492</v>
      </c>
      <c r="M878">
        <v>311</v>
      </c>
      <c r="N878">
        <v>2001</v>
      </c>
      <c r="O878">
        <v>1883</v>
      </c>
      <c r="Q878" t="s">
        <v>3751</v>
      </c>
      <c r="T878" t="s">
        <v>4621</v>
      </c>
      <c r="X878">
        <v>1</v>
      </c>
      <c r="AA878">
        <v>0</v>
      </c>
    </row>
    <row r="879" spans="1:27">
      <c r="A879" s="1">
        <v>877</v>
      </c>
      <c r="B879">
        <v>9526993</v>
      </c>
      <c r="C879" t="s">
        <v>907</v>
      </c>
      <c r="D879" t="s">
        <v>1763</v>
      </c>
      <c r="E879" t="s">
        <v>2569</v>
      </c>
      <c r="G879">
        <f>""</f>
        <v>0</v>
      </c>
      <c r="H879">
        <f>""</f>
        <v>0</v>
      </c>
      <c r="I879">
        <v>4</v>
      </c>
      <c r="J879">
        <v>3.99</v>
      </c>
      <c r="L879" t="s">
        <v>3493</v>
      </c>
      <c r="M879">
        <v>450</v>
      </c>
      <c r="O879">
        <v>1999</v>
      </c>
      <c r="Q879" t="s">
        <v>3751</v>
      </c>
      <c r="T879" t="s">
        <v>4621</v>
      </c>
      <c r="X879">
        <v>1</v>
      </c>
      <c r="AA879">
        <v>0</v>
      </c>
    </row>
    <row r="880" spans="1:27">
      <c r="A880" s="1">
        <v>878</v>
      </c>
      <c r="B880">
        <v>1530924</v>
      </c>
      <c r="C880" t="s">
        <v>908</v>
      </c>
      <c r="D880" t="s">
        <v>1764</v>
      </c>
      <c r="E880" t="s">
        <v>2570</v>
      </c>
      <c r="G880">
        <f>"0940149451"</f>
        <v>0</v>
      </c>
      <c r="H880">
        <f>"9780940149458"</f>
        <v>0</v>
      </c>
      <c r="I880">
        <v>4</v>
      </c>
      <c r="J880">
        <v>3.83</v>
      </c>
      <c r="K880" t="s">
        <v>3441</v>
      </c>
      <c r="L880" t="s">
        <v>3498</v>
      </c>
      <c r="M880">
        <v>213</v>
      </c>
      <c r="N880">
        <v>2003</v>
      </c>
      <c r="O880">
        <v>1987</v>
      </c>
      <c r="Q880" t="s">
        <v>3751</v>
      </c>
      <c r="T880" t="s">
        <v>4621</v>
      </c>
      <c r="X880">
        <v>1</v>
      </c>
      <c r="AA880">
        <v>0</v>
      </c>
    </row>
    <row r="881" spans="1:27">
      <c r="A881" s="1">
        <v>879</v>
      </c>
      <c r="B881">
        <v>1724560</v>
      </c>
      <c r="C881" t="s">
        <v>909</v>
      </c>
      <c r="D881" t="s">
        <v>1765</v>
      </c>
      <c r="E881" t="s">
        <v>2571</v>
      </c>
      <c r="G881">
        <f>"0300126255"</f>
        <v>0</v>
      </c>
      <c r="H881">
        <f>"9780300126259"</f>
        <v>0</v>
      </c>
      <c r="I881">
        <v>5</v>
      </c>
      <c r="J881">
        <v>4.1</v>
      </c>
      <c r="K881" t="s">
        <v>3018</v>
      </c>
      <c r="L881" t="s">
        <v>3492</v>
      </c>
      <c r="M881">
        <v>608</v>
      </c>
      <c r="N881">
        <v>2007</v>
      </c>
      <c r="O881">
        <v>2007</v>
      </c>
      <c r="Q881" t="s">
        <v>3751</v>
      </c>
      <c r="T881" t="s">
        <v>4621</v>
      </c>
      <c r="X881">
        <v>1</v>
      </c>
      <c r="AA881">
        <v>0</v>
      </c>
    </row>
    <row r="882" spans="1:27">
      <c r="A882" s="1">
        <v>880</v>
      </c>
      <c r="B882">
        <v>32669</v>
      </c>
      <c r="C882" t="s">
        <v>910</v>
      </c>
      <c r="D882" t="s">
        <v>1484</v>
      </c>
      <c r="E882" t="s">
        <v>2290</v>
      </c>
      <c r="G882">
        <f>"0425144372"</f>
        <v>0</v>
      </c>
      <c r="H882">
        <f>"9780425144374"</f>
        <v>0</v>
      </c>
      <c r="I882">
        <v>4</v>
      </c>
      <c r="J882">
        <v>4.13</v>
      </c>
      <c r="K882" t="s">
        <v>3273</v>
      </c>
      <c r="L882" t="s">
        <v>3495</v>
      </c>
      <c r="M882">
        <v>688</v>
      </c>
      <c r="N882">
        <v>1994</v>
      </c>
      <c r="O882">
        <v>1989</v>
      </c>
      <c r="Q882" t="s">
        <v>3751</v>
      </c>
      <c r="T882" t="s">
        <v>4621</v>
      </c>
      <c r="X882">
        <v>1</v>
      </c>
      <c r="AA882">
        <v>0</v>
      </c>
    </row>
    <row r="883" spans="1:27">
      <c r="A883" s="1">
        <v>881</v>
      </c>
      <c r="B883">
        <v>19670</v>
      </c>
      <c r="C883" t="s">
        <v>911</v>
      </c>
      <c r="D883" t="s">
        <v>1484</v>
      </c>
      <c r="E883" t="s">
        <v>2290</v>
      </c>
      <c r="G883">
        <f>"0425147584"</f>
        <v>0</v>
      </c>
      <c r="H883">
        <f>"9780425147580"</f>
        <v>0</v>
      </c>
      <c r="I883">
        <v>4</v>
      </c>
      <c r="J883">
        <v>4.07</v>
      </c>
      <c r="K883" t="s">
        <v>3273</v>
      </c>
      <c r="L883" t="s">
        <v>3495</v>
      </c>
      <c r="M883">
        <v>990</v>
      </c>
      <c r="N883">
        <v>1995</v>
      </c>
      <c r="O883">
        <v>1994</v>
      </c>
      <c r="Q883" t="s">
        <v>3751</v>
      </c>
      <c r="T883" t="s">
        <v>4621</v>
      </c>
      <c r="X883">
        <v>1</v>
      </c>
      <c r="AA883">
        <v>0</v>
      </c>
    </row>
    <row r="884" spans="1:27">
      <c r="A884" s="1">
        <v>882</v>
      </c>
      <c r="B884">
        <v>24280</v>
      </c>
      <c r="C884" t="s">
        <v>912</v>
      </c>
      <c r="D884" t="s">
        <v>1590</v>
      </c>
      <c r="E884" t="s">
        <v>2396</v>
      </c>
      <c r="F884" t="s">
        <v>2957</v>
      </c>
      <c r="G884">
        <f>""</f>
        <v>0</v>
      </c>
      <c r="H884">
        <f>""</f>
        <v>0</v>
      </c>
      <c r="I884">
        <v>4</v>
      </c>
      <c r="J884">
        <v>4.19</v>
      </c>
      <c r="K884" t="s">
        <v>3072</v>
      </c>
      <c r="L884" t="s">
        <v>3495</v>
      </c>
      <c r="M884">
        <v>1463</v>
      </c>
      <c r="N884">
        <v>1987</v>
      </c>
      <c r="O884">
        <v>1862</v>
      </c>
      <c r="Q884" t="s">
        <v>3751</v>
      </c>
      <c r="T884" t="s">
        <v>4621</v>
      </c>
      <c r="X884">
        <v>1</v>
      </c>
      <c r="AA884">
        <v>0</v>
      </c>
    </row>
    <row r="885" spans="1:27">
      <c r="A885" s="1">
        <v>883</v>
      </c>
      <c r="B885">
        <v>34684622</v>
      </c>
      <c r="C885" t="s">
        <v>913</v>
      </c>
      <c r="D885" t="s">
        <v>1656</v>
      </c>
      <c r="E885" t="s">
        <v>2462</v>
      </c>
      <c r="G885">
        <f>"1501139150"</f>
        <v>0</v>
      </c>
      <c r="H885">
        <f>"9781501139154"</f>
        <v>0</v>
      </c>
      <c r="I885">
        <v>3</v>
      </c>
      <c r="J885">
        <v>4.18</v>
      </c>
      <c r="K885" t="s">
        <v>3097</v>
      </c>
      <c r="L885" t="s">
        <v>3492</v>
      </c>
      <c r="M885">
        <v>600</v>
      </c>
      <c r="N885">
        <v>2017</v>
      </c>
      <c r="O885">
        <v>2017</v>
      </c>
      <c r="Q885" t="s">
        <v>3751</v>
      </c>
      <c r="T885" t="s">
        <v>4621</v>
      </c>
      <c r="X885">
        <v>1</v>
      </c>
      <c r="AA885">
        <v>0</v>
      </c>
    </row>
    <row r="886" spans="1:27">
      <c r="A886" s="1">
        <v>884</v>
      </c>
      <c r="B886">
        <v>670302</v>
      </c>
      <c r="C886" t="s">
        <v>914</v>
      </c>
      <c r="D886" t="s">
        <v>1672</v>
      </c>
      <c r="E886" t="s">
        <v>2478</v>
      </c>
      <c r="G886">
        <f>"0006551009"</f>
        <v>0</v>
      </c>
      <c r="H886">
        <f>"9780006551003"</f>
        <v>0</v>
      </c>
      <c r="I886">
        <v>3</v>
      </c>
      <c r="J886">
        <v>3.84</v>
      </c>
      <c r="K886" t="s">
        <v>3442</v>
      </c>
      <c r="L886" t="s">
        <v>3491</v>
      </c>
      <c r="M886">
        <v>192</v>
      </c>
      <c r="N886">
        <v>2000</v>
      </c>
      <c r="O886">
        <v>1998</v>
      </c>
      <c r="Q886" t="s">
        <v>3751</v>
      </c>
      <c r="T886" t="s">
        <v>4621</v>
      </c>
      <c r="X886">
        <v>1</v>
      </c>
      <c r="AA886">
        <v>0</v>
      </c>
    </row>
    <row r="887" spans="1:27">
      <c r="A887" s="1">
        <v>885</v>
      </c>
      <c r="B887">
        <v>22237142</v>
      </c>
      <c r="C887" t="s">
        <v>915</v>
      </c>
      <c r="D887" t="s">
        <v>1766</v>
      </c>
      <c r="E887" t="s">
        <v>2572</v>
      </c>
      <c r="G887">
        <f>"0374117268"</f>
        <v>0</v>
      </c>
      <c r="H887">
        <f>"9780374117269"</f>
        <v>0</v>
      </c>
      <c r="I887">
        <v>3</v>
      </c>
      <c r="J887">
        <v>3.34</v>
      </c>
      <c r="K887" t="s">
        <v>3443</v>
      </c>
      <c r="L887" t="s">
        <v>3491</v>
      </c>
      <c r="M887">
        <v>296</v>
      </c>
      <c r="N887">
        <v>2016</v>
      </c>
      <c r="O887">
        <v>2015</v>
      </c>
      <c r="P887" t="s">
        <v>3572</v>
      </c>
      <c r="Q887" t="s">
        <v>3592</v>
      </c>
      <c r="T887" t="s">
        <v>4621</v>
      </c>
      <c r="U887" t="s">
        <v>4690</v>
      </c>
      <c r="X887">
        <v>1</v>
      </c>
      <c r="AA887">
        <v>0</v>
      </c>
    </row>
    <row r="888" spans="1:27">
      <c r="A888" s="1">
        <v>886</v>
      </c>
      <c r="B888">
        <v>815854</v>
      </c>
      <c r="C888" t="s">
        <v>916</v>
      </c>
      <c r="D888" t="s">
        <v>1767</v>
      </c>
      <c r="E888" t="s">
        <v>2573</v>
      </c>
      <c r="G888">
        <f>"1557504466"</f>
        <v>0</v>
      </c>
      <c r="H888">
        <f>"9781557504463"</f>
        <v>0</v>
      </c>
      <c r="I888">
        <v>0</v>
      </c>
      <c r="J888">
        <v>4.25</v>
      </c>
      <c r="K888" t="s">
        <v>3114</v>
      </c>
      <c r="L888" t="s">
        <v>3491</v>
      </c>
      <c r="M888">
        <v>602</v>
      </c>
      <c r="N888">
        <v>2001</v>
      </c>
      <c r="O888">
        <v>1962</v>
      </c>
      <c r="Q888" t="s">
        <v>3858</v>
      </c>
      <c r="R888" t="s">
        <v>3863</v>
      </c>
      <c r="S888" t="s">
        <v>4496</v>
      </c>
      <c r="T888" t="s">
        <v>3863</v>
      </c>
      <c r="X888">
        <v>0</v>
      </c>
      <c r="AA888">
        <v>0</v>
      </c>
    </row>
    <row r="889" spans="1:27">
      <c r="A889" s="1">
        <v>887</v>
      </c>
      <c r="B889">
        <v>419510</v>
      </c>
      <c r="C889" t="s">
        <v>917</v>
      </c>
      <c r="D889" t="s">
        <v>1768</v>
      </c>
      <c r="E889" t="s">
        <v>2574</v>
      </c>
      <c r="F889" t="s">
        <v>2958</v>
      </c>
      <c r="G889">
        <f>"0375760717"</f>
        <v>0</v>
      </c>
      <c r="H889">
        <f>"9780375760716"</f>
        <v>0</v>
      </c>
      <c r="I889">
        <v>0</v>
      </c>
      <c r="J889">
        <v>3.85</v>
      </c>
      <c r="K889" t="s">
        <v>3444</v>
      </c>
      <c r="L889" t="s">
        <v>3491</v>
      </c>
      <c r="M889">
        <v>384</v>
      </c>
      <c r="N889">
        <v>2005</v>
      </c>
      <c r="O889">
        <v>2004</v>
      </c>
      <c r="Q889" t="s">
        <v>3859</v>
      </c>
      <c r="R889" t="s">
        <v>3863</v>
      </c>
      <c r="S889" t="s">
        <v>4497</v>
      </c>
      <c r="T889" t="s">
        <v>3863</v>
      </c>
      <c r="X889">
        <v>0</v>
      </c>
      <c r="AA889">
        <v>0</v>
      </c>
    </row>
    <row r="890" spans="1:27">
      <c r="A890" s="1">
        <v>888</v>
      </c>
      <c r="B890">
        <v>921455</v>
      </c>
      <c r="C890" t="s">
        <v>918</v>
      </c>
      <c r="D890" t="s">
        <v>1625</v>
      </c>
      <c r="E890" t="s">
        <v>2431</v>
      </c>
      <c r="G890">
        <f>"0486226824"</f>
        <v>0</v>
      </c>
      <c r="H890">
        <f>"9780486226828"</f>
        <v>0</v>
      </c>
      <c r="I890">
        <v>5</v>
      </c>
      <c r="J890">
        <v>4.09</v>
      </c>
      <c r="K890" t="s">
        <v>3045</v>
      </c>
      <c r="L890" t="s">
        <v>3491</v>
      </c>
      <c r="M890">
        <v>368</v>
      </c>
      <c r="N890">
        <v>1971</v>
      </c>
      <c r="O890">
        <v>1929</v>
      </c>
      <c r="P890" t="s">
        <v>3573</v>
      </c>
      <c r="Q890" t="s">
        <v>3592</v>
      </c>
      <c r="T890" t="s">
        <v>4621</v>
      </c>
      <c r="U890" t="s">
        <v>4691</v>
      </c>
      <c r="X890">
        <v>1</v>
      </c>
      <c r="AA890">
        <v>0</v>
      </c>
    </row>
    <row r="891" spans="1:27">
      <c r="A891" s="1">
        <v>889</v>
      </c>
      <c r="B891">
        <v>2998</v>
      </c>
      <c r="C891" t="s">
        <v>919</v>
      </c>
      <c r="D891" t="s">
        <v>1769</v>
      </c>
      <c r="E891" t="s">
        <v>2575</v>
      </c>
      <c r="F891" t="s">
        <v>2959</v>
      </c>
      <c r="G891">
        <f>"0517189607"</f>
        <v>0</v>
      </c>
      <c r="H891">
        <f>"9780517189603"</f>
        <v>0</v>
      </c>
      <c r="I891">
        <v>0</v>
      </c>
      <c r="J891">
        <v>4.15</v>
      </c>
      <c r="K891" t="s">
        <v>3445</v>
      </c>
      <c r="L891" t="s">
        <v>3492</v>
      </c>
      <c r="M891">
        <v>331</v>
      </c>
      <c r="N891">
        <v>1998</v>
      </c>
      <c r="O891">
        <v>1911</v>
      </c>
      <c r="Q891" t="s">
        <v>3857</v>
      </c>
      <c r="R891" t="s">
        <v>3863</v>
      </c>
      <c r="S891" t="s">
        <v>4498</v>
      </c>
      <c r="T891" t="s">
        <v>3863</v>
      </c>
      <c r="X891">
        <v>0</v>
      </c>
      <c r="AA891">
        <v>0</v>
      </c>
    </row>
    <row r="892" spans="1:27">
      <c r="A892" s="1">
        <v>890</v>
      </c>
      <c r="B892">
        <v>33640229</v>
      </c>
      <c r="C892" t="s">
        <v>920</v>
      </c>
      <c r="D892" t="s">
        <v>1770</v>
      </c>
      <c r="E892" t="s">
        <v>2576</v>
      </c>
      <c r="G892">
        <f>"0062367870"</f>
        <v>0</v>
      </c>
      <c r="H892">
        <f>"9780062367877"</f>
        <v>0</v>
      </c>
      <c r="I892">
        <v>0</v>
      </c>
      <c r="J892">
        <v>4.15</v>
      </c>
      <c r="K892" t="s">
        <v>3023</v>
      </c>
      <c r="L892" t="s">
        <v>3494</v>
      </c>
      <c r="M892">
        <v>368</v>
      </c>
      <c r="N892">
        <v>2017</v>
      </c>
      <c r="O892">
        <v>2017</v>
      </c>
      <c r="Q892" t="s">
        <v>3857</v>
      </c>
      <c r="R892" t="s">
        <v>3863</v>
      </c>
      <c r="S892" t="s">
        <v>4499</v>
      </c>
      <c r="T892" t="s">
        <v>3863</v>
      </c>
      <c r="X892">
        <v>0</v>
      </c>
      <c r="AA892">
        <v>0</v>
      </c>
    </row>
    <row r="893" spans="1:27">
      <c r="A893" s="1">
        <v>891</v>
      </c>
      <c r="B893">
        <v>10483171</v>
      </c>
      <c r="C893" t="s">
        <v>921</v>
      </c>
      <c r="D893" t="s">
        <v>1771</v>
      </c>
      <c r="E893" t="s">
        <v>2577</v>
      </c>
      <c r="G893">
        <f>"0670022756"</f>
        <v>0</v>
      </c>
      <c r="H893">
        <f>"9780670022755"</f>
        <v>0</v>
      </c>
      <c r="I893">
        <v>0</v>
      </c>
      <c r="J893">
        <v>4.18</v>
      </c>
      <c r="K893" t="s">
        <v>3293</v>
      </c>
      <c r="L893" t="s">
        <v>3492</v>
      </c>
      <c r="M893">
        <v>487</v>
      </c>
      <c r="N893">
        <v>2011</v>
      </c>
      <c r="O893">
        <v>2011</v>
      </c>
      <c r="Q893" t="s">
        <v>3860</v>
      </c>
      <c r="R893" t="s">
        <v>3863</v>
      </c>
      <c r="S893" t="s">
        <v>4500</v>
      </c>
      <c r="T893" t="s">
        <v>3863</v>
      </c>
      <c r="X893">
        <v>0</v>
      </c>
      <c r="AA893">
        <v>0</v>
      </c>
    </row>
    <row r="894" spans="1:27">
      <c r="A894" s="1">
        <v>892</v>
      </c>
      <c r="B894">
        <v>1146081</v>
      </c>
      <c r="C894" t="s">
        <v>922</v>
      </c>
      <c r="D894" t="s">
        <v>1772</v>
      </c>
      <c r="E894" t="s">
        <v>2578</v>
      </c>
      <c r="G894">
        <f>"0684855313"</f>
        <v>0</v>
      </c>
      <c r="H894">
        <f>"9780684855318"</f>
        <v>0</v>
      </c>
      <c r="I894">
        <v>0</v>
      </c>
      <c r="J894">
        <v>3.69</v>
      </c>
      <c r="K894" t="s">
        <v>3000</v>
      </c>
      <c r="L894" t="s">
        <v>3491</v>
      </c>
      <c r="M894">
        <v>528</v>
      </c>
      <c r="N894">
        <v>1998</v>
      </c>
      <c r="O894">
        <v>1995</v>
      </c>
      <c r="Q894" t="s">
        <v>3861</v>
      </c>
      <c r="R894" t="s">
        <v>3863</v>
      </c>
      <c r="S894" t="s">
        <v>4501</v>
      </c>
      <c r="T894" t="s">
        <v>3863</v>
      </c>
      <c r="X894">
        <v>0</v>
      </c>
      <c r="AA894">
        <v>0</v>
      </c>
    </row>
    <row r="895" spans="1:27">
      <c r="A895" s="1">
        <v>893</v>
      </c>
      <c r="B895">
        <v>39286438</v>
      </c>
      <c r="C895" t="s">
        <v>923</v>
      </c>
      <c r="D895" t="s">
        <v>1773</v>
      </c>
      <c r="E895" t="s">
        <v>2579</v>
      </c>
      <c r="G895">
        <f>""</f>
        <v>0</v>
      </c>
      <c r="H895">
        <f>""</f>
        <v>0</v>
      </c>
      <c r="I895">
        <v>0</v>
      </c>
      <c r="J895">
        <v>4.32</v>
      </c>
      <c r="K895" t="s">
        <v>3446</v>
      </c>
      <c r="L895" t="s">
        <v>3493</v>
      </c>
      <c r="M895">
        <v>217</v>
      </c>
      <c r="N895">
        <v>2018</v>
      </c>
      <c r="Q895" t="s">
        <v>3861</v>
      </c>
      <c r="R895" t="s">
        <v>3863</v>
      </c>
      <c r="S895" t="s">
        <v>4502</v>
      </c>
      <c r="T895" t="s">
        <v>3863</v>
      </c>
      <c r="X895">
        <v>0</v>
      </c>
      <c r="AA895">
        <v>0</v>
      </c>
    </row>
    <row r="896" spans="1:27">
      <c r="A896" s="1">
        <v>894</v>
      </c>
      <c r="B896">
        <v>22529381</v>
      </c>
      <c r="C896" t="s">
        <v>924</v>
      </c>
      <c r="D896" t="s">
        <v>1774</v>
      </c>
      <c r="E896" t="s">
        <v>2580</v>
      </c>
      <c r="G896">
        <f>"1620402505"</f>
        <v>0</v>
      </c>
      <c r="H896">
        <f>"9781620402504"</f>
        <v>0</v>
      </c>
      <c r="I896">
        <v>0</v>
      </c>
      <c r="J896">
        <v>4.24</v>
      </c>
      <c r="K896" t="s">
        <v>3447</v>
      </c>
      <c r="L896" t="s">
        <v>3492</v>
      </c>
      <c r="M896">
        <v>384</v>
      </c>
      <c r="N896">
        <v>2015</v>
      </c>
      <c r="O896">
        <v>2015</v>
      </c>
      <c r="Q896" t="s">
        <v>3861</v>
      </c>
      <c r="R896" t="s">
        <v>3863</v>
      </c>
      <c r="S896" t="s">
        <v>4503</v>
      </c>
      <c r="T896" t="s">
        <v>3863</v>
      </c>
      <c r="X896">
        <v>0</v>
      </c>
      <c r="AA896">
        <v>0</v>
      </c>
    </row>
    <row r="897" spans="1:27">
      <c r="A897" s="1">
        <v>895</v>
      </c>
      <c r="B897">
        <v>22891</v>
      </c>
      <c r="C897" t="s">
        <v>925</v>
      </c>
      <c r="D897" t="s">
        <v>1775</v>
      </c>
      <c r="E897" t="s">
        <v>2581</v>
      </c>
      <c r="G897">
        <f>"0231126999"</f>
        <v>0</v>
      </c>
      <c r="H897">
        <f>"9780231126991"</f>
        <v>0</v>
      </c>
      <c r="I897">
        <v>0</v>
      </c>
      <c r="J897">
        <v>3.96</v>
      </c>
      <c r="K897" t="s">
        <v>3122</v>
      </c>
      <c r="L897" t="s">
        <v>3491</v>
      </c>
      <c r="M897">
        <v>432</v>
      </c>
      <c r="N897">
        <v>2006</v>
      </c>
      <c r="O897">
        <v>1998</v>
      </c>
      <c r="Q897" t="s">
        <v>3861</v>
      </c>
      <c r="R897" t="s">
        <v>3863</v>
      </c>
      <c r="S897" t="s">
        <v>4504</v>
      </c>
      <c r="T897" t="s">
        <v>3863</v>
      </c>
      <c r="X897">
        <v>0</v>
      </c>
      <c r="AA897">
        <v>0</v>
      </c>
    </row>
    <row r="898" spans="1:27">
      <c r="A898" s="1">
        <v>896</v>
      </c>
      <c r="B898">
        <v>11797471</v>
      </c>
      <c r="C898" t="s">
        <v>926</v>
      </c>
      <c r="D898" t="s">
        <v>1776</v>
      </c>
      <c r="E898" t="s">
        <v>2582</v>
      </c>
      <c r="G898">
        <f>"1594203288"</f>
        <v>0</v>
      </c>
      <c r="H898">
        <f>"9781594203282"</f>
        <v>0</v>
      </c>
      <c r="I898">
        <v>0</v>
      </c>
      <c r="J898">
        <v>4.17</v>
      </c>
      <c r="K898" t="s">
        <v>3050</v>
      </c>
      <c r="L898" t="s">
        <v>3492</v>
      </c>
      <c r="M898">
        <v>422</v>
      </c>
      <c r="N898">
        <v>2012</v>
      </c>
      <c r="O898">
        <v>2012</v>
      </c>
      <c r="Q898" t="s">
        <v>3861</v>
      </c>
      <c r="R898" t="s">
        <v>3863</v>
      </c>
      <c r="S898" t="s">
        <v>4505</v>
      </c>
      <c r="T898" t="s">
        <v>3863</v>
      </c>
      <c r="X898">
        <v>0</v>
      </c>
      <c r="AA898">
        <v>0</v>
      </c>
    </row>
    <row r="899" spans="1:27">
      <c r="A899" s="1">
        <v>897</v>
      </c>
      <c r="B899">
        <v>60180</v>
      </c>
      <c r="C899" t="s">
        <v>927</v>
      </c>
      <c r="D899" t="s">
        <v>1777</v>
      </c>
      <c r="E899" t="s">
        <v>2583</v>
      </c>
      <c r="G899">
        <f>"0316084468"</f>
        <v>0</v>
      </c>
      <c r="H899">
        <f>"9780316084468"</f>
        <v>0</v>
      </c>
      <c r="I899">
        <v>0</v>
      </c>
      <c r="J899">
        <v>4.38</v>
      </c>
      <c r="K899" t="s">
        <v>3243</v>
      </c>
      <c r="L899" t="s">
        <v>3491</v>
      </c>
      <c r="M899">
        <v>340</v>
      </c>
      <c r="N899">
        <v>1997</v>
      </c>
      <c r="O899">
        <v>1996</v>
      </c>
      <c r="Q899" t="s">
        <v>3861</v>
      </c>
      <c r="R899" t="s">
        <v>3863</v>
      </c>
      <c r="S899" t="s">
        <v>4506</v>
      </c>
      <c r="T899" t="s">
        <v>3863</v>
      </c>
      <c r="X899">
        <v>0</v>
      </c>
      <c r="AA899">
        <v>0</v>
      </c>
    </row>
    <row r="900" spans="1:27">
      <c r="A900" s="1">
        <v>898</v>
      </c>
      <c r="B900">
        <v>1282817</v>
      </c>
      <c r="C900" t="s">
        <v>928</v>
      </c>
      <c r="D900" t="s">
        <v>1778</v>
      </c>
      <c r="E900" t="s">
        <v>2584</v>
      </c>
      <c r="F900" t="s">
        <v>2960</v>
      </c>
      <c r="G900">
        <f>"0906026245"</f>
        <v>0</v>
      </c>
      <c r="H900">
        <f>"9780906026243"</f>
        <v>0</v>
      </c>
      <c r="I900">
        <v>0</v>
      </c>
      <c r="J900">
        <v>4.41</v>
      </c>
      <c r="K900" t="s">
        <v>3448</v>
      </c>
      <c r="L900" t="s">
        <v>3492</v>
      </c>
      <c r="M900">
        <v>232</v>
      </c>
      <c r="N900">
        <v>2003</v>
      </c>
      <c r="O900">
        <v>1990</v>
      </c>
      <c r="Q900" t="s">
        <v>3861</v>
      </c>
      <c r="R900" t="s">
        <v>3863</v>
      </c>
      <c r="S900" t="s">
        <v>4507</v>
      </c>
      <c r="T900" t="s">
        <v>3863</v>
      </c>
      <c r="X900">
        <v>0</v>
      </c>
      <c r="AA900">
        <v>0</v>
      </c>
    </row>
    <row r="901" spans="1:27">
      <c r="A901" s="1">
        <v>899</v>
      </c>
      <c r="B901">
        <v>78895</v>
      </c>
      <c r="C901" t="s">
        <v>929</v>
      </c>
      <c r="D901" t="s">
        <v>1779</v>
      </c>
      <c r="E901" t="s">
        <v>2585</v>
      </c>
      <c r="G901">
        <f>"0679762876"</f>
        <v>0</v>
      </c>
      <c r="H901">
        <f>"9780679762874"</f>
        <v>0</v>
      </c>
      <c r="I901">
        <v>0</v>
      </c>
      <c r="J901">
        <v>3.92</v>
      </c>
      <c r="K901" t="s">
        <v>3029</v>
      </c>
      <c r="L901" t="s">
        <v>3491</v>
      </c>
      <c r="M901">
        <v>288</v>
      </c>
      <c r="N901">
        <v>1995</v>
      </c>
      <c r="O901">
        <v>1980</v>
      </c>
      <c r="Q901" t="s">
        <v>3861</v>
      </c>
      <c r="R901" t="s">
        <v>3863</v>
      </c>
      <c r="S901" t="s">
        <v>4508</v>
      </c>
      <c r="T901" t="s">
        <v>3863</v>
      </c>
      <c r="X901">
        <v>0</v>
      </c>
      <c r="AA901">
        <v>0</v>
      </c>
    </row>
    <row r="902" spans="1:27">
      <c r="A902" s="1">
        <v>900</v>
      </c>
      <c r="B902">
        <v>327742</v>
      </c>
      <c r="C902" t="s">
        <v>930</v>
      </c>
      <c r="D902" t="s">
        <v>1780</v>
      </c>
      <c r="E902" t="s">
        <v>2586</v>
      </c>
      <c r="G902">
        <f>"0140132716"</f>
        <v>0</v>
      </c>
      <c r="H902">
        <f>"9780140132717"</f>
        <v>0</v>
      </c>
      <c r="I902">
        <v>0</v>
      </c>
      <c r="J902">
        <v>4.43</v>
      </c>
      <c r="K902" t="s">
        <v>3449</v>
      </c>
      <c r="L902" t="s">
        <v>3491</v>
      </c>
      <c r="M902">
        <v>576</v>
      </c>
      <c r="N902">
        <v>2004</v>
      </c>
      <c r="O902">
        <v>1949</v>
      </c>
      <c r="Q902" t="s">
        <v>3861</v>
      </c>
      <c r="R902" t="s">
        <v>3863</v>
      </c>
      <c r="S902" t="s">
        <v>4509</v>
      </c>
      <c r="T902" t="s">
        <v>3863</v>
      </c>
      <c r="X902">
        <v>0</v>
      </c>
      <c r="AA902">
        <v>0</v>
      </c>
    </row>
    <row r="903" spans="1:27">
      <c r="A903" s="1">
        <v>901</v>
      </c>
      <c r="B903">
        <v>118139</v>
      </c>
      <c r="C903" t="s">
        <v>931</v>
      </c>
      <c r="D903" t="s">
        <v>1781</v>
      </c>
      <c r="E903" t="s">
        <v>2587</v>
      </c>
      <c r="G903">
        <f>"0864427654"</f>
        <v>0</v>
      </c>
      <c r="H903">
        <f>"9780864427656"</f>
        <v>0</v>
      </c>
      <c r="I903">
        <v>0</v>
      </c>
      <c r="J903">
        <v>4.23</v>
      </c>
      <c r="K903" t="s">
        <v>3450</v>
      </c>
      <c r="L903" t="s">
        <v>3491</v>
      </c>
      <c r="M903">
        <v>276</v>
      </c>
      <c r="N903">
        <v>2005</v>
      </c>
      <c r="O903">
        <v>1971</v>
      </c>
      <c r="Q903" t="s">
        <v>3861</v>
      </c>
      <c r="R903" t="s">
        <v>3863</v>
      </c>
      <c r="S903" t="s">
        <v>4510</v>
      </c>
      <c r="T903" t="s">
        <v>3863</v>
      </c>
      <c r="X903">
        <v>0</v>
      </c>
      <c r="AA903">
        <v>0</v>
      </c>
    </row>
    <row r="904" spans="1:27">
      <c r="A904" s="1">
        <v>902</v>
      </c>
      <c r="B904">
        <v>116729</v>
      </c>
      <c r="C904" t="s">
        <v>932</v>
      </c>
      <c r="D904" t="s">
        <v>1782</v>
      </c>
      <c r="E904" t="s">
        <v>2588</v>
      </c>
      <c r="F904" t="s">
        <v>2961</v>
      </c>
      <c r="G904">
        <f>"0688089267"</f>
        <v>0</v>
      </c>
      <c r="H904">
        <f>"9780688089269"</f>
        <v>0</v>
      </c>
      <c r="I904">
        <v>0</v>
      </c>
      <c r="J904">
        <v>4.18</v>
      </c>
      <c r="K904" t="s">
        <v>3193</v>
      </c>
      <c r="L904" t="s">
        <v>3492</v>
      </c>
      <c r="M904">
        <v>301</v>
      </c>
      <c r="N904">
        <v>1989</v>
      </c>
      <c r="O904">
        <v>1988</v>
      </c>
      <c r="Q904" t="s">
        <v>3861</v>
      </c>
      <c r="R904" t="s">
        <v>3863</v>
      </c>
      <c r="S904" t="s">
        <v>4511</v>
      </c>
      <c r="T904" t="s">
        <v>3863</v>
      </c>
      <c r="X904">
        <v>0</v>
      </c>
      <c r="AA904">
        <v>0</v>
      </c>
    </row>
    <row r="905" spans="1:27">
      <c r="A905" s="1">
        <v>903</v>
      </c>
      <c r="B905">
        <v>13687366</v>
      </c>
      <c r="C905" t="s">
        <v>933</v>
      </c>
      <c r="D905" t="s">
        <v>1783</v>
      </c>
      <c r="E905" t="s">
        <v>2589</v>
      </c>
      <c r="G905">
        <f>"0195396219"</f>
        <v>0</v>
      </c>
      <c r="H905">
        <f>"9780195396218"</f>
        <v>0</v>
      </c>
      <c r="I905">
        <v>0</v>
      </c>
      <c r="J905">
        <v>3.81</v>
      </c>
      <c r="K905" t="s">
        <v>3061</v>
      </c>
      <c r="L905" t="s">
        <v>3491</v>
      </c>
      <c r="M905">
        <v>544</v>
      </c>
      <c r="N905">
        <v>2012</v>
      </c>
      <c r="O905">
        <v>1997</v>
      </c>
      <c r="Q905" t="s">
        <v>3861</v>
      </c>
      <c r="R905" t="s">
        <v>3863</v>
      </c>
      <c r="S905" t="s">
        <v>4512</v>
      </c>
      <c r="T905" t="s">
        <v>3863</v>
      </c>
      <c r="X905">
        <v>0</v>
      </c>
      <c r="AA905">
        <v>0</v>
      </c>
    </row>
    <row r="906" spans="1:27">
      <c r="A906" s="1">
        <v>904</v>
      </c>
      <c r="B906">
        <v>34225896</v>
      </c>
      <c r="C906" t="s">
        <v>934</v>
      </c>
      <c r="D906" t="s">
        <v>1784</v>
      </c>
      <c r="E906" t="s">
        <v>2590</v>
      </c>
      <c r="G906">
        <f>""</f>
        <v>0</v>
      </c>
      <c r="H906">
        <f>""</f>
        <v>0</v>
      </c>
      <c r="I906">
        <v>0</v>
      </c>
      <c r="J906">
        <v>3.8</v>
      </c>
      <c r="K906" t="s">
        <v>3451</v>
      </c>
      <c r="L906" t="s">
        <v>3493</v>
      </c>
      <c r="M906">
        <v>792</v>
      </c>
      <c r="N906">
        <v>2017</v>
      </c>
      <c r="Q906" t="s">
        <v>3861</v>
      </c>
      <c r="R906" t="s">
        <v>3863</v>
      </c>
      <c r="S906" t="s">
        <v>4513</v>
      </c>
      <c r="T906" t="s">
        <v>3863</v>
      </c>
      <c r="X906">
        <v>0</v>
      </c>
      <c r="AA906">
        <v>0</v>
      </c>
    </row>
    <row r="907" spans="1:27">
      <c r="A907" s="1">
        <v>905</v>
      </c>
      <c r="B907">
        <v>118927</v>
      </c>
      <c r="C907" t="s">
        <v>935</v>
      </c>
      <c r="D907" t="s">
        <v>1785</v>
      </c>
      <c r="E907" t="s">
        <v>2591</v>
      </c>
      <c r="G907">
        <f>"0374529809"</f>
        <v>0</v>
      </c>
      <c r="H907">
        <f>"9780374529802"</f>
        <v>0</v>
      </c>
      <c r="I907">
        <v>0</v>
      </c>
      <c r="J907">
        <v>3.95</v>
      </c>
      <c r="K907" t="s">
        <v>3098</v>
      </c>
      <c r="L907" t="s">
        <v>3491</v>
      </c>
      <c r="M907">
        <v>880</v>
      </c>
      <c r="N907">
        <v>2005</v>
      </c>
      <c r="O907">
        <v>2004</v>
      </c>
      <c r="Q907" t="s">
        <v>3861</v>
      </c>
      <c r="R907" t="s">
        <v>3863</v>
      </c>
      <c r="S907" t="s">
        <v>4514</v>
      </c>
      <c r="T907" t="s">
        <v>3863</v>
      </c>
      <c r="X907">
        <v>0</v>
      </c>
      <c r="AA907">
        <v>0</v>
      </c>
    </row>
    <row r="908" spans="1:27">
      <c r="A908" s="1">
        <v>906</v>
      </c>
      <c r="B908">
        <v>16158493</v>
      </c>
      <c r="C908" t="s">
        <v>936</v>
      </c>
      <c r="D908" t="s">
        <v>1786</v>
      </c>
      <c r="E908" t="s">
        <v>2592</v>
      </c>
      <c r="G908">
        <f>"1591845556"</f>
        <v>0</v>
      </c>
      <c r="H908">
        <f>"9781591845553"</f>
        <v>0</v>
      </c>
      <c r="I908">
        <v>0</v>
      </c>
      <c r="J908">
        <v>3.46</v>
      </c>
      <c r="K908" t="s">
        <v>3012</v>
      </c>
      <c r="L908" t="s">
        <v>3492</v>
      </c>
      <c r="M908">
        <v>288</v>
      </c>
      <c r="N908">
        <v>2013</v>
      </c>
      <c r="O908">
        <v>2013</v>
      </c>
      <c r="Q908" t="s">
        <v>3592</v>
      </c>
      <c r="R908" t="s">
        <v>3863</v>
      </c>
      <c r="S908" t="s">
        <v>4515</v>
      </c>
      <c r="T908" t="s">
        <v>3863</v>
      </c>
      <c r="X908">
        <v>0</v>
      </c>
      <c r="AA908">
        <v>0</v>
      </c>
    </row>
    <row r="909" spans="1:27">
      <c r="A909" s="1">
        <v>907</v>
      </c>
      <c r="B909">
        <v>221267</v>
      </c>
      <c r="C909" t="s">
        <v>937</v>
      </c>
      <c r="D909" t="s">
        <v>1787</v>
      </c>
      <c r="E909" t="s">
        <v>2593</v>
      </c>
      <c r="G909">
        <f>"0671024396"</f>
        <v>0</v>
      </c>
      <c r="H909">
        <f>"9780671024390"</f>
        <v>0</v>
      </c>
      <c r="I909">
        <v>0</v>
      </c>
      <c r="J909">
        <v>3.92</v>
      </c>
      <c r="K909" t="s">
        <v>3452</v>
      </c>
      <c r="L909" t="s">
        <v>3491</v>
      </c>
      <c r="M909">
        <v>304</v>
      </c>
      <c r="N909">
        <v>1998</v>
      </c>
      <c r="O909">
        <v>1998</v>
      </c>
      <c r="Q909" t="s">
        <v>3592</v>
      </c>
      <c r="R909" t="s">
        <v>3863</v>
      </c>
      <c r="S909" t="s">
        <v>4516</v>
      </c>
      <c r="T909" t="s">
        <v>3863</v>
      </c>
      <c r="X909">
        <v>0</v>
      </c>
      <c r="AA909">
        <v>0</v>
      </c>
    </row>
    <row r="910" spans="1:27">
      <c r="A910" s="1">
        <v>908</v>
      </c>
      <c r="B910">
        <v>90578</v>
      </c>
      <c r="C910" t="s">
        <v>938</v>
      </c>
      <c r="D910" t="s">
        <v>1787</v>
      </c>
      <c r="E910" t="s">
        <v>2593</v>
      </c>
      <c r="G910">
        <f>"0671024418"</f>
        <v>0</v>
      </c>
      <c r="H910">
        <f>"9780671024413"</f>
        <v>0</v>
      </c>
      <c r="I910">
        <v>0</v>
      </c>
      <c r="J910">
        <v>4.04</v>
      </c>
      <c r="K910" t="s">
        <v>3452</v>
      </c>
      <c r="L910" t="s">
        <v>3491</v>
      </c>
      <c r="M910">
        <v>352</v>
      </c>
      <c r="N910">
        <v>1999</v>
      </c>
      <c r="O910">
        <v>1999</v>
      </c>
      <c r="Q910" t="s">
        <v>3592</v>
      </c>
      <c r="R910" t="s">
        <v>3863</v>
      </c>
      <c r="S910" t="s">
        <v>4517</v>
      </c>
      <c r="T910" t="s">
        <v>3863</v>
      </c>
      <c r="X910">
        <v>0</v>
      </c>
      <c r="AA910">
        <v>0</v>
      </c>
    </row>
    <row r="911" spans="1:27">
      <c r="A911" s="1">
        <v>909</v>
      </c>
      <c r="B911">
        <v>870819</v>
      </c>
      <c r="C911" t="s">
        <v>939</v>
      </c>
      <c r="D911" t="s">
        <v>1787</v>
      </c>
      <c r="E911" t="s">
        <v>2593</v>
      </c>
      <c r="G911">
        <f>"067178496X"</f>
        <v>0</v>
      </c>
      <c r="H911">
        <f>"9780671784966"</f>
        <v>0</v>
      </c>
      <c r="I911">
        <v>0</v>
      </c>
      <c r="J911">
        <v>3.99</v>
      </c>
      <c r="K911" t="s">
        <v>3452</v>
      </c>
      <c r="L911" t="s">
        <v>3491</v>
      </c>
      <c r="M911">
        <v>288</v>
      </c>
      <c r="N911">
        <v>2000</v>
      </c>
      <c r="O911">
        <v>2000</v>
      </c>
      <c r="Q911" t="s">
        <v>3592</v>
      </c>
      <c r="R911" t="s">
        <v>3863</v>
      </c>
      <c r="S911" t="s">
        <v>4518</v>
      </c>
      <c r="T911" t="s">
        <v>3863</v>
      </c>
      <c r="X911">
        <v>0</v>
      </c>
      <c r="AA911">
        <v>0</v>
      </c>
    </row>
    <row r="912" spans="1:27">
      <c r="A912" s="1">
        <v>910</v>
      </c>
      <c r="B912">
        <v>221269</v>
      </c>
      <c r="C912" t="s">
        <v>940</v>
      </c>
      <c r="D912" t="s">
        <v>1787</v>
      </c>
      <c r="E912" t="s">
        <v>2593</v>
      </c>
      <c r="G912">
        <f>"067102440X"</f>
        <v>0</v>
      </c>
      <c r="H912">
        <f>"9780671024406"</f>
        <v>0</v>
      </c>
      <c r="I912">
        <v>0</v>
      </c>
      <c r="J912">
        <v>3.65</v>
      </c>
      <c r="K912" t="s">
        <v>3452</v>
      </c>
      <c r="L912" t="s">
        <v>3491</v>
      </c>
      <c r="M912">
        <v>256</v>
      </c>
      <c r="N912">
        <v>1998</v>
      </c>
      <c r="O912">
        <v>1998</v>
      </c>
      <c r="Q912" t="s">
        <v>3592</v>
      </c>
      <c r="R912" t="s">
        <v>3863</v>
      </c>
      <c r="S912" t="s">
        <v>4519</v>
      </c>
      <c r="T912" t="s">
        <v>3863</v>
      </c>
      <c r="X912">
        <v>0</v>
      </c>
      <c r="AA912">
        <v>0</v>
      </c>
    </row>
    <row r="913" spans="1:27">
      <c r="A913" s="1">
        <v>911</v>
      </c>
      <c r="B913">
        <v>221268</v>
      </c>
      <c r="C913" t="s">
        <v>941</v>
      </c>
      <c r="D913" t="s">
        <v>1787</v>
      </c>
      <c r="E913" t="s">
        <v>2593</v>
      </c>
      <c r="G913">
        <f>"0671024426"</f>
        <v>0</v>
      </c>
      <c r="H913">
        <f>"9780671024420"</f>
        <v>0</v>
      </c>
      <c r="I913">
        <v>0</v>
      </c>
      <c r="J913">
        <v>3.77</v>
      </c>
      <c r="K913" t="s">
        <v>3452</v>
      </c>
      <c r="L913" t="s">
        <v>3491</v>
      </c>
      <c r="M913">
        <v>256</v>
      </c>
      <c r="N913">
        <v>1999</v>
      </c>
      <c r="O913">
        <v>1999</v>
      </c>
      <c r="Q913" t="s">
        <v>3592</v>
      </c>
      <c r="R913" t="s">
        <v>3863</v>
      </c>
      <c r="S913" t="s">
        <v>4520</v>
      </c>
      <c r="T913" t="s">
        <v>3863</v>
      </c>
      <c r="X913">
        <v>0</v>
      </c>
      <c r="AA913">
        <v>0</v>
      </c>
    </row>
    <row r="914" spans="1:27">
      <c r="A914" s="1">
        <v>912</v>
      </c>
      <c r="B914">
        <v>221271</v>
      </c>
      <c r="C914" t="s">
        <v>942</v>
      </c>
      <c r="D914" t="s">
        <v>1787</v>
      </c>
      <c r="E914" t="s">
        <v>2593</v>
      </c>
      <c r="G914">
        <f>"0671784986"</f>
        <v>0</v>
      </c>
      <c r="H914">
        <f>"9780671784980"</f>
        <v>0</v>
      </c>
      <c r="I914">
        <v>0</v>
      </c>
      <c r="J914">
        <v>3.91</v>
      </c>
      <c r="K914" t="s">
        <v>3453</v>
      </c>
      <c r="L914" t="s">
        <v>3491</v>
      </c>
      <c r="M914">
        <v>243</v>
      </c>
      <c r="N914">
        <v>2001</v>
      </c>
      <c r="O914">
        <v>2001</v>
      </c>
      <c r="Q914" t="s">
        <v>3592</v>
      </c>
      <c r="R914" t="s">
        <v>3863</v>
      </c>
      <c r="S914" t="s">
        <v>4521</v>
      </c>
      <c r="T914" t="s">
        <v>3863</v>
      </c>
      <c r="X914">
        <v>0</v>
      </c>
      <c r="AA914">
        <v>0</v>
      </c>
    </row>
    <row r="915" spans="1:27">
      <c r="A915" s="1">
        <v>913</v>
      </c>
      <c r="B915">
        <v>140479</v>
      </c>
      <c r="C915" t="s">
        <v>943</v>
      </c>
      <c r="D915" t="s">
        <v>1787</v>
      </c>
      <c r="E915" t="s">
        <v>2593</v>
      </c>
      <c r="G915">
        <f>"0671785117"</f>
        <v>0</v>
      </c>
      <c r="H915">
        <f>"9780671785116"</f>
        <v>0</v>
      </c>
      <c r="I915">
        <v>0</v>
      </c>
      <c r="J915">
        <v>3.87</v>
      </c>
      <c r="K915" t="s">
        <v>3454</v>
      </c>
      <c r="L915" t="s">
        <v>3491</v>
      </c>
      <c r="M915">
        <v>275</v>
      </c>
      <c r="N915">
        <v>2004</v>
      </c>
      <c r="O915">
        <v>2004</v>
      </c>
      <c r="Q915" t="s">
        <v>3592</v>
      </c>
      <c r="R915" t="s">
        <v>3863</v>
      </c>
      <c r="S915" t="s">
        <v>4522</v>
      </c>
      <c r="T915" t="s">
        <v>3863</v>
      </c>
      <c r="X915">
        <v>0</v>
      </c>
      <c r="AA915">
        <v>0</v>
      </c>
    </row>
    <row r="916" spans="1:27">
      <c r="A916" s="1">
        <v>914</v>
      </c>
      <c r="B916">
        <v>2714607</v>
      </c>
      <c r="C916" t="s">
        <v>944</v>
      </c>
      <c r="D916" t="s">
        <v>1591</v>
      </c>
      <c r="E916" t="s">
        <v>2397</v>
      </c>
      <c r="G916">
        <f>"1594201927"</f>
        <v>0</v>
      </c>
      <c r="H916">
        <f>"9781594201929"</f>
        <v>0</v>
      </c>
      <c r="I916">
        <v>0</v>
      </c>
      <c r="J916">
        <v>3.89</v>
      </c>
      <c r="K916" t="s">
        <v>3050</v>
      </c>
      <c r="L916" t="s">
        <v>3492</v>
      </c>
      <c r="M916">
        <v>442</v>
      </c>
      <c r="N916">
        <v>2008</v>
      </c>
      <c r="O916">
        <v>2007</v>
      </c>
      <c r="Q916" t="s">
        <v>3592</v>
      </c>
      <c r="R916" t="s">
        <v>3863</v>
      </c>
      <c r="S916" t="s">
        <v>4523</v>
      </c>
      <c r="T916" t="s">
        <v>3863</v>
      </c>
      <c r="X916">
        <v>0</v>
      </c>
      <c r="AA916">
        <v>0</v>
      </c>
    </row>
    <row r="917" spans="1:27">
      <c r="A917" s="1">
        <v>915</v>
      </c>
      <c r="B917">
        <v>25329850</v>
      </c>
      <c r="C917" t="s">
        <v>945</v>
      </c>
      <c r="D917" t="s">
        <v>1706</v>
      </c>
      <c r="E917" t="s">
        <v>2512</v>
      </c>
      <c r="G917">
        <f>"0544668251"</f>
        <v>0</v>
      </c>
      <c r="H917">
        <f>"9780544668256"</f>
        <v>0</v>
      </c>
      <c r="I917">
        <v>0</v>
      </c>
      <c r="J917">
        <v>4.14</v>
      </c>
      <c r="K917" t="s">
        <v>3107</v>
      </c>
      <c r="L917" t="s">
        <v>3492</v>
      </c>
      <c r="M917">
        <v>64</v>
      </c>
      <c r="N917">
        <v>2015</v>
      </c>
      <c r="O917">
        <v>2015</v>
      </c>
      <c r="Q917" t="s">
        <v>3592</v>
      </c>
      <c r="R917" t="s">
        <v>3863</v>
      </c>
      <c r="S917" t="s">
        <v>4524</v>
      </c>
      <c r="T917" t="s">
        <v>3863</v>
      </c>
      <c r="X917">
        <v>0</v>
      </c>
      <c r="AA917">
        <v>0</v>
      </c>
    </row>
    <row r="918" spans="1:27">
      <c r="A918" s="1">
        <v>916</v>
      </c>
      <c r="B918">
        <v>385</v>
      </c>
      <c r="C918" t="s">
        <v>946</v>
      </c>
      <c r="D918" t="s">
        <v>1788</v>
      </c>
      <c r="E918" t="s">
        <v>2594</v>
      </c>
      <c r="G918">
        <f>"0691122946"</f>
        <v>0</v>
      </c>
      <c r="H918">
        <f>"9780691122946"</f>
        <v>0</v>
      </c>
      <c r="I918">
        <v>0</v>
      </c>
      <c r="J918">
        <v>3.58</v>
      </c>
      <c r="K918" t="s">
        <v>3016</v>
      </c>
      <c r="L918" t="s">
        <v>3492</v>
      </c>
      <c r="M918">
        <v>74</v>
      </c>
      <c r="N918">
        <v>2005</v>
      </c>
      <c r="O918">
        <v>1986</v>
      </c>
      <c r="Q918" t="s">
        <v>3592</v>
      </c>
      <c r="R918" t="s">
        <v>3863</v>
      </c>
      <c r="S918" t="s">
        <v>4525</v>
      </c>
      <c r="T918" t="s">
        <v>3863</v>
      </c>
      <c r="X918">
        <v>0</v>
      </c>
      <c r="AA918">
        <v>0</v>
      </c>
    </row>
    <row r="919" spans="1:27">
      <c r="A919" s="1">
        <v>917</v>
      </c>
      <c r="B919">
        <v>6084575</v>
      </c>
      <c r="C919" t="s">
        <v>947</v>
      </c>
      <c r="D919" t="s">
        <v>1789</v>
      </c>
      <c r="E919" t="s">
        <v>2595</v>
      </c>
      <c r="G919">
        <f>"0465041957"</f>
        <v>0</v>
      </c>
      <c r="H919">
        <f>"9780465041954"</f>
        <v>0</v>
      </c>
      <c r="I919">
        <v>0</v>
      </c>
      <c r="J919">
        <v>3.51</v>
      </c>
      <c r="K919" t="s">
        <v>3138</v>
      </c>
      <c r="L919" t="s">
        <v>3492</v>
      </c>
      <c r="M919">
        <v>448</v>
      </c>
      <c r="N919">
        <v>2000</v>
      </c>
      <c r="O919">
        <v>2000</v>
      </c>
      <c r="Q919" t="s">
        <v>3592</v>
      </c>
      <c r="R919" t="s">
        <v>3863</v>
      </c>
      <c r="S919" t="s">
        <v>4526</v>
      </c>
      <c r="T919" t="s">
        <v>3863</v>
      </c>
      <c r="X919">
        <v>0</v>
      </c>
      <c r="AA919">
        <v>0</v>
      </c>
    </row>
    <row r="920" spans="1:27">
      <c r="A920" s="1">
        <v>918</v>
      </c>
      <c r="B920">
        <v>19244102</v>
      </c>
      <c r="C920" t="s">
        <v>948</v>
      </c>
      <c r="D920" t="s">
        <v>1790</v>
      </c>
      <c r="E920" t="s">
        <v>2596</v>
      </c>
      <c r="G920">
        <f>""</f>
        <v>0</v>
      </c>
      <c r="H920">
        <f>""</f>
        <v>0</v>
      </c>
      <c r="I920">
        <v>0</v>
      </c>
      <c r="J920">
        <v>4.25</v>
      </c>
      <c r="K920" t="s">
        <v>3155</v>
      </c>
      <c r="L920" t="s">
        <v>3493</v>
      </c>
      <c r="M920">
        <v>205</v>
      </c>
      <c r="N920">
        <v>2012</v>
      </c>
      <c r="O920">
        <v>1979</v>
      </c>
      <c r="Q920" t="s">
        <v>3592</v>
      </c>
      <c r="R920" t="s">
        <v>3863</v>
      </c>
      <c r="S920" t="s">
        <v>4527</v>
      </c>
      <c r="T920" t="s">
        <v>3863</v>
      </c>
      <c r="X920">
        <v>0</v>
      </c>
      <c r="AA920">
        <v>0</v>
      </c>
    </row>
    <row r="921" spans="1:27">
      <c r="A921" s="1">
        <v>919</v>
      </c>
      <c r="B921">
        <v>25852784</v>
      </c>
      <c r="C921" t="s">
        <v>949</v>
      </c>
      <c r="D921" t="s">
        <v>1791</v>
      </c>
      <c r="E921" t="s">
        <v>2597</v>
      </c>
      <c r="G921">
        <f>"0553447432"</f>
        <v>0</v>
      </c>
      <c r="H921">
        <f>"9780553447439"</f>
        <v>0</v>
      </c>
      <c r="I921">
        <v>0</v>
      </c>
      <c r="J921">
        <v>4.47</v>
      </c>
      <c r="K921" t="s">
        <v>3075</v>
      </c>
      <c r="L921" t="s">
        <v>3492</v>
      </c>
      <c r="M921">
        <v>418</v>
      </c>
      <c r="N921">
        <v>2016</v>
      </c>
      <c r="O921">
        <v>2016</v>
      </c>
      <c r="Q921" t="s">
        <v>3592</v>
      </c>
      <c r="R921" t="s">
        <v>3863</v>
      </c>
      <c r="S921" t="s">
        <v>4528</v>
      </c>
      <c r="T921" t="s">
        <v>3863</v>
      </c>
      <c r="X921">
        <v>0</v>
      </c>
      <c r="AA921">
        <v>0</v>
      </c>
    </row>
    <row r="922" spans="1:27">
      <c r="A922" s="1">
        <v>920</v>
      </c>
      <c r="B922">
        <v>13369533</v>
      </c>
      <c r="C922" t="s">
        <v>950</v>
      </c>
      <c r="D922" t="s">
        <v>1792</v>
      </c>
      <c r="E922" t="s">
        <v>2598</v>
      </c>
      <c r="G922">
        <f>"0241143810"</f>
        <v>0</v>
      </c>
      <c r="H922">
        <f>"9780241143810"</f>
        <v>0</v>
      </c>
      <c r="I922">
        <v>0</v>
      </c>
      <c r="J922">
        <v>4.15</v>
      </c>
      <c r="K922" t="s">
        <v>3455</v>
      </c>
      <c r="L922" t="s">
        <v>3492</v>
      </c>
      <c r="M922">
        <v>433</v>
      </c>
      <c r="N922">
        <v>2012</v>
      </c>
      <c r="O922">
        <v>2012</v>
      </c>
      <c r="Q922" t="s">
        <v>3592</v>
      </c>
      <c r="R922" t="s">
        <v>3863</v>
      </c>
      <c r="S922" t="s">
        <v>4529</v>
      </c>
      <c r="T922" t="s">
        <v>3863</v>
      </c>
      <c r="X922">
        <v>0</v>
      </c>
      <c r="AA922">
        <v>0</v>
      </c>
    </row>
    <row r="923" spans="1:27">
      <c r="A923" s="1">
        <v>921</v>
      </c>
      <c r="B923">
        <v>117031</v>
      </c>
      <c r="C923" t="s">
        <v>951</v>
      </c>
      <c r="D923" t="s">
        <v>1793</v>
      </c>
      <c r="E923" t="s">
        <v>2599</v>
      </c>
      <c r="F923" t="s">
        <v>2962</v>
      </c>
      <c r="G923">
        <f>"0691018545"</f>
        <v>0</v>
      </c>
      <c r="H923">
        <f>"9780691018546"</f>
        <v>0</v>
      </c>
      <c r="I923">
        <v>0</v>
      </c>
      <c r="J923">
        <v>3.96</v>
      </c>
      <c r="K923" t="s">
        <v>3016</v>
      </c>
      <c r="L923" t="s">
        <v>3491</v>
      </c>
      <c r="M923">
        <v>752</v>
      </c>
      <c r="N923">
        <v>1989</v>
      </c>
      <c r="O923">
        <v>1995</v>
      </c>
      <c r="Q923" t="s">
        <v>3592</v>
      </c>
      <c r="R923" t="s">
        <v>3863</v>
      </c>
      <c r="S923" t="s">
        <v>4530</v>
      </c>
      <c r="T923" t="s">
        <v>3863</v>
      </c>
      <c r="X923">
        <v>0</v>
      </c>
      <c r="AA923">
        <v>0</v>
      </c>
    </row>
    <row r="924" spans="1:27">
      <c r="A924" s="1">
        <v>922</v>
      </c>
      <c r="B924">
        <v>108854</v>
      </c>
      <c r="C924" t="s">
        <v>952</v>
      </c>
      <c r="D924" t="s">
        <v>1794</v>
      </c>
      <c r="E924" t="s">
        <v>2600</v>
      </c>
      <c r="F924" t="s">
        <v>2963</v>
      </c>
      <c r="G924">
        <f>"0907871046"</f>
        <v>0</v>
      </c>
      <c r="H924">
        <f>"9780907871040"</f>
        <v>0</v>
      </c>
      <c r="I924">
        <v>0</v>
      </c>
      <c r="J924">
        <v>3.86</v>
      </c>
      <c r="K924" t="s">
        <v>3456</v>
      </c>
      <c r="L924" t="s">
        <v>3491</v>
      </c>
      <c r="M924">
        <v>384</v>
      </c>
      <c r="N924">
        <v>2004</v>
      </c>
      <c r="O924">
        <v>1799</v>
      </c>
      <c r="Q924" t="s">
        <v>3592</v>
      </c>
      <c r="R924" t="s">
        <v>3863</v>
      </c>
      <c r="S924" t="s">
        <v>4531</v>
      </c>
      <c r="T924" t="s">
        <v>3863</v>
      </c>
      <c r="X924">
        <v>0</v>
      </c>
      <c r="AA924">
        <v>0</v>
      </c>
    </row>
    <row r="925" spans="1:27">
      <c r="A925" s="1">
        <v>923</v>
      </c>
      <c r="B925">
        <v>57936</v>
      </c>
      <c r="C925" t="s">
        <v>953</v>
      </c>
      <c r="D925" t="s">
        <v>1795</v>
      </c>
      <c r="E925" t="s">
        <v>2601</v>
      </c>
      <c r="G925">
        <f>"0385418957"</f>
        <v>0</v>
      </c>
      <c r="H925">
        <f>"9780385418959"</f>
        <v>0</v>
      </c>
      <c r="I925">
        <v>0</v>
      </c>
      <c r="J925">
        <v>3.86</v>
      </c>
      <c r="K925" t="s">
        <v>3112</v>
      </c>
      <c r="L925" t="s">
        <v>3491</v>
      </c>
      <c r="M925">
        <v>784</v>
      </c>
      <c r="N925">
        <v>1991</v>
      </c>
      <c r="O925">
        <v>1926</v>
      </c>
      <c r="Q925" t="s">
        <v>3592</v>
      </c>
      <c r="R925" t="s">
        <v>3863</v>
      </c>
      <c r="S925" t="s">
        <v>4532</v>
      </c>
      <c r="T925" t="s">
        <v>3863</v>
      </c>
      <c r="X925">
        <v>0</v>
      </c>
      <c r="AA925">
        <v>0</v>
      </c>
    </row>
    <row r="926" spans="1:27">
      <c r="A926" s="1">
        <v>924</v>
      </c>
      <c r="B926">
        <v>45700960</v>
      </c>
      <c r="C926" t="s">
        <v>954</v>
      </c>
      <c r="D926" t="s">
        <v>1796</v>
      </c>
      <c r="E926" t="s">
        <v>2602</v>
      </c>
      <c r="F926" t="s">
        <v>2964</v>
      </c>
      <c r="G926">
        <f>"1947864157"</f>
        <v>0</v>
      </c>
      <c r="H926">
        <f>"9781947864153"</f>
        <v>0</v>
      </c>
      <c r="I926">
        <v>0</v>
      </c>
      <c r="J926">
        <v>3.92</v>
      </c>
      <c r="K926" t="s">
        <v>3457</v>
      </c>
      <c r="L926" t="s">
        <v>3491</v>
      </c>
      <c r="M926">
        <v>396</v>
      </c>
      <c r="N926">
        <v>2019</v>
      </c>
      <c r="Q926" t="s">
        <v>3592</v>
      </c>
      <c r="R926" t="s">
        <v>3863</v>
      </c>
      <c r="S926" t="s">
        <v>4533</v>
      </c>
      <c r="T926" t="s">
        <v>3863</v>
      </c>
      <c r="X926">
        <v>0</v>
      </c>
      <c r="AA926">
        <v>0</v>
      </c>
    </row>
    <row r="927" spans="1:27">
      <c r="A927" s="1">
        <v>925</v>
      </c>
      <c r="B927">
        <v>11387954</v>
      </c>
      <c r="C927" t="s">
        <v>955</v>
      </c>
      <c r="D927" t="s">
        <v>1797</v>
      </c>
      <c r="E927" t="s">
        <v>2603</v>
      </c>
      <c r="F927" t="s">
        <v>2965</v>
      </c>
      <c r="G927">
        <f>""</f>
        <v>0</v>
      </c>
      <c r="H927">
        <f>""</f>
        <v>0</v>
      </c>
      <c r="I927">
        <v>0</v>
      </c>
      <c r="J927">
        <v>3.61</v>
      </c>
      <c r="L927" t="s">
        <v>3493</v>
      </c>
      <c r="O927">
        <v>1285</v>
      </c>
      <c r="Q927" t="s">
        <v>3592</v>
      </c>
      <c r="R927" t="s">
        <v>3863</v>
      </c>
      <c r="S927" t="s">
        <v>4534</v>
      </c>
      <c r="T927" t="s">
        <v>3863</v>
      </c>
      <c r="X927">
        <v>0</v>
      </c>
      <c r="AA927">
        <v>0</v>
      </c>
    </row>
    <row r="928" spans="1:27">
      <c r="A928" s="1">
        <v>926</v>
      </c>
      <c r="B928">
        <v>6304874</v>
      </c>
      <c r="C928" t="s">
        <v>956</v>
      </c>
      <c r="D928" t="s">
        <v>1797</v>
      </c>
      <c r="E928" t="s">
        <v>2603</v>
      </c>
      <c r="F928" t="s">
        <v>2965</v>
      </c>
      <c r="G928">
        <f>""</f>
        <v>0</v>
      </c>
      <c r="H928">
        <f>""</f>
        <v>0</v>
      </c>
      <c r="I928">
        <v>0</v>
      </c>
      <c r="J928">
        <v>3.52</v>
      </c>
      <c r="K928" t="s">
        <v>3458</v>
      </c>
      <c r="L928" t="s">
        <v>3493</v>
      </c>
      <c r="M928">
        <v>874</v>
      </c>
      <c r="O928">
        <v>1285</v>
      </c>
      <c r="Q928" t="s">
        <v>3592</v>
      </c>
      <c r="R928" t="s">
        <v>3863</v>
      </c>
      <c r="S928" t="s">
        <v>4535</v>
      </c>
      <c r="T928" t="s">
        <v>3863</v>
      </c>
      <c r="X928">
        <v>0</v>
      </c>
      <c r="AA928">
        <v>0</v>
      </c>
    </row>
    <row r="929" spans="1:27">
      <c r="A929" s="1">
        <v>927</v>
      </c>
      <c r="B929">
        <v>270032</v>
      </c>
      <c r="C929" t="s">
        <v>957</v>
      </c>
      <c r="D929" t="s">
        <v>1798</v>
      </c>
      <c r="E929" t="s">
        <v>2604</v>
      </c>
      <c r="G929">
        <f>"0874778883"</f>
        <v>0</v>
      </c>
      <c r="H929">
        <f>"9780874778885"</f>
        <v>0</v>
      </c>
      <c r="I929">
        <v>0</v>
      </c>
      <c r="J929">
        <v>4.08</v>
      </c>
      <c r="K929" t="s">
        <v>3459</v>
      </c>
      <c r="L929" t="s">
        <v>3491</v>
      </c>
      <c r="M929">
        <v>330</v>
      </c>
      <c r="N929">
        <v>1997</v>
      </c>
      <c r="O929">
        <v>1953</v>
      </c>
      <c r="Q929" t="s">
        <v>3592</v>
      </c>
      <c r="R929" t="s">
        <v>3863</v>
      </c>
      <c r="S929" t="s">
        <v>4536</v>
      </c>
      <c r="T929" t="s">
        <v>3863</v>
      </c>
      <c r="X929">
        <v>0</v>
      </c>
      <c r="AA929">
        <v>0</v>
      </c>
    </row>
    <row r="930" spans="1:27">
      <c r="A930" s="1">
        <v>928</v>
      </c>
      <c r="B930">
        <v>13542772</v>
      </c>
      <c r="C930" t="s">
        <v>958</v>
      </c>
      <c r="D930" t="s">
        <v>1799</v>
      </c>
      <c r="E930" t="s">
        <v>2605</v>
      </c>
      <c r="G930">
        <f>"1591844924"</f>
        <v>0</v>
      </c>
      <c r="H930">
        <f>"9781591844921"</f>
        <v>0</v>
      </c>
      <c r="I930">
        <v>0</v>
      </c>
      <c r="J930">
        <v>3.82</v>
      </c>
      <c r="K930" t="s">
        <v>3012</v>
      </c>
      <c r="L930" t="s">
        <v>3492</v>
      </c>
      <c r="M930">
        <v>248</v>
      </c>
      <c r="N930">
        <v>2012</v>
      </c>
      <c r="O930">
        <v>2012</v>
      </c>
      <c r="Q930" t="s">
        <v>3592</v>
      </c>
      <c r="R930" t="s">
        <v>3863</v>
      </c>
      <c r="S930" t="s">
        <v>4537</v>
      </c>
      <c r="T930" t="s">
        <v>3863</v>
      </c>
      <c r="X930">
        <v>0</v>
      </c>
      <c r="AA930">
        <v>0</v>
      </c>
    </row>
    <row r="931" spans="1:27">
      <c r="A931" s="1">
        <v>929</v>
      </c>
      <c r="B931">
        <v>44643351</v>
      </c>
      <c r="C931" t="s">
        <v>959</v>
      </c>
      <c r="D931" t="s">
        <v>1800</v>
      </c>
      <c r="E931" t="s">
        <v>2606</v>
      </c>
      <c r="G931">
        <f>"0802127436"</f>
        <v>0</v>
      </c>
      <c r="H931">
        <f>"9780802127433"</f>
        <v>0</v>
      </c>
      <c r="I931">
        <v>0</v>
      </c>
      <c r="J931">
        <v>4</v>
      </c>
      <c r="K931" t="s">
        <v>3271</v>
      </c>
      <c r="L931" t="s">
        <v>3492</v>
      </c>
      <c r="M931">
        <v>356</v>
      </c>
      <c r="N931">
        <v>2019</v>
      </c>
      <c r="O931">
        <v>2019</v>
      </c>
      <c r="Q931" t="s">
        <v>3592</v>
      </c>
      <c r="R931" t="s">
        <v>3863</v>
      </c>
      <c r="S931" t="s">
        <v>4538</v>
      </c>
      <c r="T931" t="s">
        <v>3863</v>
      </c>
      <c r="X931">
        <v>0</v>
      </c>
      <c r="AA931">
        <v>0</v>
      </c>
    </row>
    <row r="932" spans="1:27">
      <c r="A932" s="1">
        <v>930</v>
      </c>
      <c r="B932">
        <v>1102716</v>
      </c>
      <c r="C932" t="s">
        <v>960</v>
      </c>
      <c r="D932" t="s">
        <v>1801</v>
      </c>
      <c r="E932" t="s">
        <v>2607</v>
      </c>
      <c r="G932">
        <f>"047148735X"</f>
        <v>0</v>
      </c>
      <c r="H932">
        <f>"9780471487357"</f>
        <v>0</v>
      </c>
      <c r="I932">
        <v>0</v>
      </c>
      <c r="J932">
        <v>4.08</v>
      </c>
      <c r="K932" t="s">
        <v>3127</v>
      </c>
      <c r="L932" t="s">
        <v>3492</v>
      </c>
      <c r="N932">
        <v>2004</v>
      </c>
      <c r="O932">
        <v>1976</v>
      </c>
      <c r="Q932" t="s">
        <v>3592</v>
      </c>
      <c r="R932" t="s">
        <v>3863</v>
      </c>
      <c r="S932" t="s">
        <v>4539</v>
      </c>
      <c r="T932" t="s">
        <v>3863</v>
      </c>
      <c r="X932">
        <v>0</v>
      </c>
      <c r="AA932">
        <v>0</v>
      </c>
    </row>
    <row r="933" spans="1:27">
      <c r="A933" s="1">
        <v>931</v>
      </c>
      <c r="B933">
        <v>241434</v>
      </c>
      <c r="C933" t="s">
        <v>961</v>
      </c>
      <c r="D933" t="s">
        <v>1802</v>
      </c>
      <c r="E933" t="s">
        <v>2608</v>
      </c>
      <c r="G933">
        <f>"0684831481"</f>
        <v>0</v>
      </c>
      <c r="H933">
        <f>"9780684831480"</f>
        <v>0</v>
      </c>
      <c r="I933">
        <v>0</v>
      </c>
      <c r="J933">
        <v>3.69</v>
      </c>
      <c r="K933" t="s">
        <v>3356</v>
      </c>
      <c r="L933" t="s">
        <v>3491</v>
      </c>
      <c r="M933">
        <v>368</v>
      </c>
      <c r="N933">
        <v>1997</v>
      </c>
      <c r="O933">
        <v>1996</v>
      </c>
      <c r="Q933" t="s">
        <v>3592</v>
      </c>
      <c r="R933" t="s">
        <v>3863</v>
      </c>
      <c r="S933" t="s">
        <v>4540</v>
      </c>
      <c r="T933" t="s">
        <v>3863</v>
      </c>
      <c r="X933">
        <v>0</v>
      </c>
      <c r="AA933">
        <v>0</v>
      </c>
    </row>
    <row r="934" spans="1:27">
      <c r="A934" s="1">
        <v>932</v>
      </c>
      <c r="B934">
        <v>558059</v>
      </c>
      <c r="C934" t="s">
        <v>962</v>
      </c>
      <c r="D934" t="s">
        <v>1803</v>
      </c>
      <c r="E934" t="s">
        <v>2609</v>
      </c>
      <c r="G934">
        <f>"0716711869"</f>
        <v>0</v>
      </c>
      <c r="H934">
        <f>"9780716711865"</f>
        <v>0</v>
      </c>
      <c r="I934">
        <v>0</v>
      </c>
      <c r="J934">
        <v>4.22</v>
      </c>
      <c r="K934" t="s">
        <v>3276</v>
      </c>
      <c r="L934" t="s">
        <v>3492</v>
      </c>
      <c r="M934">
        <v>480</v>
      </c>
      <c r="N934">
        <v>1982</v>
      </c>
      <c r="O934">
        <v>1977</v>
      </c>
      <c r="Q934" t="s">
        <v>3592</v>
      </c>
      <c r="R934" t="s">
        <v>3863</v>
      </c>
      <c r="S934" t="s">
        <v>4541</v>
      </c>
      <c r="T934" t="s">
        <v>3863</v>
      </c>
      <c r="X934">
        <v>0</v>
      </c>
      <c r="AA934">
        <v>0</v>
      </c>
    </row>
    <row r="935" spans="1:27">
      <c r="A935" s="1">
        <v>933</v>
      </c>
      <c r="B935">
        <v>389603</v>
      </c>
      <c r="C935" t="s">
        <v>963</v>
      </c>
      <c r="D935" t="s">
        <v>1803</v>
      </c>
      <c r="E935" t="s">
        <v>2609</v>
      </c>
      <c r="F935" t="s">
        <v>2966</v>
      </c>
      <c r="G935">
        <f>"0465043577"</f>
        <v>0</v>
      </c>
      <c r="H935">
        <f>"9780465043576"</f>
        <v>0</v>
      </c>
      <c r="I935">
        <v>0</v>
      </c>
      <c r="J935">
        <v>4.09</v>
      </c>
      <c r="K935" t="s">
        <v>3138</v>
      </c>
      <c r="L935" t="s">
        <v>3491</v>
      </c>
      <c r="M935">
        <v>368</v>
      </c>
      <c r="N935">
        <v>2006</v>
      </c>
      <c r="O935">
        <v>1997</v>
      </c>
      <c r="Q935" t="s">
        <v>3592</v>
      </c>
      <c r="R935" t="s">
        <v>3863</v>
      </c>
      <c r="S935" t="s">
        <v>4542</v>
      </c>
      <c r="T935" t="s">
        <v>3863</v>
      </c>
      <c r="X935">
        <v>0</v>
      </c>
      <c r="AA935">
        <v>0</v>
      </c>
    </row>
    <row r="936" spans="1:27">
      <c r="A936" s="1">
        <v>934</v>
      </c>
      <c r="B936">
        <v>18471784</v>
      </c>
      <c r="C936" t="s">
        <v>964</v>
      </c>
      <c r="D936" t="s">
        <v>1804</v>
      </c>
      <c r="E936" t="s">
        <v>2610</v>
      </c>
      <c r="G936">
        <f>"1780924488"</f>
        <v>0</v>
      </c>
      <c r="H936">
        <f>"9781780924489"</f>
        <v>0</v>
      </c>
      <c r="I936">
        <v>0</v>
      </c>
      <c r="J936">
        <v>3.66</v>
      </c>
      <c r="K936" t="s">
        <v>3460</v>
      </c>
      <c r="L936" t="s">
        <v>3491</v>
      </c>
      <c r="M936">
        <v>88</v>
      </c>
      <c r="N936">
        <v>2013</v>
      </c>
      <c r="O936">
        <v>2013</v>
      </c>
      <c r="Q936" t="s">
        <v>3592</v>
      </c>
      <c r="R936" t="s">
        <v>3863</v>
      </c>
      <c r="S936" t="s">
        <v>4543</v>
      </c>
      <c r="T936" t="s">
        <v>3863</v>
      </c>
      <c r="X936">
        <v>0</v>
      </c>
      <c r="AA936">
        <v>0</v>
      </c>
    </row>
    <row r="937" spans="1:27">
      <c r="A937" s="1">
        <v>935</v>
      </c>
      <c r="B937">
        <v>31448865</v>
      </c>
      <c r="C937" t="s">
        <v>965</v>
      </c>
      <c r="D937" t="s">
        <v>1805</v>
      </c>
      <c r="E937" t="s">
        <v>2611</v>
      </c>
      <c r="G937">
        <f>"9351777596"</f>
        <v>0</v>
      </c>
      <c r="H937">
        <f>"9789351777595"</f>
        <v>0</v>
      </c>
      <c r="I937">
        <v>0</v>
      </c>
      <c r="J937">
        <v>4.02</v>
      </c>
      <c r="K937" t="s">
        <v>3163</v>
      </c>
      <c r="L937" t="s">
        <v>3492</v>
      </c>
      <c r="M937">
        <v>280</v>
      </c>
      <c r="N937">
        <v>2016</v>
      </c>
      <c r="Q937" t="s">
        <v>3592</v>
      </c>
      <c r="R937" t="s">
        <v>3863</v>
      </c>
      <c r="S937" t="s">
        <v>4544</v>
      </c>
      <c r="T937" t="s">
        <v>3863</v>
      </c>
      <c r="X937">
        <v>0</v>
      </c>
      <c r="AA937">
        <v>0</v>
      </c>
    </row>
    <row r="938" spans="1:27">
      <c r="A938" s="1">
        <v>936</v>
      </c>
      <c r="B938">
        <v>695429</v>
      </c>
      <c r="C938" t="s">
        <v>966</v>
      </c>
      <c r="D938" t="s">
        <v>1806</v>
      </c>
      <c r="E938" t="s">
        <v>2612</v>
      </c>
      <c r="F938" t="s">
        <v>2967</v>
      </c>
      <c r="G938">
        <f>"0814758169"</f>
        <v>0</v>
      </c>
      <c r="H938">
        <f>"9780814758168"</f>
        <v>0</v>
      </c>
      <c r="I938">
        <v>0</v>
      </c>
      <c r="J938">
        <v>4.18</v>
      </c>
      <c r="K938" t="s">
        <v>3461</v>
      </c>
      <c r="L938" t="s">
        <v>3492</v>
      </c>
      <c r="M938">
        <v>160</v>
      </c>
      <c r="N938">
        <v>2001</v>
      </c>
      <c r="O938">
        <v>1958</v>
      </c>
      <c r="Q938" t="s">
        <v>3592</v>
      </c>
      <c r="R938" t="s">
        <v>3863</v>
      </c>
      <c r="S938" t="s">
        <v>4545</v>
      </c>
      <c r="T938" t="s">
        <v>3863</v>
      </c>
      <c r="X938">
        <v>0</v>
      </c>
      <c r="AA938">
        <v>0</v>
      </c>
    </row>
    <row r="939" spans="1:27">
      <c r="A939" s="1">
        <v>937</v>
      </c>
      <c r="B939">
        <v>123471</v>
      </c>
      <c r="C939" t="s">
        <v>967</v>
      </c>
      <c r="D939" t="s">
        <v>1481</v>
      </c>
      <c r="E939" t="s">
        <v>2287</v>
      </c>
      <c r="G939">
        <f>"0465030785"</f>
        <v>0</v>
      </c>
      <c r="H939">
        <f>"9780465030781"</f>
        <v>0</v>
      </c>
      <c r="I939">
        <v>0</v>
      </c>
      <c r="J939">
        <v>3.95</v>
      </c>
      <c r="K939" t="s">
        <v>3084</v>
      </c>
      <c r="L939" t="s">
        <v>3492</v>
      </c>
      <c r="M939">
        <v>412</v>
      </c>
      <c r="N939">
        <v>2007</v>
      </c>
      <c r="O939">
        <v>2007</v>
      </c>
      <c r="Q939" t="s">
        <v>3592</v>
      </c>
      <c r="R939" t="s">
        <v>3863</v>
      </c>
      <c r="S939" t="s">
        <v>4546</v>
      </c>
      <c r="T939" t="s">
        <v>3863</v>
      </c>
      <c r="X939">
        <v>0</v>
      </c>
      <c r="AA939">
        <v>0</v>
      </c>
    </row>
    <row r="940" spans="1:27">
      <c r="A940" s="1">
        <v>938</v>
      </c>
      <c r="B940">
        <v>213337</v>
      </c>
      <c r="C940" t="s">
        <v>968</v>
      </c>
      <c r="D940" t="s">
        <v>1807</v>
      </c>
      <c r="E940" t="s">
        <v>2613</v>
      </c>
      <c r="G940">
        <f>"079226987X"</f>
        <v>0</v>
      </c>
      <c r="H940">
        <f>"9780792269878"</f>
        <v>0</v>
      </c>
      <c r="I940">
        <v>0</v>
      </c>
      <c r="J940">
        <v>4.05</v>
      </c>
      <c r="K940" t="s">
        <v>3384</v>
      </c>
      <c r="L940" t="s">
        <v>3491</v>
      </c>
      <c r="M940">
        <v>500</v>
      </c>
      <c r="N940">
        <v>2003</v>
      </c>
      <c r="O940">
        <v>1925</v>
      </c>
      <c r="Q940" t="s">
        <v>3592</v>
      </c>
      <c r="R940" t="s">
        <v>3863</v>
      </c>
      <c r="S940" t="s">
        <v>4547</v>
      </c>
      <c r="T940" t="s">
        <v>3863</v>
      </c>
      <c r="X940">
        <v>0</v>
      </c>
      <c r="AA940">
        <v>0</v>
      </c>
    </row>
    <row r="941" spans="1:27">
      <c r="A941" s="1">
        <v>939</v>
      </c>
      <c r="B941">
        <v>556661</v>
      </c>
      <c r="C941" t="s">
        <v>969</v>
      </c>
      <c r="D941" t="s">
        <v>1808</v>
      </c>
      <c r="E941" t="s">
        <v>2614</v>
      </c>
      <c r="G941">
        <f>"1843410036"</f>
        <v>0</v>
      </c>
      <c r="H941">
        <f>"9781843410034"</f>
        <v>0</v>
      </c>
      <c r="I941">
        <v>0</v>
      </c>
      <c r="J941">
        <v>4.09</v>
      </c>
      <c r="K941" t="s">
        <v>3462</v>
      </c>
      <c r="L941" t="s">
        <v>3491</v>
      </c>
      <c r="M941">
        <v>394</v>
      </c>
      <c r="N941">
        <v>2001</v>
      </c>
      <c r="O941">
        <v>1936</v>
      </c>
      <c r="Q941" t="s">
        <v>3592</v>
      </c>
      <c r="R941" t="s">
        <v>3863</v>
      </c>
      <c r="S941" t="s">
        <v>4548</v>
      </c>
      <c r="T941" t="s">
        <v>3863</v>
      </c>
      <c r="X941">
        <v>0</v>
      </c>
      <c r="AA941">
        <v>0</v>
      </c>
    </row>
    <row r="942" spans="1:27">
      <c r="A942" s="1">
        <v>940</v>
      </c>
      <c r="B942">
        <v>118141</v>
      </c>
      <c r="C942" t="s">
        <v>970</v>
      </c>
      <c r="D942" t="s">
        <v>1781</v>
      </c>
      <c r="E942" t="s">
        <v>2587</v>
      </c>
      <c r="F942" t="s">
        <v>2968</v>
      </c>
      <c r="G942">
        <f>"1885283172"</f>
        <v>0</v>
      </c>
      <c r="H942">
        <f>"9781885283177"</f>
        <v>0</v>
      </c>
      <c r="I942">
        <v>0</v>
      </c>
      <c r="J942">
        <v>3.97</v>
      </c>
      <c r="K942" t="s">
        <v>3463</v>
      </c>
      <c r="L942" t="s">
        <v>3492</v>
      </c>
      <c r="M942">
        <v>256</v>
      </c>
      <c r="N942">
        <v>1999</v>
      </c>
      <c r="O942">
        <v>1958</v>
      </c>
      <c r="Q942" t="s">
        <v>3592</v>
      </c>
      <c r="R942" t="s">
        <v>3863</v>
      </c>
      <c r="S942" t="s">
        <v>4549</v>
      </c>
      <c r="T942" t="s">
        <v>3863</v>
      </c>
      <c r="X942">
        <v>0</v>
      </c>
      <c r="AA942">
        <v>0</v>
      </c>
    </row>
    <row r="943" spans="1:27">
      <c r="A943" s="1">
        <v>941</v>
      </c>
      <c r="B943">
        <v>42481212</v>
      </c>
      <c r="C943" t="s">
        <v>971</v>
      </c>
      <c r="D943" t="s">
        <v>1809</v>
      </c>
      <c r="E943" t="s">
        <v>2615</v>
      </c>
      <c r="G943">
        <f>"1789140641"</f>
        <v>0</v>
      </c>
      <c r="H943">
        <f>"9781789140644"</f>
        <v>0</v>
      </c>
      <c r="I943">
        <v>0</v>
      </c>
      <c r="J943">
        <v>3.27</v>
      </c>
      <c r="K943" t="s">
        <v>3464</v>
      </c>
      <c r="L943" t="s">
        <v>3492</v>
      </c>
      <c r="M943">
        <v>272</v>
      </c>
      <c r="N943">
        <v>2019</v>
      </c>
      <c r="Q943" t="s">
        <v>3592</v>
      </c>
      <c r="R943" t="s">
        <v>3863</v>
      </c>
      <c r="S943" t="s">
        <v>4550</v>
      </c>
      <c r="T943" t="s">
        <v>3863</v>
      </c>
      <c r="X943">
        <v>0</v>
      </c>
      <c r="AA943">
        <v>0</v>
      </c>
    </row>
    <row r="944" spans="1:27">
      <c r="A944" s="1">
        <v>942</v>
      </c>
      <c r="B944">
        <v>11179667</v>
      </c>
      <c r="C944" t="s">
        <v>972</v>
      </c>
      <c r="D944" t="s">
        <v>1810</v>
      </c>
      <c r="E944" t="s">
        <v>2616</v>
      </c>
      <c r="F944" t="s">
        <v>2969</v>
      </c>
      <c r="G944">
        <f>"1607614960"</f>
        <v>0</v>
      </c>
      <c r="H944">
        <f>"9781607614968"</f>
        <v>0</v>
      </c>
      <c r="I944">
        <v>0</v>
      </c>
      <c r="J944">
        <v>3.75</v>
      </c>
      <c r="K944" t="s">
        <v>3120</v>
      </c>
      <c r="L944" t="s">
        <v>3491</v>
      </c>
      <c r="M944">
        <v>228</v>
      </c>
      <c r="N944">
        <v>2010</v>
      </c>
      <c r="O944">
        <v>2009</v>
      </c>
      <c r="Q944" t="s">
        <v>3592</v>
      </c>
      <c r="R944" t="s">
        <v>3863</v>
      </c>
      <c r="S944" t="s">
        <v>4551</v>
      </c>
      <c r="T944" t="s">
        <v>3863</v>
      </c>
      <c r="X944">
        <v>0</v>
      </c>
      <c r="AA944">
        <v>0</v>
      </c>
    </row>
    <row r="945" spans="1:27">
      <c r="A945" s="1">
        <v>943</v>
      </c>
      <c r="B945">
        <v>62111</v>
      </c>
      <c r="C945" t="s">
        <v>973</v>
      </c>
      <c r="D945" t="s">
        <v>1811</v>
      </c>
      <c r="E945" t="s">
        <v>2617</v>
      </c>
      <c r="F945" t="s">
        <v>2970</v>
      </c>
      <c r="G945">
        <f>"1402726023"</f>
        <v>0</v>
      </c>
      <c r="H945">
        <f>"9781402726026"</f>
        <v>0</v>
      </c>
      <c r="I945">
        <v>0</v>
      </c>
      <c r="J945">
        <v>3.91</v>
      </c>
      <c r="K945" t="s">
        <v>3160</v>
      </c>
      <c r="L945" t="s">
        <v>3492</v>
      </c>
      <c r="M945">
        <v>345</v>
      </c>
      <c r="N945">
        <v>2006</v>
      </c>
      <c r="O945">
        <v>1812</v>
      </c>
      <c r="Q945" t="s">
        <v>3592</v>
      </c>
      <c r="R945" t="s">
        <v>3863</v>
      </c>
      <c r="S945" t="s">
        <v>4552</v>
      </c>
      <c r="T945" t="s">
        <v>3863</v>
      </c>
      <c r="X945">
        <v>0</v>
      </c>
      <c r="AA945">
        <v>0</v>
      </c>
    </row>
    <row r="946" spans="1:27">
      <c r="A946" s="1">
        <v>944</v>
      </c>
      <c r="B946">
        <v>37542581</v>
      </c>
      <c r="C946" t="s">
        <v>974</v>
      </c>
      <c r="D946" t="s">
        <v>1812</v>
      </c>
      <c r="E946" t="s">
        <v>2618</v>
      </c>
      <c r="G946">
        <f>"0771060335"</f>
        <v>0</v>
      </c>
      <c r="H946">
        <f>"9780771060335"</f>
        <v>0</v>
      </c>
      <c r="I946">
        <v>0</v>
      </c>
      <c r="J946">
        <v>4.5</v>
      </c>
      <c r="K946" t="s">
        <v>3465</v>
      </c>
      <c r="L946" t="s">
        <v>3492</v>
      </c>
      <c r="M946">
        <v>384</v>
      </c>
      <c r="N946">
        <v>2018</v>
      </c>
      <c r="O946">
        <v>2018</v>
      </c>
      <c r="Q946" t="s">
        <v>3592</v>
      </c>
      <c r="R946" t="s">
        <v>3863</v>
      </c>
      <c r="S946" t="s">
        <v>4553</v>
      </c>
      <c r="T946" t="s">
        <v>3863</v>
      </c>
      <c r="X946">
        <v>0</v>
      </c>
      <c r="AA946">
        <v>0</v>
      </c>
    </row>
    <row r="947" spans="1:27">
      <c r="A947" s="1">
        <v>945</v>
      </c>
      <c r="B947">
        <v>230955</v>
      </c>
      <c r="C947" t="s">
        <v>975</v>
      </c>
      <c r="D947" t="s">
        <v>1813</v>
      </c>
      <c r="E947" t="s">
        <v>2619</v>
      </c>
      <c r="G947">
        <f>"0521808677"</f>
        <v>0</v>
      </c>
      <c r="H947">
        <f>"9780521808675"</f>
        <v>0</v>
      </c>
      <c r="I947">
        <v>0</v>
      </c>
      <c r="J947">
        <v>4.27</v>
      </c>
      <c r="K947" t="s">
        <v>3021</v>
      </c>
      <c r="L947" t="s">
        <v>3492</v>
      </c>
      <c r="M947">
        <v>304</v>
      </c>
      <c r="N947">
        <v>2002</v>
      </c>
      <c r="O947">
        <v>2008</v>
      </c>
      <c r="Q947" t="s">
        <v>3592</v>
      </c>
      <c r="R947" t="s">
        <v>3863</v>
      </c>
      <c r="S947" t="s">
        <v>4554</v>
      </c>
      <c r="T947" t="s">
        <v>3863</v>
      </c>
      <c r="X947">
        <v>0</v>
      </c>
      <c r="AA947">
        <v>0</v>
      </c>
    </row>
    <row r="948" spans="1:27">
      <c r="A948" s="1">
        <v>946</v>
      </c>
      <c r="B948">
        <v>17557470</v>
      </c>
      <c r="C948" t="s">
        <v>976</v>
      </c>
      <c r="D948" t="s">
        <v>1814</v>
      </c>
      <c r="E948" t="s">
        <v>2620</v>
      </c>
      <c r="G948">
        <f>"1452112746"</f>
        <v>0</v>
      </c>
      <c r="H948">
        <f>"9781452112749"</f>
        <v>0</v>
      </c>
      <c r="I948">
        <v>0</v>
      </c>
      <c r="J948">
        <v>3.99</v>
      </c>
      <c r="K948" t="s">
        <v>3466</v>
      </c>
      <c r="L948" t="s">
        <v>3492</v>
      </c>
      <c r="M948">
        <v>288</v>
      </c>
      <c r="N948">
        <v>2013</v>
      </c>
      <c r="O948">
        <v>2013</v>
      </c>
      <c r="Q948" t="s">
        <v>3592</v>
      </c>
      <c r="R948" t="s">
        <v>3863</v>
      </c>
      <c r="S948" t="s">
        <v>4555</v>
      </c>
      <c r="T948" t="s">
        <v>3863</v>
      </c>
      <c r="X948">
        <v>0</v>
      </c>
      <c r="AA948">
        <v>0</v>
      </c>
    </row>
    <row r="949" spans="1:27">
      <c r="A949" s="1">
        <v>947</v>
      </c>
      <c r="B949">
        <v>36701550</v>
      </c>
      <c r="C949" t="s">
        <v>977</v>
      </c>
      <c r="D949" t="s">
        <v>1815</v>
      </c>
      <c r="E949" t="s">
        <v>2621</v>
      </c>
      <c r="G949">
        <f>""</f>
        <v>0</v>
      </c>
      <c r="H949">
        <f>""</f>
        <v>0</v>
      </c>
      <c r="I949">
        <v>0</v>
      </c>
      <c r="J949">
        <v>3.78</v>
      </c>
      <c r="K949" t="s">
        <v>3415</v>
      </c>
      <c r="L949" t="s">
        <v>3492</v>
      </c>
      <c r="M949">
        <v>288</v>
      </c>
      <c r="N949">
        <v>2019</v>
      </c>
      <c r="O949">
        <v>2019</v>
      </c>
      <c r="Q949" t="s">
        <v>3592</v>
      </c>
      <c r="R949" t="s">
        <v>3863</v>
      </c>
      <c r="S949" t="s">
        <v>4556</v>
      </c>
      <c r="T949" t="s">
        <v>3863</v>
      </c>
      <c r="X949">
        <v>0</v>
      </c>
      <c r="AA949">
        <v>0</v>
      </c>
    </row>
    <row r="950" spans="1:27">
      <c r="A950" s="1">
        <v>948</v>
      </c>
      <c r="B950">
        <v>508371</v>
      </c>
      <c r="C950" t="s">
        <v>978</v>
      </c>
      <c r="D950" t="s">
        <v>1816</v>
      </c>
      <c r="E950" t="s">
        <v>2622</v>
      </c>
      <c r="F950" t="s">
        <v>2971</v>
      </c>
      <c r="G950">
        <f>"0700611592"</f>
        <v>0</v>
      </c>
      <c r="H950">
        <f>"9780700611591"</f>
        <v>0</v>
      </c>
      <c r="I950">
        <v>0</v>
      </c>
      <c r="J950">
        <v>4.08</v>
      </c>
      <c r="K950" t="s">
        <v>3187</v>
      </c>
      <c r="L950" t="s">
        <v>3492</v>
      </c>
      <c r="M950">
        <v>312</v>
      </c>
      <c r="N950">
        <v>2002</v>
      </c>
      <c r="O950">
        <v>2002</v>
      </c>
      <c r="Q950" t="s">
        <v>3592</v>
      </c>
      <c r="R950" t="s">
        <v>3863</v>
      </c>
      <c r="S950" t="s">
        <v>4557</v>
      </c>
      <c r="T950" t="s">
        <v>3863</v>
      </c>
      <c r="X950">
        <v>0</v>
      </c>
      <c r="AA950">
        <v>0</v>
      </c>
    </row>
    <row r="951" spans="1:27">
      <c r="A951" s="1">
        <v>949</v>
      </c>
      <c r="B951">
        <v>53326</v>
      </c>
      <c r="C951" t="s">
        <v>979</v>
      </c>
      <c r="D951" t="s">
        <v>1817</v>
      </c>
      <c r="E951" t="s">
        <v>2623</v>
      </c>
      <c r="G951">
        <f>"0671865412"</f>
        <v>0</v>
      </c>
      <c r="H951">
        <f>"9780671865412"</f>
        <v>0</v>
      </c>
      <c r="I951">
        <v>0</v>
      </c>
      <c r="J951">
        <v>3.94</v>
      </c>
      <c r="K951" t="s">
        <v>3356</v>
      </c>
      <c r="L951" t="s">
        <v>3491</v>
      </c>
      <c r="M951">
        <v>608</v>
      </c>
      <c r="N951">
        <v>1993</v>
      </c>
      <c r="O951">
        <v>1992</v>
      </c>
      <c r="Q951" t="s">
        <v>3592</v>
      </c>
      <c r="R951" t="s">
        <v>3863</v>
      </c>
      <c r="S951" t="s">
        <v>4558</v>
      </c>
      <c r="T951" t="s">
        <v>3863</v>
      </c>
      <c r="X951">
        <v>0</v>
      </c>
      <c r="AA951">
        <v>0</v>
      </c>
    </row>
    <row r="952" spans="1:27">
      <c r="A952" s="1">
        <v>950</v>
      </c>
      <c r="B952">
        <v>70561</v>
      </c>
      <c r="C952" t="s">
        <v>980</v>
      </c>
      <c r="D952" t="s">
        <v>1293</v>
      </c>
      <c r="E952" t="s">
        <v>2099</v>
      </c>
      <c r="F952" t="s">
        <v>2972</v>
      </c>
      <c r="G952">
        <f>"0060007761"</f>
        <v>0</v>
      </c>
      <c r="H952">
        <f>"9780060007768"</f>
        <v>0</v>
      </c>
      <c r="I952">
        <v>0</v>
      </c>
      <c r="J952">
        <v>4.31</v>
      </c>
      <c r="K952" t="s">
        <v>3163</v>
      </c>
      <c r="L952" t="s">
        <v>3491</v>
      </c>
      <c r="M952">
        <v>472</v>
      </c>
      <c r="N952">
        <v>2002</v>
      </c>
      <c r="O952">
        <v>1973</v>
      </c>
      <c r="Q952" t="s">
        <v>3592</v>
      </c>
      <c r="R952" t="s">
        <v>3863</v>
      </c>
      <c r="S952" t="s">
        <v>4559</v>
      </c>
      <c r="T952" t="s">
        <v>3863</v>
      </c>
      <c r="X952">
        <v>0</v>
      </c>
      <c r="AA952">
        <v>0</v>
      </c>
    </row>
    <row r="953" spans="1:27">
      <c r="A953" s="1">
        <v>951</v>
      </c>
      <c r="B953">
        <v>10882</v>
      </c>
      <c r="C953" t="s">
        <v>981</v>
      </c>
      <c r="D953" t="s">
        <v>1818</v>
      </c>
      <c r="E953" t="s">
        <v>2624</v>
      </c>
      <c r="F953" t="s">
        <v>2973</v>
      </c>
      <c r="G953">
        <f>"222109073X"</f>
        <v>0</v>
      </c>
      <c r="H953">
        <f>"9782221090732"</f>
        <v>0</v>
      </c>
      <c r="I953">
        <v>0</v>
      </c>
      <c r="J953">
        <v>3.99</v>
      </c>
      <c r="K953" t="s">
        <v>3467</v>
      </c>
      <c r="L953" t="s">
        <v>3491</v>
      </c>
      <c r="M953">
        <v>295</v>
      </c>
      <c r="N953">
        <v>2000</v>
      </c>
      <c r="O953">
        <v>1966</v>
      </c>
      <c r="Q953" t="s">
        <v>3592</v>
      </c>
      <c r="R953" t="s">
        <v>3863</v>
      </c>
      <c r="S953" t="s">
        <v>4560</v>
      </c>
      <c r="T953" t="s">
        <v>3863</v>
      </c>
      <c r="X953">
        <v>0</v>
      </c>
      <c r="AA953">
        <v>0</v>
      </c>
    </row>
    <row r="954" spans="1:27">
      <c r="A954" s="1">
        <v>952</v>
      </c>
      <c r="B954">
        <v>7745</v>
      </c>
      <c r="C954" t="s">
        <v>982</v>
      </c>
      <c r="D954" t="s">
        <v>1818</v>
      </c>
      <c r="E954" t="s">
        <v>2624</v>
      </c>
      <c r="F954" t="s">
        <v>2974</v>
      </c>
      <c r="G954">
        <f>"0679785892"</f>
        <v>0</v>
      </c>
      <c r="H954">
        <f>"9780679785897"</f>
        <v>0</v>
      </c>
      <c r="I954">
        <v>0</v>
      </c>
      <c r="J954">
        <v>4.07</v>
      </c>
      <c r="K954" t="s">
        <v>3292</v>
      </c>
      <c r="L954" t="s">
        <v>3491</v>
      </c>
      <c r="M954">
        <v>204</v>
      </c>
      <c r="N954">
        <v>1998</v>
      </c>
      <c r="O954">
        <v>1971</v>
      </c>
      <c r="Q954" t="s">
        <v>3592</v>
      </c>
      <c r="R954" t="s">
        <v>3863</v>
      </c>
      <c r="S954" t="s">
        <v>4561</v>
      </c>
      <c r="T954" t="s">
        <v>3863</v>
      </c>
      <c r="X954">
        <v>0</v>
      </c>
      <c r="AA954">
        <v>0</v>
      </c>
    </row>
    <row r="955" spans="1:27">
      <c r="A955" s="1">
        <v>953</v>
      </c>
      <c r="B955">
        <v>30687200</v>
      </c>
      <c r="C955" t="s">
        <v>983</v>
      </c>
      <c r="D955" t="s">
        <v>1819</v>
      </c>
      <c r="E955" t="s">
        <v>2625</v>
      </c>
      <c r="F955" t="s">
        <v>2975</v>
      </c>
      <c r="G955">
        <f>"1101924926"</f>
        <v>0</v>
      </c>
      <c r="H955">
        <f>"9781101924921"</f>
        <v>0</v>
      </c>
      <c r="I955">
        <v>0</v>
      </c>
      <c r="J955">
        <v>3.88</v>
      </c>
      <c r="K955" t="s">
        <v>3291</v>
      </c>
      <c r="L955" t="s">
        <v>3499</v>
      </c>
      <c r="M955">
        <v>224</v>
      </c>
      <c r="N955">
        <v>2017</v>
      </c>
      <c r="O955">
        <v>2017</v>
      </c>
      <c r="Q955" t="s">
        <v>3592</v>
      </c>
      <c r="R955" t="s">
        <v>3863</v>
      </c>
      <c r="S955" t="s">
        <v>4562</v>
      </c>
      <c r="T955" t="s">
        <v>3863</v>
      </c>
      <c r="X955">
        <v>0</v>
      </c>
      <c r="AA955">
        <v>0</v>
      </c>
    </row>
    <row r="956" spans="1:27">
      <c r="A956" s="1">
        <v>954</v>
      </c>
      <c r="B956">
        <v>36950898</v>
      </c>
      <c r="C956" t="s">
        <v>984</v>
      </c>
      <c r="D956" t="s">
        <v>1820</v>
      </c>
      <c r="E956" t="s">
        <v>2626</v>
      </c>
      <c r="G956">
        <f>"0735221316"</f>
        <v>0</v>
      </c>
      <c r="H956">
        <f>"9780735221314"</f>
        <v>0</v>
      </c>
      <c r="I956">
        <v>0</v>
      </c>
      <c r="J956">
        <v>3.87</v>
      </c>
      <c r="K956" t="s">
        <v>3036</v>
      </c>
      <c r="L956" t="s">
        <v>3492</v>
      </c>
      <c r="M956">
        <v>338</v>
      </c>
      <c r="N956">
        <v>2018</v>
      </c>
      <c r="O956">
        <v>2018</v>
      </c>
      <c r="Q956" t="s">
        <v>3592</v>
      </c>
      <c r="R956" t="s">
        <v>3863</v>
      </c>
      <c r="S956" t="s">
        <v>4563</v>
      </c>
      <c r="T956" t="s">
        <v>3863</v>
      </c>
      <c r="X956">
        <v>0</v>
      </c>
      <c r="AA956">
        <v>0</v>
      </c>
    </row>
    <row r="957" spans="1:27">
      <c r="A957" s="1">
        <v>955</v>
      </c>
      <c r="B957">
        <v>646563</v>
      </c>
      <c r="C957" t="s">
        <v>985</v>
      </c>
      <c r="D957" t="s">
        <v>1821</v>
      </c>
      <c r="E957" t="s">
        <v>2627</v>
      </c>
      <c r="G957">
        <f>"1400065836"</f>
        <v>0</v>
      </c>
      <c r="H957">
        <f>"9781400065837"</f>
        <v>0</v>
      </c>
      <c r="I957">
        <v>0</v>
      </c>
      <c r="J957">
        <v>3.91</v>
      </c>
      <c r="K957" t="s">
        <v>3039</v>
      </c>
      <c r="L957" t="s">
        <v>3492</v>
      </c>
      <c r="M957">
        <v>343</v>
      </c>
      <c r="N957">
        <v>2007</v>
      </c>
      <c r="O957">
        <v>2007</v>
      </c>
      <c r="Q957" t="s">
        <v>3592</v>
      </c>
      <c r="R957" t="s">
        <v>3863</v>
      </c>
      <c r="S957" t="s">
        <v>4564</v>
      </c>
      <c r="T957" t="s">
        <v>3863</v>
      </c>
      <c r="X957">
        <v>0</v>
      </c>
      <c r="AA957">
        <v>0</v>
      </c>
    </row>
    <row r="958" spans="1:27">
      <c r="A958" s="1">
        <v>956</v>
      </c>
      <c r="B958">
        <v>555926</v>
      </c>
      <c r="C958" t="s">
        <v>986</v>
      </c>
      <c r="D958" t="s">
        <v>1822</v>
      </c>
      <c r="E958" t="s">
        <v>2628</v>
      </c>
      <c r="G958">
        <f>"0141007230"</f>
        <v>0</v>
      </c>
      <c r="H958">
        <f>"9780141007236"</f>
        <v>0</v>
      </c>
      <c r="I958">
        <v>0</v>
      </c>
      <c r="J958">
        <v>4.07</v>
      </c>
      <c r="K958" t="s">
        <v>3010</v>
      </c>
      <c r="L958" t="s">
        <v>3491</v>
      </c>
      <c r="M958">
        <v>1232</v>
      </c>
      <c r="N958">
        <v>2004</v>
      </c>
      <c r="O958">
        <v>1976</v>
      </c>
      <c r="Q958" t="s">
        <v>3592</v>
      </c>
      <c r="R958" t="s">
        <v>3863</v>
      </c>
      <c r="S958" t="s">
        <v>4565</v>
      </c>
      <c r="T958" t="s">
        <v>3863</v>
      </c>
      <c r="X958">
        <v>0</v>
      </c>
      <c r="AA958">
        <v>0</v>
      </c>
    </row>
    <row r="959" spans="1:27">
      <c r="A959" s="1">
        <v>957</v>
      </c>
      <c r="B959">
        <v>442239</v>
      </c>
      <c r="C959" t="s">
        <v>987</v>
      </c>
      <c r="D959" t="s">
        <v>1823</v>
      </c>
      <c r="E959" t="s">
        <v>2629</v>
      </c>
      <c r="G959">
        <f>"0151013020"</f>
        <v>0</v>
      </c>
      <c r="H959">
        <f>"9780151013029"</f>
        <v>0</v>
      </c>
      <c r="I959">
        <v>0</v>
      </c>
      <c r="J959">
        <v>3.87</v>
      </c>
      <c r="K959" t="s">
        <v>3033</v>
      </c>
      <c r="L959" t="s">
        <v>3492</v>
      </c>
      <c r="M959">
        <v>400</v>
      </c>
      <c r="N959">
        <v>2007</v>
      </c>
      <c r="O959">
        <v>2007</v>
      </c>
      <c r="Q959" t="s">
        <v>3592</v>
      </c>
      <c r="R959" t="s">
        <v>3863</v>
      </c>
      <c r="S959" t="s">
        <v>4566</v>
      </c>
      <c r="T959" t="s">
        <v>3863</v>
      </c>
      <c r="X959">
        <v>0</v>
      </c>
      <c r="AA959">
        <v>0</v>
      </c>
    </row>
    <row r="960" spans="1:27">
      <c r="A960" s="1">
        <v>958</v>
      </c>
      <c r="B960">
        <v>37792559</v>
      </c>
      <c r="C960" t="s">
        <v>988</v>
      </c>
      <c r="D960" t="s">
        <v>1824</v>
      </c>
      <c r="E960" t="s">
        <v>2630</v>
      </c>
      <c r="F960" t="s">
        <v>2976</v>
      </c>
      <c r="G960">
        <f>"1784382701"</f>
        <v>0</v>
      </c>
      <c r="H960">
        <f>"9781784382704"</f>
        <v>0</v>
      </c>
      <c r="I960">
        <v>0</v>
      </c>
      <c r="J960">
        <v>4.15</v>
      </c>
      <c r="K960" t="s">
        <v>3468</v>
      </c>
      <c r="L960" t="s">
        <v>3492</v>
      </c>
      <c r="M960">
        <v>252</v>
      </c>
      <c r="N960">
        <v>2018</v>
      </c>
      <c r="O960">
        <v>2015</v>
      </c>
      <c r="Q960" t="s">
        <v>3592</v>
      </c>
      <c r="R960" t="s">
        <v>3863</v>
      </c>
      <c r="S960" t="s">
        <v>4567</v>
      </c>
      <c r="T960" t="s">
        <v>3863</v>
      </c>
      <c r="X960">
        <v>0</v>
      </c>
      <c r="AA960">
        <v>0</v>
      </c>
    </row>
    <row r="961" spans="1:27">
      <c r="A961" s="1">
        <v>959</v>
      </c>
      <c r="B961">
        <v>7305882</v>
      </c>
      <c r="C961" t="s">
        <v>989</v>
      </c>
      <c r="D961" t="s">
        <v>1825</v>
      </c>
      <c r="E961" t="s">
        <v>2631</v>
      </c>
      <c r="G961">
        <f>"0521197341"</f>
        <v>0</v>
      </c>
      <c r="H961">
        <f>"9780521197342"</f>
        <v>0</v>
      </c>
      <c r="I961">
        <v>0</v>
      </c>
      <c r="J961">
        <v>3.38</v>
      </c>
      <c r="K961" t="s">
        <v>3021</v>
      </c>
      <c r="L961" t="s">
        <v>3492</v>
      </c>
      <c r="M961">
        <v>338</v>
      </c>
      <c r="N961">
        <v>2010</v>
      </c>
      <c r="O961">
        <v>2010</v>
      </c>
      <c r="Q961" t="s">
        <v>3592</v>
      </c>
      <c r="R961" t="s">
        <v>3863</v>
      </c>
      <c r="S961" t="s">
        <v>4568</v>
      </c>
      <c r="T961" t="s">
        <v>3863</v>
      </c>
      <c r="X961">
        <v>0</v>
      </c>
      <c r="AA961">
        <v>0</v>
      </c>
    </row>
    <row r="962" spans="1:27">
      <c r="A962" s="1">
        <v>960</v>
      </c>
      <c r="B962">
        <v>682681</v>
      </c>
      <c r="C962" t="s">
        <v>990</v>
      </c>
      <c r="D962" t="s">
        <v>1687</v>
      </c>
      <c r="E962" t="s">
        <v>2493</v>
      </c>
      <c r="G962">
        <f>"0192835505"</f>
        <v>0</v>
      </c>
      <c r="H962">
        <f>"9780192835505"</f>
        <v>0</v>
      </c>
      <c r="I962">
        <v>0</v>
      </c>
      <c r="J962">
        <v>3.57</v>
      </c>
      <c r="K962" t="s">
        <v>3019</v>
      </c>
      <c r="L962" t="s">
        <v>3491</v>
      </c>
      <c r="M962">
        <v>317</v>
      </c>
      <c r="N962">
        <v>1998</v>
      </c>
      <c r="O962">
        <v>1887</v>
      </c>
      <c r="Q962" t="s">
        <v>3592</v>
      </c>
      <c r="R962" t="s">
        <v>3863</v>
      </c>
      <c r="S962" t="s">
        <v>4569</v>
      </c>
      <c r="T962" t="s">
        <v>3863</v>
      </c>
      <c r="X962">
        <v>0</v>
      </c>
      <c r="AA962">
        <v>0</v>
      </c>
    </row>
    <row r="963" spans="1:27">
      <c r="A963" s="1">
        <v>961</v>
      </c>
      <c r="B963">
        <v>1307748</v>
      </c>
      <c r="C963" t="s">
        <v>991</v>
      </c>
      <c r="D963" t="s">
        <v>1826</v>
      </c>
      <c r="E963" t="s">
        <v>2632</v>
      </c>
      <c r="G963">
        <f>"0964332817"</f>
        <v>0</v>
      </c>
      <c r="H963">
        <f>"9780964332812"</f>
        <v>0</v>
      </c>
      <c r="I963">
        <v>0</v>
      </c>
      <c r="J963">
        <v>4.1</v>
      </c>
      <c r="K963" t="s">
        <v>3469</v>
      </c>
      <c r="L963" t="s">
        <v>3492</v>
      </c>
      <c r="M963">
        <v>166</v>
      </c>
      <c r="N963">
        <v>1995</v>
      </c>
      <c r="O963">
        <v>1995</v>
      </c>
      <c r="Q963" t="s">
        <v>3593</v>
      </c>
      <c r="R963" t="s">
        <v>3863</v>
      </c>
      <c r="S963" t="s">
        <v>4570</v>
      </c>
      <c r="T963" t="s">
        <v>3863</v>
      </c>
      <c r="X963">
        <v>0</v>
      </c>
      <c r="AA963">
        <v>0</v>
      </c>
    </row>
    <row r="964" spans="1:27">
      <c r="A964" s="1">
        <v>962</v>
      </c>
      <c r="B964">
        <v>43117392</v>
      </c>
      <c r="C964" t="s">
        <v>992</v>
      </c>
      <c r="D964" t="s">
        <v>1279</v>
      </c>
      <c r="E964" t="s">
        <v>2085</v>
      </c>
      <c r="G964">
        <f>""</f>
        <v>0</v>
      </c>
      <c r="H964">
        <f>""</f>
        <v>0</v>
      </c>
      <c r="I964">
        <v>0</v>
      </c>
      <c r="J964">
        <v>4.17</v>
      </c>
      <c r="K964" t="s">
        <v>3012</v>
      </c>
      <c r="L964" t="s">
        <v>3493</v>
      </c>
      <c r="M964">
        <v>288</v>
      </c>
      <c r="N964">
        <v>2019</v>
      </c>
      <c r="O964">
        <v>2019</v>
      </c>
      <c r="Q964" t="s">
        <v>3593</v>
      </c>
      <c r="R964" t="s">
        <v>3863</v>
      </c>
      <c r="S964" t="s">
        <v>4571</v>
      </c>
      <c r="T964" t="s">
        <v>3863</v>
      </c>
      <c r="X964">
        <v>0</v>
      </c>
      <c r="AA964">
        <v>0</v>
      </c>
    </row>
    <row r="965" spans="1:27">
      <c r="A965" s="1">
        <v>963</v>
      </c>
      <c r="B965">
        <v>251213</v>
      </c>
      <c r="C965" t="s">
        <v>993</v>
      </c>
      <c r="D965" t="s">
        <v>1827</v>
      </c>
      <c r="E965" t="s">
        <v>2633</v>
      </c>
      <c r="G965">
        <f>"0691070512"</f>
        <v>0</v>
      </c>
      <c r="H965">
        <f>"9780691070513"</f>
        <v>0</v>
      </c>
      <c r="I965">
        <v>0</v>
      </c>
      <c r="J965">
        <v>3.98</v>
      </c>
      <c r="K965" t="s">
        <v>3016</v>
      </c>
      <c r="L965" t="s">
        <v>3491</v>
      </c>
      <c r="M965">
        <v>392</v>
      </c>
      <c r="N965">
        <v>2000</v>
      </c>
      <c r="O965">
        <v>1999</v>
      </c>
      <c r="Q965" t="s">
        <v>3593</v>
      </c>
      <c r="R965" t="s">
        <v>3863</v>
      </c>
      <c r="S965" t="s">
        <v>4572</v>
      </c>
      <c r="T965" t="s">
        <v>3863</v>
      </c>
      <c r="X965">
        <v>0</v>
      </c>
      <c r="AA965">
        <v>0</v>
      </c>
    </row>
    <row r="966" spans="1:27">
      <c r="A966" s="1">
        <v>964</v>
      </c>
      <c r="B966">
        <v>230553</v>
      </c>
      <c r="C966" t="s">
        <v>994</v>
      </c>
      <c r="D966" t="s">
        <v>1828</v>
      </c>
      <c r="E966" t="s">
        <v>2634</v>
      </c>
      <c r="G966">
        <f>"184212451X"</f>
        <v>0</v>
      </c>
      <c r="H966">
        <f>"9781842124512"</f>
        <v>0</v>
      </c>
      <c r="I966">
        <v>0</v>
      </c>
      <c r="J966">
        <v>3.73</v>
      </c>
      <c r="K966" t="s">
        <v>3470</v>
      </c>
      <c r="L966" t="s">
        <v>3492</v>
      </c>
      <c r="M966">
        <v>166</v>
      </c>
      <c r="N966">
        <v>2003</v>
      </c>
      <c r="O966">
        <v>1967</v>
      </c>
      <c r="Q966" t="s">
        <v>3593</v>
      </c>
      <c r="R966" t="s">
        <v>3863</v>
      </c>
      <c r="S966" t="s">
        <v>4573</v>
      </c>
      <c r="T966" t="s">
        <v>3863</v>
      </c>
      <c r="X966">
        <v>0</v>
      </c>
      <c r="AA966">
        <v>0</v>
      </c>
    </row>
    <row r="967" spans="1:27">
      <c r="A967" s="1">
        <v>965</v>
      </c>
      <c r="B967">
        <v>33598223</v>
      </c>
      <c r="C967" t="s">
        <v>995</v>
      </c>
      <c r="D967" t="s">
        <v>1829</v>
      </c>
      <c r="E967" t="s">
        <v>2635</v>
      </c>
      <c r="G967">
        <f>"1400069718"</f>
        <v>0</v>
      </c>
      <c r="H967">
        <f>"9781400069712"</f>
        <v>0</v>
      </c>
      <c r="I967">
        <v>0</v>
      </c>
      <c r="J967">
        <v>4.41</v>
      </c>
      <c r="K967" t="s">
        <v>3039</v>
      </c>
      <c r="L967" t="s">
        <v>3492</v>
      </c>
      <c r="M967">
        <v>784</v>
      </c>
      <c r="N967">
        <v>2018</v>
      </c>
      <c r="O967">
        <v>2018</v>
      </c>
      <c r="Q967" t="s">
        <v>3593</v>
      </c>
      <c r="R967" t="s">
        <v>3863</v>
      </c>
      <c r="S967" t="s">
        <v>4574</v>
      </c>
      <c r="T967" t="s">
        <v>3863</v>
      </c>
      <c r="X967">
        <v>0</v>
      </c>
      <c r="AA967">
        <v>0</v>
      </c>
    </row>
    <row r="968" spans="1:27">
      <c r="A968" s="1">
        <v>966</v>
      </c>
      <c r="B968">
        <v>4591</v>
      </c>
      <c r="C968" t="s">
        <v>996</v>
      </c>
      <c r="D968" t="s">
        <v>1830</v>
      </c>
      <c r="E968" t="s">
        <v>2636</v>
      </c>
      <c r="G968">
        <f>"0060894083"</f>
        <v>0</v>
      </c>
      <c r="H968">
        <f>"9780060894085"</f>
        <v>0</v>
      </c>
      <c r="I968">
        <v>0</v>
      </c>
      <c r="J968">
        <v>4.05</v>
      </c>
      <c r="K968" t="s">
        <v>2997</v>
      </c>
      <c r="L968" t="s">
        <v>3491</v>
      </c>
      <c r="M968">
        <v>344</v>
      </c>
      <c r="N968">
        <v>2006</v>
      </c>
      <c r="O968">
        <v>1999</v>
      </c>
      <c r="Q968" t="s">
        <v>3593</v>
      </c>
      <c r="R968" t="s">
        <v>3863</v>
      </c>
      <c r="S968" t="s">
        <v>4575</v>
      </c>
      <c r="T968" t="s">
        <v>3863</v>
      </c>
      <c r="X968">
        <v>0</v>
      </c>
      <c r="AA968">
        <v>0</v>
      </c>
    </row>
    <row r="969" spans="1:27">
      <c r="A969" s="1">
        <v>967</v>
      </c>
      <c r="B969">
        <v>3162916</v>
      </c>
      <c r="C969" t="s">
        <v>997</v>
      </c>
      <c r="D969" t="s">
        <v>1831</v>
      </c>
      <c r="E969" t="s">
        <v>2637</v>
      </c>
      <c r="G969">
        <f>"3764334622"</f>
        <v>0</v>
      </c>
      <c r="H969">
        <f>"9783764334628"</f>
        <v>0</v>
      </c>
      <c r="I969">
        <v>0</v>
      </c>
      <c r="J969">
        <v>2.87</v>
      </c>
      <c r="O969">
        <v>1990</v>
      </c>
      <c r="Q969" t="s">
        <v>3593</v>
      </c>
      <c r="R969" t="s">
        <v>3863</v>
      </c>
      <c r="S969" t="s">
        <v>4576</v>
      </c>
      <c r="T969" t="s">
        <v>3863</v>
      </c>
      <c r="X969">
        <v>0</v>
      </c>
      <c r="AA969">
        <v>0</v>
      </c>
    </row>
    <row r="970" spans="1:27">
      <c r="A970" s="1">
        <v>968</v>
      </c>
      <c r="B970">
        <v>334749</v>
      </c>
      <c r="C970" t="s">
        <v>998</v>
      </c>
      <c r="D970" t="s">
        <v>1832</v>
      </c>
      <c r="E970" t="s">
        <v>2638</v>
      </c>
      <c r="G970">
        <f>"0393704637"</f>
        <v>0</v>
      </c>
      <c r="H970">
        <f>"9780393704631"</f>
        <v>0</v>
      </c>
      <c r="I970">
        <v>0</v>
      </c>
      <c r="J970">
        <v>4.02</v>
      </c>
      <c r="K970" t="s">
        <v>3038</v>
      </c>
      <c r="L970" t="s">
        <v>3492</v>
      </c>
      <c r="M970">
        <v>312</v>
      </c>
      <c r="N970">
        <v>2007</v>
      </c>
      <c r="O970">
        <v>2006</v>
      </c>
      <c r="Q970" t="s">
        <v>3593</v>
      </c>
      <c r="R970" t="s">
        <v>3863</v>
      </c>
      <c r="S970" t="s">
        <v>4577</v>
      </c>
      <c r="T970" t="s">
        <v>3863</v>
      </c>
      <c r="X970">
        <v>0</v>
      </c>
      <c r="AA970">
        <v>0</v>
      </c>
    </row>
    <row r="971" spans="1:27">
      <c r="A971" s="1">
        <v>969</v>
      </c>
      <c r="B971">
        <v>7733</v>
      </c>
      <c r="C971" t="s">
        <v>999</v>
      </c>
      <c r="D971" t="s">
        <v>1833</v>
      </c>
      <c r="E971" t="s">
        <v>2639</v>
      </c>
      <c r="F971" t="s">
        <v>2977</v>
      </c>
      <c r="G971">
        <f>"0141439491"</f>
        <v>0</v>
      </c>
      <c r="H971">
        <f>"9780141439495"</f>
        <v>0</v>
      </c>
      <c r="I971">
        <v>0</v>
      </c>
      <c r="J971">
        <v>3.58</v>
      </c>
      <c r="K971" t="s">
        <v>3072</v>
      </c>
      <c r="L971" t="s">
        <v>3491</v>
      </c>
      <c r="M971">
        <v>306</v>
      </c>
      <c r="N971">
        <v>2003</v>
      </c>
      <c r="O971">
        <v>1726</v>
      </c>
      <c r="Q971" t="s">
        <v>3593</v>
      </c>
      <c r="R971" t="s">
        <v>3863</v>
      </c>
      <c r="S971" t="s">
        <v>4578</v>
      </c>
      <c r="T971" t="s">
        <v>3863</v>
      </c>
      <c r="X971">
        <v>0</v>
      </c>
      <c r="AA971">
        <v>0</v>
      </c>
    </row>
    <row r="972" spans="1:27">
      <c r="A972" s="1">
        <v>970</v>
      </c>
      <c r="B972">
        <v>606346</v>
      </c>
      <c r="C972" t="s">
        <v>1000</v>
      </c>
      <c r="D972" t="s">
        <v>1834</v>
      </c>
      <c r="E972" t="s">
        <v>2640</v>
      </c>
      <c r="G972">
        <f>"0520207173"</f>
        <v>0</v>
      </c>
      <c r="H972">
        <f>"9780520207172"</f>
        <v>0</v>
      </c>
      <c r="I972">
        <v>0</v>
      </c>
      <c r="J972">
        <v>3.2</v>
      </c>
      <c r="K972" t="s">
        <v>3143</v>
      </c>
      <c r="L972" t="s">
        <v>3491</v>
      </c>
      <c r="M972">
        <v>214</v>
      </c>
      <c r="N972">
        <v>1997</v>
      </c>
      <c r="O972">
        <v>1794</v>
      </c>
      <c r="Q972" t="s">
        <v>3593</v>
      </c>
      <c r="R972" t="s">
        <v>3863</v>
      </c>
      <c r="S972" t="s">
        <v>4579</v>
      </c>
      <c r="T972" t="s">
        <v>3863</v>
      </c>
      <c r="X972">
        <v>0</v>
      </c>
      <c r="AA972">
        <v>0</v>
      </c>
    </row>
    <row r="973" spans="1:27">
      <c r="A973" s="1">
        <v>971</v>
      </c>
      <c r="B973">
        <v>1044795</v>
      </c>
      <c r="C973" t="s">
        <v>1001</v>
      </c>
      <c r="D973" t="s">
        <v>1835</v>
      </c>
      <c r="E973" t="s">
        <v>2641</v>
      </c>
      <c r="G973">
        <f>"0815701535"</f>
        <v>0</v>
      </c>
      <c r="H973">
        <f>"9780815701538"</f>
        <v>0</v>
      </c>
      <c r="I973">
        <v>0</v>
      </c>
      <c r="J973">
        <v>4</v>
      </c>
      <c r="K973" t="s">
        <v>3471</v>
      </c>
      <c r="L973" t="s">
        <v>3491</v>
      </c>
      <c r="N973">
        <v>1998</v>
      </c>
      <c r="O973">
        <v>1998</v>
      </c>
      <c r="Q973" t="s">
        <v>3593</v>
      </c>
      <c r="R973" t="s">
        <v>3863</v>
      </c>
      <c r="S973" t="s">
        <v>4580</v>
      </c>
      <c r="T973" t="s">
        <v>3863</v>
      </c>
      <c r="X973">
        <v>0</v>
      </c>
      <c r="AA973">
        <v>0</v>
      </c>
    </row>
    <row r="974" spans="1:27">
      <c r="A974" s="1">
        <v>972</v>
      </c>
      <c r="B974">
        <v>4822090</v>
      </c>
      <c r="C974" t="s">
        <v>1002</v>
      </c>
      <c r="D974" t="s">
        <v>1836</v>
      </c>
      <c r="E974" t="s">
        <v>2642</v>
      </c>
      <c r="G974">
        <f>"0850651646"</f>
        <v>0</v>
      </c>
      <c r="H974">
        <f>"9780850651645"</f>
        <v>0</v>
      </c>
      <c r="I974">
        <v>0</v>
      </c>
      <c r="J974">
        <v>4.38</v>
      </c>
      <c r="O974">
        <v>1949</v>
      </c>
      <c r="Q974" t="s">
        <v>3593</v>
      </c>
      <c r="R974" t="s">
        <v>3863</v>
      </c>
      <c r="S974" t="s">
        <v>4581</v>
      </c>
      <c r="T974" t="s">
        <v>3863</v>
      </c>
      <c r="X974">
        <v>0</v>
      </c>
      <c r="AA974">
        <v>0</v>
      </c>
    </row>
    <row r="975" spans="1:27">
      <c r="A975" s="1">
        <v>973</v>
      </c>
      <c r="B975">
        <v>257845</v>
      </c>
      <c r="C975" t="s">
        <v>1003</v>
      </c>
      <c r="D975" t="s">
        <v>1837</v>
      </c>
      <c r="E975" t="s">
        <v>2643</v>
      </c>
      <c r="G975">
        <f>"1585673692"</f>
        <v>0</v>
      </c>
      <c r="H975">
        <f>"9781585673698"</f>
        <v>0</v>
      </c>
      <c r="I975">
        <v>0</v>
      </c>
      <c r="J975">
        <v>4.14</v>
      </c>
      <c r="K975" t="s">
        <v>3376</v>
      </c>
      <c r="L975" t="s">
        <v>3491</v>
      </c>
      <c r="M975">
        <v>224</v>
      </c>
      <c r="N975">
        <v>2002</v>
      </c>
      <c r="O975">
        <v>1968</v>
      </c>
      <c r="Q975" t="s">
        <v>3593</v>
      </c>
      <c r="R975" t="s">
        <v>3863</v>
      </c>
      <c r="S975" t="s">
        <v>4582</v>
      </c>
      <c r="T975" t="s">
        <v>3863</v>
      </c>
      <c r="X975">
        <v>0</v>
      </c>
      <c r="AA975">
        <v>0</v>
      </c>
    </row>
    <row r="976" spans="1:27">
      <c r="A976" s="1">
        <v>974</v>
      </c>
      <c r="B976">
        <v>22174460</v>
      </c>
      <c r="C976" t="s">
        <v>1004</v>
      </c>
      <c r="D976" t="s">
        <v>1838</v>
      </c>
      <c r="E976" t="s">
        <v>2644</v>
      </c>
      <c r="F976" t="s">
        <v>2978</v>
      </c>
      <c r="G976">
        <f>"1250065631"</f>
        <v>0</v>
      </c>
      <c r="H976">
        <f>"9781250065636"</f>
        <v>0</v>
      </c>
      <c r="I976">
        <v>0</v>
      </c>
      <c r="J976">
        <v>3.84</v>
      </c>
      <c r="K976" t="s">
        <v>3162</v>
      </c>
      <c r="L976" t="s">
        <v>3492</v>
      </c>
      <c r="M976">
        <v>368</v>
      </c>
      <c r="N976">
        <v>2015</v>
      </c>
      <c r="O976">
        <v>2015</v>
      </c>
      <c r="Q976" t="s">
        <v>3593</v>
      </c>
      <c r="R976" t="s">
        <v>3863</v>
      </c>
      <c r="S976" t="s">
        <v>4583</v>
      </c>
      <c r="T976" t="s">
        <v>3863</v>
      </c>
      <c r="X976">
        <v>0</v>
      </c>
      <c r="AA976">
        <v>0</v>
      </c>
    </row>
    <row r="977" spans="1:27">
      <c r="A977" s="1">
        <v>975</v>
      </c>
      <c r="B977">
        <v>18757597</v>
      </c>
      <c r="C977" t="s">
        <v>1005</v>
      </c>
      <c r="D977" t="s">
        <v>1839</v>
      </c>
      <c r="E977" t="s">
        <v>2645</v>
      </c>
      <c r="G977">
        <f>""</f>
        <v>0</v>
      </c>
      <c r="H977">
        <f>""</f>
        <v>0</v>
      </c>
      <c r="I977">
        <v>0</v>
      </c>
      <c r="J977">
        <v>3.97</v>
      </c>
      <c r="K977" t="s">
        <v>3472</v>
      </c>
      <c r="L977" t="s">
        <v>3492</v>
      </c>
      <c r="M977">
        <v>416</v>
      </c>
      <c r="N977">
        <v>2013</v>
      </c>
      <c r="O977">
        <v>2013</v>
      </c>
      <c r="Q977" t="s">
        <v>3593</v>
      </c>
      <c r="R977" t="s">
        <v>3863</v>
      </c>
      <c r="S977" t="s">
        <v>4584</v>
      </c>
      <c r="T977" t="s">
        <v>3863</v>
      </c>
      <c r="X977">
        <v>0</v>
      </c>
      <c r="AA977">
        <v>0</v>
      </c>
    </row>
    <row r="978" spans="1:27">
      <c r="A978" s="1">
        <v>976</v>
      </c>
      <c r="B978">
        <v>507952</v>
      </c>
      <c r="C978" t="s">
        <v>1006</v>
      </c>
      <c r="D978" t="s">
        <v>1840</v>
      </c>
      <c r="E978" t="s">
        <v>2646</v>
      </c>
      <c r="G978">
        <f>"0375758844"</f>
        <v>0</v>
      </c>
      <c r="H978">
        <f>"9780375758843"</f>
        <v>0</v>
      </c>
      <c r="I978">
        <v>0</v>
      </c>
      <c r="J978">
        <v>4.05</v>
      </c>
      <c r="K978" t="s">
        <v>3269</v>
      </c>
      <c r="L978" t="s">
        <v>3491</v>
      </c>
      <c r="M978">
        <v>464</v>
      </c>
      <c r="N978">
        <v>2004</v>
      </c>
      <c r="O978">
        <v>2003</v>
      </c>
      <c r="Q978" t="s">
        <v>3593</v>
      </c>
      <c r="R978" t="s">
        <v>3863</v>
      </c>
      <c r="S978" t="s">
        <v>4585</v>
      </c>
      <c r="T978" t="s">
        <v>3863</v>
      </c>
      <c r="X978">
        <v>0</v>
      </c>
      <c r="AA978">
        <v>0</v>
      </c>
    </row>
    <row r="979" spans="1:27">
      <c r="A979" s="1">
        <v>977</v>
      </c>
      <c r="B979">
        <v>224379</v>
      </c>
      <c r="C979" t="s">
        <v>1007</v>
      </c>
      <c r="D979" t="s">
        <v>1841</v>
      </c>
      <c r="E979" t="s">
        <v>2647</v>
      </c>
      <c r="G979">
        <f>"0767900561"</f>
        <v>0</v>
      </c>
      <c r="H979">
        <f>"9780767900560"</f>
        <v>0</v>
      </c>
      <c r="I979">
        <v>0</v>
      </c>
      <c r="J979">
        <v>4.26</v>
      </c>
      <c r="K979" t="s">
        <v>3282</v>
      </c>
      <c r="L979" t="s">
        <v>3492</v>
      </c>
      <c r="M979">
        <v>610</v>
      </c>
      <c r="N979">
        <v>2003</v>
      </c>
      <c r="O979">
        <v>2003</v>
      </c>
      <c r="Q979" t="s">
        <v>3593</v>
      </c>
      <c r="R979" t="s">
        <v>3863</v>
      </c>
      <c r="S979" t="s">
        <v>4586</v>
      </c>
      <c r="T979" t="s">
        <v>3863</v>
      </c>
      <c r="X979">
        <v>0</v>
      </c>
      <c r="AA979">
        <v>0</v>
      </c>
    </row>
    <row r="980" spans="1:27">
      <c r="A980" s="1">
        <v>978</v>
      </c>
      <c r="B980">
        <v>355697</v>
      </c>
      <c r="C980" t="s">
        <v>1008</v>
      </c>
      <c r="D980" t="s">
        <v>1842</v>
      </c>
      <c r="E980" t="s">
        <v>2648</v>
      </c>
      <c r="F980" t="s">
        <v>2979</v>
      </c>
      <c r="G980">
        <f>"0449213943"</f>
        <v>0</v>
      </c>
      <c r="H980">
        <f>"9780449213940"</f>
        <v>0</v>
      </c>
      <c r="I980">
        <v>0</v>
      </c>
      <c r="J980">
        <v>4.02</v>
      </c>
      <c r="K980" t="s">
        <v>3001</v>
      </c>
      <c r="L980" t="s">
        <v>3495</v>
      </c>
      <c r="M980">
        <v>296</v>
      </c>
      <c r="N980">
        <v>1987</v>
      </c>
      <c r="O980">
        <v>1929</v>
      </c>
      <c r="Q980" t="s">
        <v>3593</v>
      </c>
      <c r="R980" t="s">
        <v>3863</v>
      </c>
      <c r="S980" t="s">
        <v>4587</v>
      </c>
      <c r="T980" t="s">
        <v>3863</v>
      </c>
      <c r="X980">
        <v>0</v>
      </c>
      <c r="AA980">
        <v>0</v>
      </c>
    </row>
    <row r="981" spans="1:27">
      <c r="A981" s="1">
        <v>979</v>
      </c>
      <c r="B981">
        <v>64895</v>
      </c>
      <c r="C981" t="s">
        <v>1009</v>
      </c>
      <c r="D981" t="s">
        <v>1843</v>
      </c>
      <c r="E981" t="s">
        <v>2649</v>
      </c>
      <c r="G981">
        <f>"0099268701"</f>
        <v>0</v>
      </c>
      <c r="H981">
        <f>"9780099268703"</f>
        <v>0</v>
      </c>
      <c r="I981">
        <v>0</v>
      </c>
      <c r="J981">
        <v>3.92</v>
      </c>
      <c r="K981" t="s">
        <v>3473</v>
      </c>
      <c r="L981" t="s">
        <v>3491</v>
      </c>
      <c r="M981">
        <v>294</v>
      </c>
      <c r="N981">
        <v>1999</v>
      </c>
      <c r="O981">
        <v>1997</v>
      </c>
      <c r="Q981" t="s">
        <v>3593</v>
      </c>
      <c r="R981" t="s">
        <v>3863</v>
      </c>
      <c r="S981" t="s">
        <v>4588</v>
      </c>
      <c r="T981" t="s">
        <v>3863</v>
      </c>
      <c r="X981">
        <v>0</v>
      </c>
      <c r="AA981">
        <v>0</v>
      </c>
    </row>
    <row r="982" spans="1:27">
      <c r="A982" s="1">
        <v>980</v>
      </c>
      <c r="B982">
        <v>2715</v>
      </c>
      <c r="C982" t="s">
        <v>1010</v>
      </c>
      <c r="D982" t="s">
        <v>1843</v>
      </c>
      <c r="E982" t="s">
        <v>2649</v>
      </c>
      <c r="G982">
        <f>"0142001619"</f>
        <v>0</v>
      </c>
      <c r="H982">
        <f>"9780142001615"</f>
        <v>0</v>
      </c>
      <c r="I982">
        <v>0</v>
      </c>
      <c r="J982">
        <v>3.74</v>
      </c>
      <c r="K982" t="s">
        <v>3010</v>
      </c>
      <c r="L982" t="s">
        <v>3491</v>
      </c>
      <c r="M982">
        <v>484</v>
      </c>
      <c r="N982">
        <v>2003</v>
      </c>
      <c r="O982">
        <v>2002</v>
      </c>
      <c r="Q982" t="s">
        <v>3593</v>
      </c>
      <c r="R982" t="s">
        <v>3863</v>
      </c>
      <c r="S982" t="s">
        <v>4589</v>
      </c>
      <c r="T982" t="s">
        <v>3863</v>
      </c>
      <c r="X982">
        <v>0</v>
      </c>
      <c r="AA982">
        <v>0</v>
      </c>
    </row>
    <row r="983" spans="1:27">
      <c r="A983" s="1">
        <v>981</v>
      </c>
      <c r="B983">
        <v>152038</v>
      </c>
      <c r="C983" t="s">
        <v>1011</v>
      </c>
      <c r="D983" t="s">
        <v>1844</v>
      </c>
      <c r="E983" t="s">
        <v>2650</v>
      </c>
      <c r="G983">
        <f>"1556524838"</f>
        <v>0</v>
      </c>
      <c r="H983">
        <f>"9781556524837"</f>
        <v>0</v>
      </c>
      <c r="I983">
        <v>0</v>
      </c>
      <c r="J983">
        <v>4.34</v>
      </c>
      <c r="K983" t="s">
        <v>3474</v>
      </c>
      <c r="L983" t="s">
        <v>3491</v>
      </c>
      <c r="M983">
        <v>709</v>
      </c>
      <c r="N983">
        <v>2003</v>
      </c>
      <c r="O983">
        <v>1972</v>
      </c>
      <c r="Q983" t="s">
        <v>3593</v>
      </c>
      <c r="R983" t="s">
        <v>3863</v>
      </c>
      <c r="S983" t="s">
        <v>4590</v>
      </c>
      <c r="T983" t="s">
        <v>3863</v>
      </c>
      <c r="X983">
        <v>0</v>
      </c>
      <c r="AA983">
        <v>0</v>
      </c>
    </row>
    <row r="984" spans="1:27">
      <c r="A984" s="1">
        <v>982</v>
      </c>
      <c r="B984">
        <v>5983996</v>
      </c>
      <c r="C984" t="s">
        <v>1012</v>
      </c>
      <c r="D984" t="s">
        <v>1845</v>
      </c>
      <c r="E984" t="s">
        <v>2651</v>
      </c>
      <c r="F984" t="s">
        <v>2980</v>
      </c>
      <c r="G984">
        <f>"0385527241"</f>
        <v>0</v>
      </c>
      <c r="H984">
        <f>"9780385527248"</f>
        <v>0</v>
      </c>
      <c r="I984">
        <v>0</v>
      </c>
      <c r="J984">
        <v>4.14</v>
      </c>
      <c r="K984" t="s">
        <v>3475</v>
      </c>
      <c r="L984" t="s">
        <v>3492</v>
      </c>
      <c r="M984">
        <v>336</v>
      </c>
      <c r="N984">
        <v>2009</v>
      </c>
      <c r="O984">
        <v>2007</v>
      </c>
      <c r="Q984" t="s">
        <v>3593</v>
      </c>
      <c r="R984" t="s">
        <v>3863</v>
      </c>
      <c r="S984" t="s">
        <v>4591</v>
      </c>
      <c r="T984" t="s">
        <v>3863</v>
      </c>
      <c r="X984">
        <v>0</v>
      </c>
      <c r="AA984">
        <v>0</v>
      </c>
    </row>
    <row r="985" spans="1:27">
      <c r="A985" s="1">
        <v>983</v>
      </c>
      <c r="B985">
        <v>41817501</v>
      </c>
      <c r="C985" t="s">
        <v>1013</v>
      </c>
      <c r="D985" t="s">
        <v>1846</v>
      </c>
      <c r="E985" t="s">
        <v>2652</v>
      </c>
      <c r="G985">
        <f>"0393357090"</f>
        <v>0</v>
      </c>
      <c r="H985">
        <f>"9780393357097"</f>
        <v>0</v>
      </c>
      <c r="I985">
        <v>0</v>
      </c>
      <c r="J985">
        <v>3.62</v>
      </c>
      <c r="K985" t="s">
        <v>3038</v>
      </c>
      <c r="L985" t="s">
        <v>3491</v>
      </c>
      <c r="M985">
        <v>272</v>
      </c>
      <c r="N985">
        <v>2019</v>
      </c>
      <c r="O985">
        <v>2018</v>
      </c>
      <c r="Q985" t="s">
        <v>3593</v>
      </c>
      <c r="R985" t="s">
        <v>3863</v>
      </c>
      <c r="S985" t="s">
        <v>4592</v>
      </c>
      <c r="T985" t="s">
        <v>3863</v>
      </c>
      <c r="X985">
        <v>0</v>
      </c>
      <c r="AA985">
        <v>0</v>
      </c>
    </row>
    <row r="986" spans="1:27">
      <c r="A986" s="1">
        <v>984</v>
      </c>
      <c r="B986">
        <v>2033025</v>
      </c>
      <c r="C986" t="s">
        <v>1014</v>
      </c>
      <c r="D986" t="s">
        <v>1532</v>
      </c>
      <c r="E986" t="s">
        <v>2338</v>
      </c>
      <c r="F986" t="s">
        <v>2721</v>
      </c>
      <c r="G986">
        <f>"0002712245"</f>
        <v>0</v>
      </c>
      <c r="H986">
        <f>"9780002712248"</f>
        <v>0</v>
      </c>
      <c r="I986">
        <v>0</v>
      </c>
      <c r="J986">
        <v>4.03</v>
      </c>
      <c r="K986" t="s">
        <v>3476</v>
      </c>
      <c r="L986" t="s">
        <v>3491</v>
      </c>
      <c r="M986">
        <v>304</v>
      </c>
      <c r="N986">
        <v>1998</v>
      </c>
      <c r="O986">
        <v>1951</v>
      </c>
      <c r="Q986" t="s">
        <v>3593</v>
      </c>
      <c r="R986" t="s">
        <v>3863</v>
      </c>
      <c r="S986" t="s">
        <v>4593</v>
      </c>
      <c r="T986" t="s">
        <v>3863</v>
      </c>
      <c r="X986">
        <v>0</v>
      </c>
      <c r="AA986">
        <v>0</v>
      </c>
    </row>
    <row r="987" spans="1:27">
      <c r="A987" s="1">
        <v>985</v>
      </c>
      <c r="B987">
        <v>40180025</v>
      </c>
      <c r="C987" t="s">
        <v>1015</v>
      </c>
      <c r="D987" t="s">
        <v>1847</v>
      </c>
      <c r="E987" t="s">
        <v>2653</v>
      </c>
      <c r="G987">
        <f>"0393356582"</f>
        <v>0</v>
      </c>
      <c r="H987">
        <f>"9780393356588"</f>
        <v>0</v>
      </c>
      <c r="I987">
        <v>0</v>
      </c>
      <c r="J987">
        <v>3.81</v>
      </c>
      <c r="K987" t="s">
        <v>3038</v>
      </c>
      <c r="L987" t="s">
        <v>3491</v>
      </c>
      <c r="M987">
        <v>448</v>
      </c>
      <c r="N987">
        <v>2019</v>
      </c>
      <c r="O987">
        <v>2018</v>
      </c>
      <c r="Q987" t="s">
        <v>3593</v>
      </c>
      <c r="R987" t="s">
        <v>3863</v>
      </c>
      <c r="S987" t="s">
        <v>4594</v>
      </c>
      <c r="T987" t="s">
        <v>3863</v>
      </c>
      <c r="X987">
        <v>0</v>
      </c>
      <c r="AA987">
        <v>0</v>
      </c>
    </row>
    <row r="988" spans="1:27">
      <c r="A988" s="1">
        <v>986</v>
      </c>
      <c r="B988">
        <v>16884</v>
      </c>
      <c r="C988" t="s">
        <v>1016</v>
      </c>
      <c r="D988" t="s">
        <v>1274</v>
      </c>
      <c r="E988" t="s">
        <v>2080</v>
      </c>
      <c r="G988">
        <f>"0684813785"</f>
        <v>0</v>
      </c>
      <c r="H988">
        <f>"9780684813783"</f>
        <v>0</v>
      </c>
      <c r="I988">
        <v>0</v>
      </c>
      <c r="J988">
        <v>4.36</v>
      </c>
      <c r="K988" t="s">
        <v>3097</v>
      </c>
      <c r="L988" t="s">
        <v>3491</v>
      </c>
      <c r="M988">
        <v>886</v>
      </c>
      <c r="N988">
        <v>1995</v>
      </c>
      <c r="O988">
        <v>1986</v>
      </c>
      <c r="Q988" t="s">
        <v>3593</v>
      </c>
      <c r="R988" t="s">
        <v>3863</v>
      </c>
      <c r="S988" t="s">
        <v>4595</v>
      </c>
      <c r="T988" t="s">
        <v>3863</v>
      </c>
      <c r="X988">
        <v>0</v>
      </c>
      <c r="AA988">
        <v>0</v>
      </c>
    </row>
    <row r="989" spans="1:27">
      <c r="A989" s="1">
        <v>987</v>
      </c>
      <c r="B989">
        <v>8155672</v>
      </c>
      <c r="C989" t="s">
        <v>1017</v>
      </c>
      <c r="D989" t="s">
        <v>1848</v>
      </c>
      <c r="E989" t="s">
        <v>2654</v>
      </c>
      <c r="G989">
        <f>"0060760222"</f>
        <v>0</v>
      </c>
      <c r="H989">
        <f>"9780060760229"</f>
        <v>0</v>
      </c>
      <c r="I989">
        <v>0</v>
      </c>
      <c r="J989">
        <v>4.17</v>
      </c>
      <c r="K989" t="s">
        <v>3023</v>
      </c>
      <c r="L989" t="s">
        <v>3492</v>
      </c>
      <c r="M989">
        <v>992</v>
      </c>
      <c r="N989">
        <v>2010</v>
      </c>
      <c r="O989">
        <v>2010</v>
      </c>
      <c r="Q989" t="s">
        <v>3593</v>
      </c>
      <c r="R989" t="s">
        <v>3863</v>
      </c>
      <c r="S989" t="s">
        <v>4596</v>
      </c>
      <c r="T989" t="s">
        <v>3863</v>
      </c>
      <c r="X989">
        <v>0</v>
      </c>
      <c r="AA989">
        <v>0</v>
      </c>
    </row>
    <row r="990" spans="1:27">
      <c r="A990" s="1">
        <v>988</v>
      </c>
      <c r="B990">
        <v>42960</v>
      </c>
      <c r="C990" t="s">
        <v>1018</v>
      </c>
      <c r="D990" t="s">
        <v>1281</v>
      </c>
      <c r="E990" t="s">
        <v>2087</v>
      </c>
      <c r="G990">
        <f>"0812974921"</f>
        <v>0</v>
      </c>
      <c r="H990">
        <f>"9780812974928"</f>
        <v>0</v>
      </c>
      <c r="I990">
        <v>0</v>
      </c>
      <c r="J990">
        <v>3.95</v>
      </c>
      <c r="K990" t="s">
        <v>3477</v>
      </c>
      <c r="L990" t="s">
        <v>3491</v>
      </c>
      <c r="M990">
        <v>896</v>
      </c>
      <c r="N990">
        <v>2005</v>
      </c>
      <c r="O990">
        <v>1989</v>
      </c>
      <c r="Q990" t="s">
        <v>3593</v>
      </c>
      <c r="R990" t="s">
        <v>3863</v>
      </c>
      <c r="S990" t="s">
        <v>4597</v>
      </c>
      <c r="T990" t="s">
        <v>3863</v>
      </c>
      <c r="X990">
        <v>0</v>
      </c>
      <c r="AA990">
        <v>0</v>
      </c>
    </row>
    <row r="991" spans="1:27">
      <c r="A991" s="1">
        <v>989</v>
      </c>
      <c r="B991">
        <v>698866</v>
      </c>
      <c r="C991" t="s">
        <v>1019</v>
      </c>
      <c r="D991" t="s">
        <v>1304</v>
      </c>
      <c r="E991" t="s">
        <v>2110</v>
      </c>
      <c r="G991">
        <f>"0691129428"</f>
        <v>0</v>
      </c>
      <c r="H991">
        <f>"9780691129426"</f>
        <v>0</v>
      </c>
      <c r="I991">
        <v>0</v>
      </c>
      <c r="J991">
        <v>3.92</v>
      </c>
      <c r="K991" t="s">
        <v>3016</v>
      </c>
      <c r="L991" t="s">
        <v>3492</v>
      </c>
      <c r="M991">
        <v>288</v>
      </c>
      <c r="N991">
        <v>2007</v>
      </c>
      <c r="O991">
        <v>2007</v>
      </c>
      <c r="Q991" t="s">
        <v>3593</v>
      </c>
      <c r="R991" t="s">
        <v>3863</v>
      </c>
      <c r="S991" t="s">
        <v>4598</v>
      </c>
      <c r="T991" t="s">
        <v>3863</v>
      </c>
      <c r="X991">
        <v>0</v>
      </c>
      <c r="AA991">
        <v>0</v>
      </c>
    </row>
    <row r="992" spans="1:27">
      <c r="A992" s="1">
        <v>990</v>
      </c>
      <c r="B992">
        <v>36319077</v>
      </c>
      <c r="C992" t="s">
        <v>1020</v>
      </c>
      <c r="D992" t="s">
        <v>1304</v>
      </c>
      <c r="E992" t="s">
        <v>2110</v>
      </c>
      <c r="G992">
        <f>"0691174652"</f>
        <v>0</v>
      </c>
      <c r="H992">
        <f>"9780691174655"</f>
        <v>0</v>
      </c>
      <c r="I992">
        <v>0</v>
      </c>
      <c r="J992">
        <v>3.97</v>
      </c>
      <c r="K992" t="s">
        <v>3016</v>
      </c>
      <c r="L992" t="s">
        <v>3492</v>
      </c>
      <c r="M992">
        <v>416</v>
      </c>
      <c r="N992">
        <v>2018</v>
      </c>
      <c r="O992">
        <v>2018</v>
      </c>
      <c r="Q992" t="s">
        <v>3593</v>
      </c>
      <c r="R992" t="s">
        <v>3863</v>
      </c>
      <c r="S992" t="s">
        <v>4599</v>
      </c>
      <c r="T992" t="s">
        <v>3863</v>
      </c>
      <c r="X992">
        <v>0</v>
      </c>
      <c r="AA992">
        <v>0</v>
      </c>
    </row>
    <row r="993" spans="1:27">
      <c r="A993" s="1">
        <v>991</v>
      </c>
      <c r="B993">
        <v>89158</v>
      </c>
      <c r="C993" t="s">
        <v>1021</v>
      </c>
      <c r="D993" t="s">
        <v>1849</v>
      </c>
      <c r="E993" t="s">
        <v>2655</v>
      </c>
      <c r="G993">
        <f>"0691128715"</f>
        <v>0</v>
      </c>
      <c r="H993">
        <f>"9780691128719"</f>
        <v>0</v>
      </c>
      <c r="I993">
        <v>0</v>
      </c>
      <c r="J993">
        <v>4.01</v>
      </c>
      <c r="K993" t="s">
        <v>3016</v>
      </c>
      <c r="L993" t="s">
        <v>3491</v>
      </c>
      <c r="M993">
        <v>344</v>
      </c>
      <c r="N993">
        <v>2006</v>
      </c>
      <c r="O993">
        <v>2005</v>
      </c>
      <c r="Q993" t="s">
        <v>3593</v>
      </c>
      <c r="R993" t="s">
        <v>3863</v>
      </c>
      <c r="S993" t="s">
        <v>4600</v>
      </c>
      <c r="T993" t="s">
        <v>3863</v>
      </c>
      <c r="X993">
        <v>0</v>
      </c>
      <c r="AA993">
        <v>0</v>
      </c>
    </row>
    <row r="994" spans="1:27">
      <c r="A994" s="1">
        <v>992</v>
      </c>
      <c r="B994">
        <v>4929</v>
      </c>
      <c r="C994" t="s">
        <v>1022</v>
      </c>
      <c r="D994" t="s">
        <v>1185</v>
      </c>
      <c r="E994" t="s">
        <v>1991</v>
      </c>
      <c r="F994" t="s">
        <v>2707</v>
      </c>
      <c r="G994">
        <f>"1400079276"</f>
        <v>0</v>
      </c>
      <c r="H994">
        <f>"9781400079278"</f>
        <v>0</v>
      </c>
      <c r="I994">
        <v>0</v>
      </c>
      <c r="J994">
        <v>4.14</v>
      </c>
      <c r="K994" t="s">
        <v>3262</v>
      </c>
      <c r="L994" t="s">
        <v>3491</v>
      </c>
      <c r="M994">
        <v>467</v>
      </c>
      <c r="N994">
        <v>2006</v>
      </c>
      <c r="O994">
        <v>2002</v>
      </c>
      <c r="Q994" t="s">
        <v>3593</v>
      </c>
      <c r="R994" t="s">
        <v>3863</v>
      </c>
      <c r="S994" t="s">
        <v>4601</v>
      </c>
      <c r="T994" t="s">
        <v>3863</v>
      </c>
      <c r="X994">
        <v>0</v>
      </c>
      <c r="AA994">
        <v>0</v>
      </c>
    </row>
    <row r="995" spans="1:27">
      <c r="A995" s="1">
        <v>993</v>
      </c>
      <c r="B995">
        <v>30141085</v>
      </c>
      <c r="C995" t="s">
        <v>1023</v>
      </c>
      <c r="D995" t="s">
        <v>1292</v>
      </c>
      <c r="E995" t="s">
        <v>2098</v>
      </c>
      <c r="G995">
        <f>""</f>
        <v>0</v>
      </c>
      <c r="H995">
        <f>""</f>
        <v>0</v>
      </c>
      <c r="I995">
        <v>0</v>
      </c>
      <c r="J995">
        <v>4.05</v>
      </c>
      <c r="L995" t="s">
        <v>3491</v>
      </c>
      <c r="M995">
        <v>131</v>
      </c>
      <c r="O995">
        <v>1922</v>
      </c>
      <c r="Q995" t="s">
        <v>3593</v>
      </c>
      <c r="R995" t="s">
        <v>3863</v>
      </c>
      <c r="S995" t="s">
        <v>4602</v>
      </c>
      <c r="T995" t="s">
        <v>3863</v>
      </c>
      <c r="X995">
        <v>0</v>
      </c>
      <c r="AA995">
        <v>0</v>
      </c>
    </row>
    <row r="996" spans="1:27">
      <c r="A996" s="1">
        <v>994</v>
      </c>
      <c r="B996">
        <v>1041018</v>
      </c>
      <c r="C996" t="s">
        <v>1024</v>
      </c>
      <c r="D996" t="s">
        <v>1850</v>
      </c>
      <c r="E996" t="s">
        <v>2656</v>
      </c>
      <c r="F996" t="s">
        <v>2981</v>
      </c>
      <c r="G996">
        <f>"1932033467"</f>
        <v>0</v>
      </c>
      <c r="H996">
        <f>"9781932033465"</f>
        <v>0</v>
      </c>
      <c r="I996">
        <v>0</v>
      </c>
      <c r="J996">
        <v>4.03</v>
      </c>
      <c r="K996" t="s">
        <v>3478</v>
      </c>
      <c r="L996" t="s">
        <v>3491</v>
      </c>
      <c r="M996">
        <v>256</v>
      </c>
      <c r="N996">
        <v>2005</v>
      </c>
      <c r="O996">
        <v>2003</v>
      </c>
      <c r="Q996" t="s">
        <v>3593</v>
      </c>
      <c r="R996" t="s">
        <v>3863</v>
      </c>
      <c r="S996" t="s">
        <v>4603</v>
      </c>
      <c r="T996" t="s">
        <v>3863</v>
      </c>
      <c r="X996">
        <v>0</v>
      </c>
      <c r="AA996">
        <v>0</v>
      </c>
    </row>
    <row r="997" spans="1:27">
      <c r="A997" s="1">
        <v>995</v>
      </c>
      <c r="B997">
        <v>110890</v>
      </c>
      <c r="C997" t="s">
        <v>1025</v>
      </c>
      <c r="D997" t="s">
        <v>1851</v>
      </c>
      <c r="E997" t="s">
        <v>2657</v>
      </c>
      <c r="G997">
        <f>"037541486X"</f>
        <v>0</v>
      </c>
      <c r="H997">
        <f>"9780375414862"</f>
        <v>0</v>
      </c>
      <c r="I997">
        <v>0</v>
      </c>
      <c r="J997">
        <v>4.34</v>
      </c>
      <c r="K997" t="s">
        <v>3214</v>
      </c>
      <c r="L997" t="s">
        <v>3492</v>
      </c>
      <c r="M997">
        <v>469</v>
      </c>
      <c r="N997">
        <v>2006</v>
      </c>
      <c r="O997">
        <v>2006</v>
      </c>
      <c r="Q997" t="s">
        <v>3593</v>
      </c>
      <c r="R997" t="s">
        <v>3863</v>
      </c>
      <c r="S997" t="s">
        <v>4604</v>
      </c>
      <c r="T997" t="s">
        <v>3863</v>
      </c>
      <c r="X997">
        <v>0</v>
      </c>
      <c r="AA997">
        <v>0</v>
      </c>
    </row>
    <row r="998" spans="1:27">
      <c r="A998" s="1">
        <v>996</v>
      </c>
      <c r="B998">
        <v>2459714</v>
      </c>
      <c r="C998" t="s">
        <v>1026</v>
      </c>
      <c r="D998" t="s">
        <v>1852</v>
      </c>
      <c r="E998" t="s">
        <v>2658</v>
      </c>
      <c r="G998">
        <f>"0061567582"</f>
        <v>0</v>
      </c>
      <c r="H998">
        <f>"9780061567582"</f>
        <v>0</v>
      </c>
      <c r="I998">
        <v>0</v>
      </c>
      <c r="J998">
        <v>3.81</v>
      </c>
      <c r="K998" t="s">
        <v>3023</v>
      </c>
      <c r="L998" t="s">
        <v>3492</v>
      </c>
      <c r="M998">
        <v>336</v>
      </c>
      <c r="N998">
        <v>2008</v>
      </c>
      <c r="O998">
        <v>2008</v>
      </c>
      <c r="Q998" t="s">
        <v>3593</v>
      </c>
      <c r="R998" t="s">
        <v>3863</v>
      </c>
      <c r="S998" t="s">
        <v>4605</v>
      </c>
      <c r="T998" t="s">
        <v>3863</v>
      </c>
      <c r="X998">
        <v>0</v>
      </c>
      <c r="AA998">
        <v>0</v>
      </c>
    </row>
    <row r="999" spans="1:27">
      <c r="A999" s="1">
        <v>997</v>
      </c>
      <c r="B999">
        <v>32829</v>
      </c>
      <c r="C999" t="s">
        <v>1027</v>
      </c>
      <c r="D999" t="s">
        <v>1522</v>
      </c>
      <c r="E999" t="s">
        <v>2328</v>
      </c>
      <c r="F999" t="s">
        <v>2982</v>
      </c>
      <c r="G999">
        <f>"0553213970"</f>
        <v>0</v>
      </c>
      <c r="H999">
        <f>"9780553213973"</f>
        <v>0</v>
      </c>
      <c r="I999">
        <v>0</v>
      </c>
      <c r="J999">
        <v>3.86</v>
      </c>
      <c r="K999" t="s">
        <v>3256</v>
      </c>
      <c r="L999" t="s">
        <v>3491</v>
      </c>
      <c r="M999">
        <v>240</v>
      </c>
      <c r="N999">
        <v>2006</v>
      </c>
      <c r="O999">
        <v>1864</v>
      </c>
      <c r="Q999" t="s">
        <v>3593</v>
      </c>
      <c r="R999" t="s">
        <v>3863</v>
      </c>
      <c r="S999" t="s">
        <v>4606</v>
      </c>
      <c r="T999" t="s">
        <v>3863</v>
      </c>
      <c r="X999">
        <v>0</v>
      </c>
      <c r="AA999">
        <v>0</v>
      </c>
    </row>
    <row r="1000" spans="1:27">
      <c r="A1000" s="1">
        <v>998</v>
      </c>
      <c r="B1000">
        <v>248510</v>
      </c>
      <c r="C1000" t="s">
        <v>1028</v>
      </c>
      <c r="D1000" t="s">
        <v>1853</v>
      </c>
      <c r="E1000" t="s">
        <v>2659</v>
      </c>
      <c r="G1000">
        <f>"0306812983"</f>
        <v>0</v>
      </c>
      <c r="H1000">
        <f>"9780306812989"</f>
        <v>0</v>
      </c>
      <c r="I1000">
        <v>0</v>
      </c>
      <c r="J1000">
        <v>4.19</v>
      </c>
      <c r="K1000" t="s">
        <v>3374</v>
      </c>
      <c r="L1000" t="s">
        <v>3491</v>
      </c>
      <c r="M1000">
        <v>672</v>
      </c>
      <c r="N1000">
        <v>2003</v>
      </c>
      <c r="O1000">
        <v>1969</v>
      </c>
      <c r="Q1000" t="s">
        <v>3593</v>
      </c>
      <c r="R1000" t="s">
        <v>3863</v>
      </c>
      <c r="S1000" t="s">
        <v>4607</v>
      </c>
      <c r="T1000" t="s">
        <v>3863</v>
      </c>
      <c r="X1000">
        <v>0</v>
      </c>
      <c r="AA1000">
        <v>0</v>
      </c>
    </row>
    <row r="1001" spans="1:27">
      <c r="A1001" s="1">
        <v>999</v>
      </c>
      <c r="B1001">
        <v>514313</v>
      </c>
      <c r="C1001" t="s">
        <v>1029</v>
      </c>
      <c r="D1001" t="s">
        <v>1854</v>
      </c>
      <c r="E1001" t="s">
        <v>2660</v>
      </c>
      <c r="G1001">
        <f>"0743225708"</f>
        <v>0</v>
      </c>
      <c r="H1001">
        <f>"9780743225700"</f>
        <v>0</v>
      </c>
      <c r="I1001">
        <v>0</v>
      </c>
      <c r="J1001">
        <v>3.91</v>
      </c>
      <c r="K1001" t="s">
        <v>3000</v>
      </c>
      <c r="L1001" t="s">
        <v>3492</v>
      </c>
      <c r="M1001">
        <v>272</v>
      </c>
      <c r="N1001">
        <v>2002</v>
      </c>
      <c r="O1001">
        <v>2002</v>
      </c>
      <c r="Q1001" t="s">
        <v>3593</v>
      </c>
      <c r="R1001" t="s">
        <v>3863</v>
      </c>
      <c r="S1001" t="s">
        <v>4608</v>
      </c>
      <c r="T1001" t="s">
        <v>3863</v>
      </c>
      <c r="X1001">
        <v>0</v>
      </c>
      <c r="AA1001">
        <v>0</v>
      </c>
    </row>
    <row r="1002" spans="1:27">
      <c r="A1002" s="1">
        <v>1000</v>
      </c>
      <c r="B1002">
        <v>34066798</v>
      </c>
      <c r="C1002" t="s">
        <v>1030</v>
      </c>
      <c r="D1002" t="s">
        <v>1855</v>
      </c>
      <c r="E1002" t="s">
        <v>2661</v>
      </c>
      <c r="G1002">
        <f>""</f>
        <v>0</v>
      </c>
      <c r="H1002">
        <f>""</f>
        <v>0</v>
      </c>
      <c r="I1002">
        <v>0</v>
      </c>
      <c r="J1002">
        <v>4.34</v>
      </c>
      <c r="K1002" t="s">
        <v>3010</v>
      </c>
      <c r="L1002" t="s">
        <v>3491</v>
      </c>
      <c r="M1002">
        <v>462</v>
      </c>
      <c r="N1002">
        <v>2019</v>
      </c>
      <c r="O1002">
        <v>2016</v>
      </c>
      <c r="Q1002" t="s">
        <v>3593</v>
      </c>
      <c r="R1002" t="s">
        <v>3863</v>
      </c>
      <c r="S1002" t="s">
        <v>4609</v>
      </c>
      <c r="T1002" t="s">
        <v>3863</v>
      </c>
      <c r="X1002">
        <v>0</v>
      </c>
      <c r="AA1002">
        <v>0</v>
      </c>
    </row>
    <row r="1003" spans="1:27">
      <c r="A1003" s="1">
        <v>1001</v>
      </c>
      <c r="B1003">
        <v>30354429</v>
      </c>
      <c r="C1003" t="s">
        <v>1031</v>
      </c>
      <c r="D1003" t="s">
        <v>1856</v>
      </c>
      <c r="E1003" t="s">
        <v>2662</v>
      </c>
      <c r="G1003">
        <f>"1476794049"</f>
        <v>0</v>
      </c>
      <c r="H1003">
        <f>"9781476794044"</f>
        <v>0</v>
      </c>
      <c r="I1003">
        <v>0</v>
      </c>
      <c r="J1003">
        <v>3.71</v>
      </c>
      <c r="K1003" t="s">
        <v>3161</v>
      </c>
      <c r="L1003" t="s">
        <v>3492</v>
      </c>
      <c r="M1003">
        <v>307</v>
      </c>
      <c r="N1003">
        <v>2017</v>
      </c>
      <c r="O1003">
        <v>2017</v>
      </c>
      <c r="Q1003" t="s">
        <v>3593</v>
      </c>
      <c r="R1003" t="s">
        <v>3863</v>
      </c>
      <c r="S1003" t="s">
        <v>4610</v>
      </c>
      <c r="T1003" t="s">
        <v>3863</v>
      </c>
      <c r="X1003">
        <v>0</v>
      </c>
      <c r="AA1003">
        <v>0</v>
      </c>
    </row>
    <row r="1004" spans="1:27">
      <c r="A1004" s="1">
        <v>1002</v>
      </c>
      <c r="B1004">
        <v>145660</v>
      </c>
      <c r="C1004" t="s">
        <v>1032</v>
      </c>
      <c r="D1004" t="s">
        <v>1857</v>
      </c>
      <c r="E1004" t="s">
        <v>2663</v>
      </c>
      <c r="F1004" t="s">
        <v>2983</v>
      </c>
      <c r="G1004">
        <f>"0679728562"</f>
        <v>0</v>
      </c>
      <c r="H1004">
        <f>"9780679728566"</f>
        <v>0</v>
      </c>
      <c r="I1004">
        <v>0</v>
      </c>
      <c r="J1004">
        <v>4.27</v>
      </c>
      <c r="K1004" t="s">
        <v>3029</v>
      </c>
      <c r="L1004" t="s">
        <v>3491</v>
      </c>
      <c r="M1004">
        <v>272</v>
      </c>
      <c r="N1004">
        <v>1990</v>
      </c>
      <c r="O1004">
        <v>1953</v>
      </c>
      <c r="Q1004" t="s">
        <v>3593</v>
      </c>
      <c r="R1004" t="s">
        <v>3863</v>
      </c>
      <c r="S1004" t="s">
        <v>4611</v>
      </c>
      <c r="T1004" t="s">
        <v>3863</v>
      </c>
      <c r="X1004">
        <v>0</v>
      </c>
      <c r="AA1004">
        <v>0</v>
      </c>
    </row>
    <row r="1005" spans="1:27">
      <c r="A1005" s="1">
        <v>1003</v>
      </c>
      <c r="B1005">
        <v>21853661</v>
      </c>
      <c r="C1005" t="s">
        <v>1033</v>
      </c>
      <c r="D1005" t="s">
        <v>1858</v>
      </c>
      <c r="E1005" t="s">
        <v>2664</v>
      </c>
      <c r="F1005" t="s">
        <v>2984</v>
      </c>
      <c r="G1005">
        <f>"1250045444"</f>
        <v>0</v>
      </c>
      <c r="H1005">
        <f>"9781250045447"</f>
        <v>0</v>
      </c>
      <c r="I1005">
        <v>0</v>
      </c>
      <c r="J1005">
        <v>4.14</v>
      </c>
      <c r="K1005" t="s">
        <v>3162</v>
      </c>
      <c r="L1005" t="s">
        <v>3492</v>
      </c>
      <c r="M1005">
        <v>320</v>
      </c>
      <c r="N1005">
        <v>2015</v>
      </c>
      <c r="Q1005" t="s">
        <v>3593</v>
      </c>
      <c r="R1005" t="s">
        <v>3863</v>
      </c>
      <c r="S1005" t="s">
        <v>4612</v>
      </c>
      <c r="T1005" t="s">
        <v>3863</v>
      </c>
      <c r="X1005">
        <v>0</v>
      </c>
      <c r="AA1005">
        <v>0</v>
      </c>
    </row>
    <row r="1006" spans="1:27">
      <c r="A1006" s="1">
        <v>1004</v>
      </c>
      <c r="B1006">
        <v>6308079</v>
      </c>
      <c r="C1006" t="s">
        <v>1034</v>
      </c>
      <c r="D1006" t="s">
        <v>1513</v>
      </c>
      <c r="E1006" t="s">
        <v>2319</v>
      </c>
      <c r="F1006" t="s">
        <v>2985</v>
      </c>
      <c r="G1006">
        <f>"0061661228"</f>
        <v>0</v>
      </c>
      <c r="H1006">
        <f>"9780061661228"</f>
        <v>0</v>
      </c>
      <c r="I1006">
        <v>0</v>
      </c>
      <c r="J1006">
        <v>4.3</v>
      </c>
      <c r="K1006" t="s">
        <v>3023</v>
      </c>
      <c r="L1006" t="s">
        <v>3492</v>
      </c>
      <c r="M1006">
        <v>400</v>
      </c>
      <c r="N1006">
        <v>2010</v>
      </c>
      <c r="O1006">
        <v>2010</v>
      </c>
      <c r="Q1006" t="s">
        <v>3593</v>
      </c>
      <c r="R1006" t="s">
        <v>3863</v>
      </c>
      <c r="S1006" t="s">
        <v>4613</v>
      </c>
      <c r="T1006" t="s">
        <v>3863</v>
      </c>
      <c r="X1006">
        <v>0</v>
      </c>
      <c r="AA1006">
        <v>0</v>
      </c>
    </row>
    <row r="1007" spans="1:27">
      <c r="A1007" s="1">
        <v>1005</v>
      </c>
      <c r="B1007">
        <v>64582</v>
      </c>
      <c r="C1007" t="s">
        <v>1035</v>
      </c>
      <c r="D1007" t="s">
        <v>1448</v>
      </c>
      <c r="E1007" t="s">
        <v>2254</v>
      </c>
      <c r="G1007">
        <f>"0140092501"</f>
        <v>0</v>
      </c>
      <c r="H1007">
        <f>"9780140092509"</f>
        <v>0</v>
      </c>
      <c r="I1007">
        <v>0</v>
      </c>
      <c r="J1007">
        <v>4.03</v>
      </c>
      <c r="K1007" t="s">
        <v>3479</v>
      </c>
      <c r="L1007" t="s">
        <v>3491</v>
      </c>
      <c r="M1007">
        <v>352</v>
      </c>
      <c r="N1007">
        <v>1988</v>
      </c>
      <c r="O1007">
        <v>1987</v>
      </c>
      <c r="Q1007" t="s">
        <v>3593</v>
      </c>
      <c r="R1007" t="s">
        <v>3863</v>
      </c>
      <c r="S1007" t="s">
        <v>4614</v>
      </c>
      <c r="T1007" t="s">
        <v>3863</v>
      </c>
      <c r="X1007">
        <v>0</v>
      </c>
      <c r="AA1007">
        <v>0</v>
      </c>
    </row>
    <row r="1008" spans="1:27">
      <c r="A1008" s="1">
        <v>1006</v>
      </c>
      <c r="B1008">
        <v>28110891</v>
      </c>
      <c r="C1008" t="s">
        <v>1036</v>
      </c>
      <c r="D1008" t="s">
        <v>1449</v>
      </c>
      <c r="E1008" t="s">
        <v>2255</v>
      </c>
      <c r="F1008" t="s">
        <v>2986</v>
      </c>
      <c r="G1008">
        <f>"0761169083"</f>
        <v>0</v>
      </c>
      <c r="H1008">
        <f>"9780761169086"</f>
        <v>0</v>
      </c>
      <c r="I1008">
        <v>0</v>
      </c>
      <c r="J1008">
        <v>4.26</v>
      </c>
      <c r="K1008" t="s">
        <v>3480</v>
      </c>
      <c r="L1008" t="s">
        <v>3492</v>
      </c>
      <c r="M1008">
        <v>470</v>
      </c>
      <c r="N1008">
        <v>2016</v>
      </c>
      <c r="O1008">
        <v>2016</v>
      </c>
      <c r="Q1008" t="s">
        <v>3593</v>
      </c>
      <c r="R1008" t="s">
        <v>3863</v>
      </c>
      <c r="S1008" t="s">
        <v>4615</v>
      </c>
      <c r="T1008" t="s">
        <v>3863</v>
      </c>
      <c r="X1008">
        <v>0</v>
      </c>
      <c r="AA1008">
        <v>0</v>
      </c>
    </row>
    <row r="1009" spans="1:27">
      <c r="A1009" s="1">
        <v>1007</v>
      </c>
      <c r="B1009">
        <v>17471298</v>
      </c>
      <c r="C1009" t="s">
        <v>1037</v>
      </c>
      <c r="D1009" t="s">
        <v>1859</v>
      </c>
      <c r="E1009" t="s">
        <v>2665</v>
      </c>
      <c r="G1009">
        <f>"0521199565"</f>
        <v>0</v>
      </c>
      <c r="H1009">
        <f>"9780521199568"</f>
        <v>0</v>
      </c>
      <c r="I1009">
        <v>0</v>
      </c>
      <c r="J1009">
        <v>4.16</v>
      </c>
      <c r="K1009" t="s">
        <v>3021</v>
      </c>
      <c r="L1009" t="s">
        <v>3491</v>
      </c>
      <c r="M1009">
        <v>370</v>
      </c>
      <c r="N1009">
        <v>2013</v>
      </c>
      <c r="O1009">
        <v>2013</v>
      </c>
      <c r="Q1009" t="s">
        <v>3593</v>
      </c>
      <c r="R1009" t="s">
        <v>3863</v>
      </c>
      <c r="S1009" t="s">
        <v>4616</v>
      </c>
      <c r="T1009" t="s">
        <v>3863</v>
      </c>
      <c r="X1009">
        <v>0</v>
      </c>
      <c r="AA1009">
        <v>0</v>
      </c>
    </row>
    <row r="1010" spans="1:27">
      <c r="A1010" s="1">
        <v>1008</v>
      </c>
      <c r="B1010">
        <v>13629</v>
      </c>
      <c r="C1010" t="s">
        <v>1038</v>
      </c>
      <c r="D1010" t="s">
        <v>1860</v>
      </c>
      <c r="E1010" t="s">
        <v>2666</v>
      </c>
      <c r="G1010">
        <f>"0201835959"</f>
        <v>0</v>
      </c>
      <c r="H1010">
        <f>"9780201835953"</f>
        <v>0</v>
      </c>
      <c r="I1010">
        <v>0</v>
      </c>
      <c r="J1010">
        <v>4.01</v>
      </c>
      <c r="K1010" t="s">
        <v>3481</v>
      </c>
      <c r="L1010" t="s">
        <v>3491</v>
      </c>
      <c r="M1010">
        <v>322</v>
      </c>
      <c r="N1010">
        <v>1995</v>
      </c>
      <c r="O1010">
        <v>1975</v>
      </c>
      <c r="Q1010" t="s">
        <v>3751</v>
      </c>
      <c r="R1010" t="s">
        <v>3863</v>
      </c>
      <c r="S1010" t="s">
        <v>4617</v>
      </c>
      <c r="T1010" t="s">
        <v>3863</v>
      </c>
      <c r="X1010">
        <v>0</v>
      </c>
      <c r="AA1010">
        <v>0</v>
      </c>
    </row>
    <row r="1011" spans="1:27">
      <c r="A1011" s="1">
        <v>1009</v>
      </c>
      <c r="B1011">
        <v>24583</v>
      </c>
      <c r="C1011" t="s">
        <v>1039</v>
      </c>
      <c r="D1011" t="s">
        <v>1363</v>
      </c>
      <c r="E1011" t="s">
        <v>2169</v>
      </c>
      <c r="F1011" t="s">
        <v>2987</v>
      </c>
      <c r="G1011">
        <f>""</f>
        <v>0</v>
      </c>
      <c r="H1011">
        <f>"9780143039563"</f>
        <v>0</v>
      </c>
      <c r="I1011">
        <v>0</v>
      </c>
      <c r="J1011">
        <v>3.92</v>
      </c>
      <c r="K1011" t="s">
        <v>3146</v>
      </c>
      <c r="L1011" t="s">
        <v>3491</v>
      </c>
      <c r="M1011">
        <v>244</v>
      </c>
      <c r="N1011">
        <v>2006</v>
      </c>
      <c r="O1011">
        <v>1876</v>
      </c>
      <c r="Q1011" t="s">
        <v>3751</v>
      </c>
      <c r="R1011" t="s">
        <v>3863</v>
      </c>
      <c r="S1011" t="s">
        <v>4618</v>
      </c>
      <c r="T1011" t="s">
        <v>3863</v>
      </c>
      <c r="X1011">
        <v>0</v>
      </c>
      <c r="AA1011">
        <v>0</v>
      </c>
    </row>
    <row r="1012" spans="1:27">
      <c r="A1012" s="1">
        <v>1010</v>
      </c>
      <c r="B1012">
        <v>40102</v>
      </c>
      <c r="C1012" t="s">
        <v>1040</v>
      </c>
      <c r="D1012" t="s">
        <v>1458</v>
      </c>
      <c r="E1012" t="s">
        <v>2264</v>
      </c>
      <c r="F1012" t="s">
        <v>2988</v>
      </c>
      <c r="G1012">
        <f>"0316010669"</f>
        <v>0</v>
      </c>
      <c r="H1012">
        <f>"9780316010665"</f>
        <v>0</v>
      </c>
      <c r="I1012">
        <v>0</v>
      </c>
      <c r="J1012">
        <v>3.95</v>
      </c>
      <c r="K1012" t="s">
        <v>3243</v>
      </c>
      <c r="L1012" t="s">
        <v>3491</v>
      </c>
      <c r="M1012">
        <v>296</v>
      </c>
      <c r="N1012">
        <v>2007</v>
      </c>
      <c r="O1012">
        <v>2005</v>
      </c>
      <c r="Q1012" t="s">
        <v>3751</v>
      </c>
      <c r="R1012" t="s">
        <v>3863</v>
      </c>
      <c r="S1012" t="s">
        <v>4619</v>
      </c>
      <c r="T1012" t="s">
        <v>3863</v>
      </c>
      <c r="X1012">
        <v>0</v>
      </c>
      <c r="AA1012">
        <v>0</v>
      </c>
    </row>
    <row r="1013" spans="1:27">
      <c r="A1013" s="1">
        <v>1011</v>
      </c>
      <c r="B1013">
        <v>12936</v>
      </c>
      <c r="C1013" t="s">
        <v>1041</v>
      </c>
      <c r="D1013" t="s">
        <v>1733</v>
      </c>
      <c r="E1013" t="s">
        <v>2539</v>
      </c>
      <c r="G1013">
        <f>"0385732562"</f>
        <v>0</v>
      </c>
      <c r="H1013">
        <f>"9780385732567"</f>
        <v>0</v>
      </c>
      <c r="I1013">
        <v>0</v>
      </c>
      <c r="J1013">
        <v>3.82</v>
      </c>
      <c r="K1013" t="s">
        <v>3083</v>
      </c>
      <c r="L1013" t="s">
        <v>3491</v>
      </c>
      <c r="M1013">
        <v>240</v>
      </c>
      <c r="N1013">
        <v>2000</v>
      </c>
      <c r="O1013">
        <v>2000</v>
      </c>
      <c r="Q1013" t="s">
        <v>3751</v>
      </c>
      <c r="T1013" t="s">
        <v>4621</v>
      </c>
      <c r="X1013">
        <v>1</v>
      </c>
      <c r="AA1013">
        <v>0</v>
      </c>
    </row>
    <row r="1014" spans="1:27">
      <c r="A1014" s="1">
        <v>1012</v>
      </c>
      <c r="B1014">
        <v>12930</v>
      </c>
      <c r="C1014" t="s">
        <v>1042</v>
      </c>
      <c r="D1014" t="s">
        <v>1733</v>
      </c>
      <c r="E1014" t="s">
        <v>2539</v>
      </c>
      <c r="G1014">
        <f>"0385732538"</f>
        <v>0</v>
      </c>
      <c r="H1014">
        <f>"9780385732536"</f>
        <v>0</v>
      </c>
      <c r="I1014">
        <v>0</v>
      </c>
      <c r="J1014">
        <v>3.91</v>
      </c>
      <c r="K1014" t="s">
        <v>3482</v>
      </c>
      <c r="L1014" t="s">
        <v>3491</v>
      </c>
      <c r="M1014">
        <v>169</v>
      </c>
      <c r="N1014">
        <v>2006</v>
      </c>
      <c r="O1014">
        <v>2004</v>
      </c>
      <c r="Q1014" t="s">
        <v>3751</v>
      </c>
      <c r="T1014" t="s">
        <v>4621</v>
      </c>
      <c r="X1014">
        <v>1</v>
      </c>
      <c r="AA1014">
        <v>0</v>
      </c>
    </row>
    <row r="1015" spans="1:27">
      <c r="A1015" s="1">
        <v>1013</v>
      </c>
      <c r="B1015">
        <v>19057</v>
      </c>
      <c r="C1015" t="s">
        <v>1043</v>
      </c>
      <c r="D1015" t="s">
        <v>1489</v>
      </c>
      <c r="E1015" t="s">
        <v>2295</v>
      </c>
      <c r="G1015">
        <f>""</f>
        <v>0</v>
      </c>
      <c r="H1015">
        <f>""</f>
        <v>0</v>
      </c>
      <c r="I1015">
        <v>0</v>
      </c>
      <c r="J1015">
        <v>4.03</v>
      </c>
      <c r="K1015" t="s">
        <v>3483</v>
      </c>
      <c r="L1015" t="s">
        <v>3491</v>
      </c>
      <c r="M1015">
        <v>357</v>
      </c>
      <c r="N1015">
        <v>2006</v>
      </c>
      <c r="O1015">
        <v>2002</v>
      </c>
      <c r="Q1015" t="s">
        <v>3751</v>
      </c>
      <c r="T1015" t="s">
        <v>4621</v>
      </c>
      <c r="X1015">
        <v>1</v>
      </c>
      <c r="AA1015">
        <v>0</v>
      </c>
    </row>
    <row r="1016" spans="1:27">
      <c r="A1016" s="1">
        <v>1014</v>
      </c>
      <c r="B1016">
        <v>23106539</v>
      </c>
      <c r="C1016" t="s">
        <v>1044</v>
      </c>
      <c r="D1016" t="s">
        <v>1861</v>
      </c>
      <c r="E1016" t="s">
        <v>2667</v>
      </c>
      <c r="G1016">
        <f>"1905559658"</f>
        <v>0</v>
      </c>
      <c r="H1016">
        <f>"9781905559657"</f>
        <v>0</v>
      </c>
      <c r="I1016">
        <v>0</v>
      </c>
      <c r="J1016">
        <v>3.68</v>
      </c>
      <c r="K1016" t="s">
        <v>3484</v>
      </c>
      <c r="L1016" t="s">
        <v>3494</v>
      </c>
      <c r="M1016">
        <v>336</v>
      </c>
      <c r="N1016">
        <v>2014</v>
      </c>
      <c r="O1016">
        <v>2014</v>
      </c>
      <c r="Q1016" t="s">
        <v>3751</v>
      </c>
      <c r="R1016" t="s">
        <v>3863</v>
      </c>
      <c r="S1016" t="s">
        <v>4620</v>
      </c>
      <c r="T1016" t="s">
        <v>3863</v>
      </c>
      <c r="X1016">
        <v>0</v>
      </c>
      <c r="AA1016">
        <v>0</v>
      </c>
    </row>
    <row r="1017" spans="1:27">
      <c r="A1017" s="1">
        <v>1015</v>
      </c>
      <c r="B1017">
        <v>136251</v>
      </c>
      <c r="C1017" t="s">
        <v>1045</v>
      </c>
      <c r="D1017" t="s">
        <v>1862</v>
      </c>
      <c r="E1017" t="s">
        <v>2668</v>
      </c>
      <c r="G1017">
        <f>""</f>
        <v>0</v>
      </c>
      <c r="H1017">
        <f>""</f>
        <v>0</v>
      </c>
      <c r="I1017">
        <v>0</v>
      </c>
      <c r="J1017">
        <v>4.62</v>
      </c>
      <c r="K1017" t="s">
        <v>3485</v>
      </c>
      <c r="L1017" t="s">
        <v>3492</v>
      </c>
      <c r="M1017">
        <v>759</v>
      </c>
      <c r="N1017">
        <v>2007</v>
      </c>
      <c r="O1017">
        <v>2007</v>
      </c>
      <c r="Q1017" t="s">
        <v>3751</v>
      </c>
      <c r="T1017" t="s">
        <v>4621</v>
      </c>
      <c r="X1017">
        <v>1</v>
      </c>
      <c r="AA1017">
        <v>0</v>
      </c>
    </row>
    <row r="1018" spans="1:27">
      <c r="A1018" s="1">
        <v>1016</v>
      </c>
      <c r="B1018">
        <v>1</v>
      </c>
      <c r="C1018" t="s">
        <v>1046</v>
      </c>
      <c r="D1018" t="s">
        <v>1862</v>
      </c>
      <c r="E1018" t="s">
        <v>2668</v>
      </c>
      <c r="G1018">
        <f>""</f>
        <v>0</v>
      </c>
      <c r="H1018">
        <f>""</f>
        <v>0</v>
      </c>
      <c r="I1018">
        <v>0</v>
      </c>
      <c r="J1018">
        <v>4.58</v>
      </c>
      <c r="K1018" t="s">
        <v>3486</v>
      </c>
      <c r="L1018" t="s">
        <v>3491</v>
      </c>
      <c r="M1018">
        <v>652</v>
      </c>
      <c r="N1018">
        <v>2006</v>
      </c>
      <c r="O1018">
        <v>2005</v>
      </c>
      <c r="Q1018" t="s">
        <v>3751</v>
      </c>
      <c r="T1018" t="s">
        <v>4621</v>
      </c>
      <c r="X1018">
        <v>1</v>
      </c>
      <c r="AA1018">
        <v>0</v>
      </c>
    </row>
    <row r="1019" spans="1:27">
      <c r="A1019" s="1">
        <v>1017</v>
      </c>
      <c r="B1019">
        <v>2</v>
      </c>
      <c r="C1019" t="s">
        <v>1047</v>
      </c>
      <c r="D1019" t="s">
        <v>1862</v>
      </c>
      <c r="E1019" t="s">
        <v>2668</v>
      </c>
      <c r="F1019" t="s">
        <v>2989</v>
      </c>
      <c r="G1019">
        <f>""</f>
        <v>0</v>
      </c>
      <c r="H1019">
        <f>""</f>
        <v>0</v>
      </c>
      <c r="I1019">
        <v>0</v>
      </c>
      <c r="J1019">
        <v>4.5</v>
      </c>
      <c r="K1019" t="s">
        <v>3486</v>
      </c>
      <c r="L1019" t="s">
        <v>3491</v>
      </c>
      <c r="M1019">
        <v>870</v>
      </c>
      <c r="N1019">
        <v>2004</v>
      </c>
      <c r="O1019">
        <v>2003</v>
      </c>
      <c r="Q1019" t="s">
        <v>3751</v>
      </c>
      <c r="T1019" t="s">
        <v>4621</v>
      </c>
      <c r="X1019">
        <v>1</v>
      </c>
      <c r="AA1019">
        <v>0</v>
      </c>
    </row>
    <row r="1020" spans="1:27">
      <c r="A1020" s="1">
        <v>1018</v>
      </c>
      <c r="B1020">
        <v>6</v>
      </c>
      <c r="C1020" t="s">
        <v>1048</v>
      </c>
      <c r="D1020" t="s">
        <v>1862</v>
      </c>
      <c r="E1020" t="s">
        <v>2668</v>
      </c>
      <c r="F1020" t="s">
        <v>2990</v>
      </c>
      <c r="G1020">
        <f>""</f>
        <v>0</v>
      </c>
      <c r="H1020">
        <f>""</f>
        <v>0</v>
      </c>
      <c r="I1020">
        <v>0</v>
      </c>
      <c r="J1020">
        <v>4.57</v>
      </c>
      <c r="K1020" t="s">
        <v>3487</v>
      </c>
      <c r="L1020" t="s">
        <v>3491</v>
      </c>
      <c r="M1020">
        <v>734</v>
      </c>
      <c r="N1020">
        <v>2002</v>
      </c>
      <c r="O1020">
        <v>2000</v>
      </c>
      <c r="Q1020" t="s">
        <v>3751</v>
      </c>
      <c r="T1020" t="s">
        <v>4621</v>
      </c>
      <c r="X1020">
        <v>1</v>
      </c>
      <c r="AA1020">
        <v>0</v>
      </c>
    </row>
    <row r="1021" spans="1:27">
      <c r="A1021" s="1">
        <v>1019</v>
      </c>
      <c r="B1021">
        <v>15881</v>
      </c>
      <c r="C1021" t="s">
        <v>1049</v>
      </c>
      <c r="D1021" t="s">
        <v>1862</v>
      </c>
      <c r="E1021" t="s">
        <v>2668</v>
      </c>
      <c r="F1021" t="s">
        <v>2991</v>
      </c>
      <c r="G1021">
        <f>""</f>
        <v>0</v>
      </c>
      <c r="H1021">
        <f>""</f>
        <v>0</v>
      </c>
      <c r="I1021">
        <v>0</v>
      </c>
      <c r="J1021">
        <v>4.43</v>
      </c>
      <c r="K1021" t="s">
        <v>3485</v>
      </c>
      <c r="L1021" t="s">
        <v>3492</v>
      </c>
      <c r="M1021">
        <v>341</v>
      </c>
      <c r="N1021">
        <v>1999</v>
      </c>
      <c r="O1021">
        <v>1998</v>
      </c>
      <c r="Q1021" t="s">
        <v>3751</v>
      </c>
      <c r="T1021" t="s">
        <v>4621</v>
      </c>
      <c r="X1021">
        <v>1</v>
      </c>
      <c r="AA1021">
        <v>0</v>
      </c>
    </row>
    <row r="1022" spans="1:27">
      <c r="A1022" s="1">
        <v>1020</v>
      </c>
      <c r="B1022">
        <v>5</v>
      </c>
      <c r="C1022" t="s">
        <v>1050</v>
      </c>
      <c r="D1022" t="s">
        <v>1862</v>
      </c>
      <c r="E1022" t="s">
        <v>2668</v>
      </c>
      <c r="F1022" t="s">
        <v>2989</v>
      </c>
      <c r="G1022">
        <f>"043965548X"</f>
        <v>0</v>
      </c>
      <c r="H1022">
        <f>"9780439655484"</f>
        <v>0</v>
      </c>
      <c r="I1022">
        <v>0</v>
      </c>
      <c r="J1022">
        <v>4.58</v>
      </c>
      <c r="K1022" t="s">
        <v>3486</v>
      </c>
      <c r="L1022" t="s">
        <v>3495</v>
      </c>
      <c r="M1022">
        <v>435</v>
      </c>
      <c r="N1022">
        <v>2004</v>
      </c>
      <c r="O1022">
        <v>1999</v>
      </c>
      <c r="Q1022" t="s">
        <v>3751</v>
      </c>
      <c r="T1022" t="s">
        <v>4621</v>
      </c>
      <c r="X1022">
        <v>1</v>
      </c>
      <c r="AA1022">
        <v>0</v>
      </c>
    </row>
    <row r="1023" spans="1:27">
      <c r="A1023" s="1">
        <v>1021</v>
      </c>
      <c r="B1023">
        <v>3</v>
      </c>
      <c r="C1023" t="s">
        <v>1051</v>
      </c>
      <c r="D1023" t="s">
        <v>1862</v>
      </c>
      <c r="E1023" t="s">
        <v>2668</v>
      </c>
      <c r="G1023">
        <f>""</f>
        <v>0</v>
      </c>
      <c r="H1023">
        <f>""</f>
        <v>0</v>
      </c>
      <c r="I1023">
        <v>0</v>
      </c>
      <c r="J1023">
        <v>4.47</v>
      </c>
      <c r="K1023" t="s">
        <v>3488</v>
      </c>
      <c r="L1023" t="s">
        <v>3492</v>
      </c>
      <c r="M1023">
        <v>309</v>
      </c>
      <c r="N1023">
        <v>2003</v>
      </c>
      <c r="O1023">
        <v>1997</v>
      </c>
      <c r="Q1023" t="s">
        <v>3751</v>
      </c>
      <c r="T1023" t="s">
        <v>4621</v>
      </c>
      <c r="X1023">
        <v>1</v>
      </c>
      <c r="AA1023">
        <v>0</v>
      </c>
    </row>
    <row r="1024" spans="1:27">
      <c r="A1024" s="1">
        <v>1022</v>
      </c>
      <c r="B1024">
        <v>3636</v>
      </c>
      <c r="C1024" t="s">
        <v>1052</v>
      </c>
      <c r="D1024" t="s">
        <v>1733</v>
      </c>
      <c r="E1024" t="s">
        <v>2539</v>
      </c>
      <c r="G1024">
        <f>"0385732554"</f>
        <v>0</v>
      </c>
      <c r="H1024">
        <f>"9780385732550"</f>
        <v>0</v>
      </c>
      <c r="I1024">
        <v>0</v>
      </c>
      <c r="J1024">
        <v>4.13</v>
      </c>
      <c r="K1024" t="s">
        <v>3482</v>
      </c>
      <c r="L1024" t="s">
        <v>3491</v>
      </c>
      <c r="M1024">
        <v>208</v>
      </c>
      <c r="N1024">
        <v>2006</v>
      </c>
      <c r="O1024">
        <v>1993</v>
      </c>
      <c r="Q1024" t="s">
        <v>3583</v>
      </c>
      <c r="T1024" t="s">
        <v>4621</v>
      </c>
      <c r="X1024">
        <v>1</v>
      </c>
      <c r="AA1024">
        <v>0</v>
      </c>
    </row>
    <row r="1025" spans="1:27">
      <c r="A1025" s="1">
        <v>1023</v>
      </c>
      <c r="B1025">
        <v>32682</v>
      </c>
      <c r="C1025" t="s">
        <v>1053</v>
      </c>
      <c r="D1025" t="s">
        <v>1484</v>
      </c>
      <c r="E1025" t="s">
        <v>2290</v>
      </c>
      <c r="G1025">
        <f>"0425134350"</f>
        <v>0</v>
      </c>
      <c r="H1025">
        <f>"9780425134351"</f>
        <v>0</v>
      </c>
      <c r="I1025">
        <v>0</v>
      </c>
      <c r="J1025">
        <v>4.15</v>
      </c>
      <c r="K1025" t="s">
        <v>3239</v>
      </c>
      <c r="L1025" t="s">
        <v>3495</v>
      </c>
      <c r="M1025">
        <v>503</v>
      </c>
      <c r="N1025">
        <v>1992</v>
      </c>
      <c r="O1025">
        <v>1987</v>
      </c>
      <c r="Q1025" t="s">
        <v>3583</v>
      </c>
      <c r="T1025" t="s">
        <v>4621</v>
      </c>
      <c r="X1025">
        <v>1</v>
      </c>
      <c r="AA1025">
        <v>0</v>
      </c>
    </row>
    <row r="1026" spans="1:27">
      <c r="A1026" s="1">
        <v>1024</v>
      </c>
      <c r="B1026">
        <v>274064</v>
      </c>
      <c r="C1026" t="s">
        <v>1054</v>
      </c>
      <c r="D1026" t="s">
        <v>1863</v>
      </c>
      <c r="E1026" t="s">
        <v>2669</v>
      </c>
      <c r="F1026" t="s">
        <v>2992</v>
      </c>
      <c r="G1026">
        <f>"0395393884"</f>
        <v>0</v>
      </c>
      <c r="H1026">
        <f>"9780395393888"</f>
        <v>0</v>
      </c>
      <c r="I1026">
        <v>0</v>
      </c>
      <c r="J1026">
        <v>4.16</v>
      </c>
      <c r="K1026" t="s">
        <v>3107</v>
      </c>
      <c r="L1026" t="s">
        <v>3491</v>
      </c>
      <c r="M1026">
        <v>228</v>
      </c>
      <c r="N1026">
        <v>1985</v>
      </c>
      <c r="O1026">
        <v>1984</v>
      </c>
      <c r="Q1026" t="s">
        <v>3583</v>
      </c>
      <c r="T1026" t="s">
        <v>4621</v>
      </c>
      <c r="X1026">
        <v>1</v>
      </c>
      <c r="AA1026">
        <v>0</v>
      </c>
    </row>
    <row r="1027" spans="1:27">
      <c r="A1027" s="1">
        <v>1025</v>
      </c>
      <c r="B1027">
        <v>1622</v>
      </c>
      <c r="C1027" t="s">
        <v>1055</v>
      </c>
      <c r="D1027" t="s">
        <v>1655</v>
      </c>
      <c r="E1027" t="s">
        <v>2461</v>
      </c>
      <c r="F1027" t="s">
        <v>2993</v>
      </c>
      <c r="G1027">
        <f>"0743477545"</f>
        <v>0</v>
      </c>
      <c r="H1027">
        <f>"9780743477543"</f>
        <v>0</v>
      </c>
      <c r="I1027">
        <v>0</v>
      </c>
      <c r="J1027">
        <v>3.95</v>
      </c>
      <c r="K1027" t="s">
        <v>3489</v>
      </c>
      <c r="L1027" t="s">
        <v>3491</v>
      </c>
      <c r="M1027">
        <v>240</v>
      </c>
      <c r="N1027">
        <v>2016</v>
      </c>
      <c r="O1027">
        <v>1595</v>
      </c>
      <c r="Q1027" t="s">
        <v>3583</v>
      </c>
      <c r="T1027" t="s">
        <v>4621</v>
      </c>
      <c r="X1027">
        <v>1</v>
      </c>
      <c r="AA1027">
        <v>0</v>
      </c>
    </row>
    <row r="1028" spans="1:27">
      <c r="A1028" s="1">
        <v>1026</v>
      </c>
      <c r="B1028">
        <v>18114322</v>
      </c>
      <c r="C1028" t="s">
        <v>1056</v>
      </c>
      <c r="D1028" t="s">
        <v>1092</v>
      </c>
      <c r="E1028" t="s">
        <v>1899</v>
      </c>
      <c r="F1028" t="s">
        <v>2994</v>
      </c>
      <c r="G1028">
        <f>"067001690X"</f>
        <v>0</v>
      </c>
      <c r="H1028">
        <f>"9780670016907"</f>
        <v>0</v>
      </c>
      <c r="I1028">
        <v>0</v>
      </c>
      <c r="J1028">
        <v>3.99</v>
      </c>
      <c r="K1028" t="s">
        <v>3036</v>
      </c>
      <c r="L1028" t="s">
        <v>3492</v>
      </c>
      <c r="M1028">
        <v>479</v>
      </c>
      <c r="N1028">
        <v>2014</v>
      </c>
      <c r="O1028">
        <v>1939</v>
      </c>
      <c r="Q1028" t="s">
        <v>3583</v>
      </c>
      <c r="T1028" t="s">
        <v>4621</v>
      </c>
      <c r="X1028">
        <v>1</v>
      </c>
      <c r="AA1028">
        <v>0</v>
      </c>
    </row>
    <row r="1029" spans="1:27">
      <c r="A1029" s="1">
        <v>1027</v>
      </c>
      <c r="B1029">
        <v>4406</v>
      </c>
      <c r="C1029" t="s">
        <v>1057</v>
      </c>
      <c r="D1029" t="s">
        <v>1092</v>
      </c>
      <c r="E1029" t="s">
        <v>1899</v>
      </c>
      <c r="G1029">
        <f>"0142000655"</f>
        <v>0</v>
      </c>
      <c r="H1029">
        <f>"9780142000656"</f>
        <v>0</v>
      </c>
      <c r="I1029">
        <v>0</v>
      </c>
      <c r="J1029">
        <v>4.39</v>
      </c>
      <c r="K1029" t="s">
        <v>3010</v>
      </c>
      <c r="L1029" t="s">
        <v>3491</v>
      </c>
      <c r="M1029">
        <v>601</v>
      </c>
      <c r="N1029">
        <v>2002</v>
      </c>
      <c r="O1029">
        <v>1952</v>
      </c>
      <c r="Q1029" t="s">
        <v>3583</v>
      </c>
      <c r="T1029" t="s">
        <v>4621</v>
      </c>
      <c r="X1029">
        <v>1</v>
      </c>
      <c r="AA1029">
        <v>0</v>
      </c>
    </row>
    <row r="1030" spans="1:27">
      <c r="A1030" s="1">
        <v>1028</v>
      </c>
      <c r="B1030">
        <v>5197</v>
      </c>
      <c r="C1030" t="s">
        <v>1058</v>
      </c>
      <c r="D1030" t="s">
        <v>1864</v>
      </c>
      <c r="E1030" t="s">
        <v>2670</v>
      </c>
      <c r="G1030">
        <f>"0375702709"</f>
        <v>0</v>
      </c>
      <c r="H1030">
        <f>"9780375702709"</f>
        <v>0</v>
      </c>
      <c r="I1030">
        <v>0</v>
      </c>
      <c r="J1030">
        <v>3.97</v>
      </c>
      <c r="K1030" t="s">
        <v>3029</v>
      </c>
      <c r="L1030" t="s">
        <v>3491</v>
      </c>
      <c r="M1030">
        <v>256</v>
      </c>
      <c r="N1030">
        <v>1997</v>
      </c>
      <c r="O1030">
        <v>1993</v>
      </c>
      <c r="Q1030" t="s">
        <v>3583</v>
      </c>
      <c r="T1030" t="s">
        <v>4621</v>
      </c>
      <c r="X1030">
        <v>1</v>
      </c>
      <c r="AA1030">
        <v>0</v>
      </c>
    </row>
    <row r="1031" spans="1:27">
      <c r="A1031" s="1">
        <v>1029</v>
      </c>
      <c r="B1031">
        <v>68143</v>
      </c>
      <c r="C1031" t="s">
        <v>1059</v>
      </c>
      <c r="D1031" t="s">
        <v>1865</v>
      </c>
      <c r="E1031" t="s">
        <v>2671</v>
      </c>
      <c r="G1031">
        <f>"0385721706"</f>
        <v>0</v>
      </c>
      <c r="H1031">
        <f>"9780385721707"</f>
        <v>0</v>
      </c>
      <c r="I1031">
        <v>0</v>
      </c>
      <c r="J1031">
        <v>3.81</v>
      </c>
      <c r="K1031" t="s">
        <v>3112</v>
      </c>
      <c r="L1031" t="s">
        <v>3491</v>
      </c>
      <c r="M1031">
        <v>306</v>
      </c>
      <c r="N1031">
        <v>2005</v>
      </c>
      <c r="O1031">
        <v>2004</v>
      </c>
      <c r="Q1031" t="s">
        <v>3583</v>
      </c>
      <c r="T1031" t="s">
        <v>4621</v>
      </c>
      <c r="X1031">
        <v>1</v>
      </c>
      <c r="AA1031">
        <v>0</v>
      </c>
    </row>
    <row r="1032" spans="1:27">
      <c r="A1032" s="1">
        <v>1030</v>
      </c>
      <c r="B1032">
        <v>18160</v>
      </c>
      <c r="C1032" t="s">
        <v>1060</v>
      </c>
      <c r="D1032" t="s">
        <v>1866</v>
      </c>
      <c r="E1032" t="s">
        <v>2672</v>
      </c>
      <c r="F1032" t="s">
        <v>2995</v>
      </c>
      <c r="G1032">
        <f>"076454280X"</f>
        <v>0</v>
      </c>
      <c r="H1032">
        <f>"9780764542800"</f>
        <v>0</v>
      </c>
      <c r="I1032">
        <v>0</v>
      </c>
      <c r="J1032">
        <v>3.76</v>
      </c>
      <c r="K1032" t="s">
        <v>3127</v>
      </c>
      <c r="L1032" t="s">
        <v>3491</v>
      </c>
      <c r="M1032">
        <v>352</v>
      </c>
      <c r="N1032">
        <v>2003</v>
      </c>
      <c r="O1032">
        <v>2001</v>
      </c>
      <c r="Q1032" t="s">
        <v>3583</v>
      </c>
      <c r="T1032" t="s">
        <v>4621</v>
      </c>
      <c r="X1032">
        <v>1</v>
      </c>
      <c r="AA1032">
        <v>0</v>
      </c>
    </row>
    <row r="1033" spans="1:27">
      <c r="A1033" s="1">
        <v>1031</v>
      </c>
      <c r="B1033">
        <v>628070</v>
      </c>
      <c r="C1033" t="s">
        <v>1061</v>
      </c>
      <c r="D1033" t="s">
        <v>1867</v>
      </c>
      <c r="E1033" t="s">
        <v>2673</v>
      </c>
      <c r="G1033">
        <f>"0785274308"</f>
        <v>0</v>
      </c>
      <c r="H1033">
        <f>"9780785274308"</f>
        <v>0</v>
      </c>
      <c r="I1033">
        <v>0</v>
      </c>
      <c r="J1033">
        <v>4.15</v>
      </c>
      <c r="K1033" t="s">
        <v>3490</v>
      </c>
      <c r="L1033" t="s">
        <v>3492</v>
      </c>
      <c r="M1033">
        <v>209</v>
      </c>
      <c r="N1033">
        <v>2000</v>
      </c>
      <c r="O1033">
        <v>2000</v>
      </c>
      <c r="Q1033" t="s">
        <v>3583</v>
      </c>
      <c r="T1033" t="s">
        <v>4621</v>
      </c>
      <c r="X1033">
        <v>1</v>
      </c>
      <c r="AA1033">
        <v>0</v>
      </c>
    </row>
  </sheetData>
  <hyperlinks>
    <hyperlink ref="K1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2022-08-20T20:33:54Z</dcterms:created>
  <dcterms:modified xsi:type="dcterms:W3CDTF">2022-08-20T20:33:54Z</dcterms:modified>
</cp:coreProperties>
</file>